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codeName="ThisWorkbook"/>
  <mc:AlternateContent>
    <mc:Choice Requires="x15">
      <x15ac:absPath xmlns:x15ac="http://schemas.microsoft.com/office/spreadsheetml/2010/11/ac" url="C:\Users\BOX-DEV-22\Desktop\設計書\src\05_contents\04_xlsx\"/>
    </mc:Choice>
  </mc:AlternateContent>
  <xr:revisionPtr revIDLastSave="0" documentId="13_ncr:1_{29C00D0C-E872-4FB8-9B0B-A6C68DBDDDA6}" xr6:coauthVersionLast="45" xr6:coauthVersionMax="45" xr10:uidLastSave="{00000000-0000-0000-0000-000000000000}"/>
  <bookViews>
    <workbookView xWindow="20370" yWindow="-120" windowWidth="19440" windowHeight="15000" xr2:uid="{00000000-000D-0000-FFFF-FFFF00000000}"/>
  </bookViews>
  <sheets>
    <sheet name="BO_DM0007" sheetId="9" r:id="rId1"/>
  </sheets>
  <definedNames>
    <definedName name="_xlnm.Print_Titles" localSheetId="0">BO_DM0007!$1:$6</definedName>
  </definedNames>
  <calcPr calcId="191029"/>
</workbook>
</file>

<file path=xl/calcChain.xml><?xml version="1.0" encoding="utf-8"?>
<calcChain xmlns="http://schemas.openxmlformats.org/spreadsheetml/2006/main">
  <c r="AA2" i="9" l="1"/>
</calcChain>
</file>

<file path=xl/sharedStrings.xml><?xml version="1.0" encoding="utf-8"?>
<sst xmlns="http://schemas.openxmlformats.org/spreadsheetml/2006/main" count="2916" uniqueCount="357">
  <si>
    <t>年月</t>
  </si>
  <si>
    <t>限月取引</t>
  </si>
  <si>
    <t xml:space="preserve"> </t>
  </si>
  <si>
    <t>　</t>
  </si>
  <si>
    <t>Contract Month</t>
  </si>
  <si>
    <t>取引期間</t>
    <rPh sb="0" eb="2">
      <t>トリヒキ</t>
    </rPh>
    <rPh sb="2" eb="4">
      <t>キカン</t>
    </rPh>
    <phoneticPr fontId="6"/>
  </si>
  <si>
    <t>日</t>
    <rPh sb="0" eb="1">
      <t>ヒ</t>
    </rPh>
    <phoneticPr fontId="6"/>
  </si>
  <si>
    <t>商品等</t>
    <rPh sb="0" eb="2">
      <t>ショウヒン</t>
    </rPh>
    <rPh sb="2" eb="3">
      <t>トウ</t>
    </rPh>
    <phoneticPr fontId="6"/>
  </si>
  <si>
    <t>Days 
Traded</t>
    <phoneticPr fontId="6"/>
  </si>
  <si>
    <t>Open 
Interest(unit)</t>
    <phoneticPr fontId="6"/>
  </si>
  <si>
    <t>Trading 
Value(￥)</t>
    <phoneticPr fontId="6"/>
  </si>
  <si>
    <t>Trading Volume(unit)</t>
    <phoneticPr fontId="6"/>
  </si>
  <si>
    <t>Date</t>
    <phoneticPr fontId="6"/>
  </si>
  <si>
    <t>Trading
Period</t>
    <phoneticPr fontId="6"/>
  </si>
  <si>
    <t>Year/Month</t>
    <phoneticPr fontId="6"/>
  </si>
  <si>
    <t>日</t>
    <phoneticPr fontId="6"/>
  </si>
  <si>
    <t>取引金額（円）</t>
    <phoneticPr fontId="6"/>
  </si>
  <si>
    <t>取引高（単位）</t>
    <phoneticPr fontId="6"/>
  </si>
  <si>
    <t>値  段  Price</t>
    <phoneticPr fontId="6"/>
  </si>
  <si>
    <t>Products</t>
    <phoneticPr fontId="6"/>
  </si>
  <si>
    <t>商品先物相場表</t>
    <rPh sb="0" eb="2">
      <t>ショウヒン</t>
    </rPh>
    <rPh sb="2" eb="4">
      <t>サキモノ</t>
    </rPh>
    <phoneticPr fontId="6"/>
  </si>
  <si>
    <t>Commodity Futures Quotations</t>
    <phoneticPr fontId="6"/>
  </si>
  <si>
    <t>早受渡・申告受渡高
（単位）</t>
    <rPh sb="0" eb="1">
      <t>ハヤ</t>
    </rPh>
    <rPh sb="1" eb="3">
      <t>ウケワタシ</t>
    </rPh>
    <rPh sb="4" eb="6">
      <t>シンコク</t>
    </rPh>
    <rPh sb="6" eb="8">
      <t>ウケワタシ</t>
    </rPh>
    <rPh sb="8" eb="9">
      <t>ダカ</t>
    </rPh>
    <rPh sb="11" eb="13">
      <t>タンイ</t>
    </rPh>
    <phoneticPr fontId="6"/>
  </si>
  <si>
    <t>Early Delivery, Declared Delivery Volume(unit)</t>
    <phoneticPr fontId="6"/>
  </si>
  <si>
    <t>うちストラテジー
取引（単位）</t>
    <phoneticPr fontId="6"/>
  </si>
  <si>
    <t>Strategy(unit)</t>
    <phoneticPr fontId="6"/>
  </si>
  <si>
    <t>うちストラテジー
取引（円）</t>
    <phoneticPr fontId="6"/>
  </si>
  <si>
    <t>Strategy(￥)</t>
    <phoneticPr fontId="6"/>
  </si>
  <si>
    <t>月末日：</t>
    <phoneticPr fontId="6"/>
  </si>
  <si>
    <t>（株）東京商品取引所</t>
    <phoneticPr fontId="6"/>
  </si>
  <si>
    <t>取引単位</t>
    <phoneticPr fontId="6"/>
  </si>
  <si>
    <t>平均帳入値段
（円）</t>
    <phoneticPr fontId="6"/>
  </si>
  <si>
    <t>取組高
（単位）</t>
    <phoneticPr fontId="6"/>
  </si>
  <si>
    <t>立会
日数</t>
    <rPh sb="0" eb="2">
      <t>タチアイ</t>
    </rPh>
    <phoneticPr fontId="6"/>
  </si>
  <si>
    <t>始　値（円）</t>
    <phoneticPr fontId="6"/>
  </si>
  <si>
    <t>高　値（円）</t>
    <phoneticPr fontId="6"/>
  </si>
  <si>
    <t>安　値（円）</t>
    <phoneticPr fontId="6"/>
  </si>
  <si>
    <t>終　値（円）</t>
    <phoneticPr fontId="6"/>
  </si>
  <si>
    <t>うち立会外
取引（単位）</t>
    <rPh sb="2" eb="4">
      <t>タチアイ</t>
    </rPh>
    <rPh sb="4" eb="5">
      <t>ガイ</t>
    </rPh>
    <phoneticPr fontId="6"/>
  </si>
  <si>
    <t>うち立会外
取引（円）</t>
    <rPh sb="2" eb="4">
      <t>タチアイ</t>
    </rPh>
    <rPh sb="4" eb="5">
      <t>ガイ</t>
    </rPh>
    <phoneticPr fontId="6"/>
  </si>
  <si>
    <t>うち立会外（円）</t>
    <rPh sb="2" eb="4">
      <t>タチアイ</t>
    </rPh>
    <rPh sb="4" eb="5">
      <t>ガイ</t>
    </rPh>
    <phoneticPr fontId="6"/>
  </si>
  <si>
    <t>Trading
unit</t>
    <phoneticPr fontId="6"/>
  </si>
  <si>
    <t>Open(￥)</t>
    <phoneticPr fontId="6"/>
  </si>
  <si>
    <t>High(￥)</t>
    <phoneticPr fontId="6"/>
  </si>
  <si>
    <t>Block Trades(￥)</t>
    <phoneticPr fontId="6"/>
  </si>
  <si>
    <t>Low(￥)</t>
    <phoneticPr fontId="6"/>
  </si>
  <si>
    <t>Close(￥)</t>
    <phoneticPr fontId="6"/>
  </si>
  <si>
    <t>Average
Settlement
Price(￥)</t>
    <phoneticPr fontId="6"/>
  </si>
  <si>
    <t>Block Trades(unit)</t>
    <phoneticPr fontId="6"/>
  </si>
  <si>
    <t>2026/06</t>
  </si>
  <si>
    <t>バージガソリン先物</t>
  </si>
  <si>
    <t>Gasoline Futures</t>
  </si>
  <si>
    <t>2026/07</t>
  </si>
  <si>
    <t>2025/12/26</t>
  </si>
  <si>
    <t>2026/06/25</t>
  </si>
  <si>
    <t>－</t>
  </si>
  <si>
    <t>*</t>
  </si>
  <si>
    <t>2026/08</t>
  </si>
  <si>
    <t>2026/01/26</t>
  </si>
  <si>
    <t>2026/07/24</t>
  </si>
  <si>
    <t>2026/09</t>
  </si>
  <si>
    <t>2026/02/26</t>
  </si>
  <si>
    <t>2026/08/25</t>
  </si>
  <si>
    <t>2026/10</t>
  </si>
  <si>
    <t>2026/03/26</t>
  </si>
  <si>
    <t>2026/09/25</t>
  </si>
  <si>
    <t>2026/11</t>
  </si>
  <si>
    <t>2026/04/27</t>
  </si>
  <si>
    <t>2026/10/23</t>
  </si>
  <si>
    <t>2026/12</t>
  </si>
  <si>
    <t>2026/05/26</t>
  </si>
  <si>
    <t>2026/11/25</t>
  </si>
  <si>
    <t>2027/01</t>
  </si>
  <si>
    <t>2026/06/26</t>
  </si>
  <si>
    <t>2026/12/25</t>
  </si>
  <si>
    <t>バージ灯油先物</t>
  </si>
  <si>
    <t>Kerosene Futures</t>
  </si>
  <si>
    <t>バージ軽油先物</t>
  </si>
  <si>
    <t>Gas Oil Futures</t>
  </si>
  <si>
    <t>プラッツドバイ原油先物</t>
  </si>
  <si>
    <t>Platts Dubai Crude Oil Futures</t>
  </si>
  <si>
    <t>2025/04/01</t>
  </si>
  <si>
    <t>2026/06/30</t>
  </si>
  <si>
    <t>01</t>
  </si>
  <si>
    <t>91,000</t>
  </si>
  <si>
    <t>05</t>
  </si>
  <si>
    <t>93,900</t>
  </si>
  <si>
    <t>25</t>
  </si>
  <si>
    <t>80,070</t>
  </si>
  <si>
    <t>80,300</t>
  </si>
  <si>
    <t>2025/05/01</t>
  </si>
  <si>
    <t>2026/07/31</t>
  </si>
  <si>
    <t>86,040</t>
  </si>
  <si>
    <t>04</t>
  </si>
  <si>
    <t>92,400</t>
  </si>
  <si>
    <t>03</t>
  </si>
  <si>
    <t>91,400.0000</t>
  </si>
  <si>
    <t>66,600</t>
  </si>
  <si>
    <t>11</t>
  </si>
  <si>
    <t>87,500.0000</t>
  </si>
  <si>
    <t>30</t>
  </si>
  <si>
    <t>69,200</t>
  </si>
  <si>
    <t>2025/06/02</t>
  </si>
  <si>
    <t>2026/08/31</t>
  </si>
  <si>
    <t>84,500</t>
  </si>
  <si>
    <t>89,450</t>
  </si>
  <si>
    <t>67,450</t>
  </si>
  <si>
    <t>70,000</t>
  </si>
  <si>
    <t>2025/07/01</t>
  </si>
  <si>
    <t>2026/09/30</t>
  </si>
  <si>
    <t>82,830</t>
  </si>
  <si>
    <t>87,640</t>
  </si>
  <si>
    <t>70,930.0000</t>
  </si>
  <si>
    <t>68,170</t>
  </si>
  <si>
    <t>70,450</t>
  </si>
  <si>
    <t>2025/08/01</t>
  </si>
  <si>
    <t>2026/10/30</t>
  </si>
  <si>
    <t>81,310</t>
  </si>
  <si>
    <t>86,200</t>
  </si>
  <si>
    <t>08</t>
  </si>
  <si>
    <t>84,740.0000</t>
  </si>
  <si>
    <t>68,420</t>
  </si>
  <si>
    <t>17</t>
  </si>
  <si>
    <t>72,440.0000</t>
  </si>
  <si>
    <t>70,480</t>
  </si>
  <si>
    <t>2025/09/01</t>
  </si>
  <si>
    <t>2026/11/30</t>
  </si>
  <si>
    <t>80,040</t>
  </si>
  <si>
    <t>85,190</t>
  </si>
  <si>
    <t>15</t>
  </si>
  <si>
    <t>75,250.0000</t>
  </si>
  <si>
    <t>68,350</t>
  </si>
  <si>
    <t>29</t>
  </si>
  <si>
    <t>70,110.0000</t>
  </si>
  <si>
    <t>70,140</t>
  </si>
  <si>
    <t>2025/10/01</t>
  </si>
  <si>
    <t>2026/12/30</t>
  </si>
  <si>
    <t>67,740</t>
  </si>
  <si>
    <t>2025/11/04</t>
  </si>
  <si>
    <t>2027/01/29</t>
  </si>
  <si>
    <t>2027/02</t>
  </si>
  <si>
    <t>2025/12/01</t>
  </si>
  <si>
    <t>2027/02/26</t>
  </si>
  <si>
    <t>2027/03</t>
  </si>
  <si>
    <t>2026/01/05</t>
  </si>
  <si>
    <t>2027/03/31</t>
  </si>
  <si>
    <t>19</t>
  </si>
  <si>
    <t>71,000</t>
  </si>
  <si>
    <t>2027/04</t>
  </si>
  <si>
    <t>2026/02/02</t>
  </si>
  <si>
    <t>2027/04/30</t>
  </si>
  <si>
    <t>2027/05</t>
  </si>
  <si>
    <t>2026/03/02</t>
  </si>
  <si>
    <t>2027/05/31</t>
  </si>
  <si>
    <t>12</t>
  </si>
  <si>
    <t>78,000</t>
  </si>
  <si>
    <t>2027/06</t>
  </si>
  <si>
    <t>2026/04/01</t>
  </si>
  <si>
    <t>2027/06/30</t>
  </si>
  <si>
    <t>2027/07</t>
  </si>
  <si>
    <t>2026/05/01</t>
  </si>
  <si>
    <t>2027/07/30</t>
  </si>
  <si>
    <t>72,200</t>
  </si>
  <si>
    <t>18</t>
  </si>
  <si>
    <t>2027/08</t>
  </si>
  <si>
    <t>2026/06/01</t>
  </si>
  <si>
    <t>2027/08/31</t>
  </si>
  <si>
    <t>02</t>
  </si>
  <si>
    <t>81,000</t>
  </si>
  <si>
    <t>69,580</t>
  </si>
  <si>
    <t>23</t>
  </si>
  <si>
    <t>73,060</t>
  </si>
  <si>
    <t>東エリア・ベースロード電力先物</t>
  </si>
  <si>
    <t>East Area Baseload Electricity Futures</t>
  </si>
  <si>
    <t>2024/07/01</t>
  </si>
  <si>
    <t>2026/06/29</t>
  </si>
  <si>
    <t>2024/07/31</t>
  </si>
  <si>
    <t>2026/07/30</t>
  </si>
  <si>
    <t>22.00</t>
  </si>
  <si>
    <t>26</t>
  </si>
  <si>
    <t>19.5000</t>
  </si>
  <si>
    <t>20.00</t>
  </si>
  <si>
    <t>18.4500</t>
  </si>
  <si>
    <t>2024/09/02</t>
  </si>
  <si>
    <t>2026/08/28</t>
  </si>
  <si>
    <t>22</t>
  </si>
  <si>
    <t>20.7000</t>
  </si>
  <si>
    <t>19.2000</t>
  </si>
  <si>
    <t>2024/09/30</t>
  </si>
  <si>
    <t>2026/09/29</t>
  </si>
  <si>
    <t>23.1000</t>
  </si>
  <si>
    <t>2024/10/31</t>
  </si>
  <si>
    <t>2024/12/02</t>
  </si>
  <si>
    <t>2026/11/27</t>
  </si>
  <si>
    <t>2025/01/06</t>
  </si>
  <si>
    <t>2025/01/31</t>
  </si>
  <si>
    <t>10</t>
  </si>
  <si>
    <t>19.6900</t>
  </si>
  <si>
    <t>16.9600</t>
  </si>
  <si>
    <t>2025/02/28</t>
  </si>
  <si>
    <t>2025/03/31</t>
  </si>
  <si>
    <t>2027/03/30</t>
  </si>
  <si>
    <t>2025/04/30</t>
  </si>
  <si>
    <t>2027/04/28</t>
  </si>
  <si>
    <t>2027/05/28</t>
  </si>
  <si>
    <t>2025/06/30</t>
  </si>
  <si>
    <t>2027/06/29</t>
  </si>
  <si>
    <t>2025/07/31</t>
  </si>
  <si>
    <t>2027/08/30</t>
  </si>
  <si>
    <t>2027/09</t>
  </si>
  <si>
    <t>2025/09/30</t>
  </si>
  <si>
    <t>2027/09/29</t>
  </si>
  <si>
    <t>2027/10</t>
  </si>
  <si>
    <t>2025/10/31</t>
  </si>
  <si>
    <t>2027/10/29</t>
  </si>
  <si>
    <t>2027/11</t>
  </si>
  <si>
    <t>2027/11/29</t>
  </si>
  <si>
    <t>2027/12</t>
  </si>
  <si>
    <t>2027/12/30</t>
  </si>
  <si>
    <t>2028/01</t>
  </si>
  <si>
    <t>2028/01/28</t>
  </si>
  <si>
    <t>2028/02</t>
  </si>
  <si>
    <t>2028/02/28</t>
  </si>
  <si>
    <t>2028/03</t>
  </si>
  <si>
    <t>2026/03/31</t>
  </si>
  <si>
    <t>2028/03/30</t>
  </si>
  <si>
    <t>2028/04</t>
  </si>
  <si>
    <t>2026/04/30</t>
  </si>
  <si>
    <t>2028/04/28</t>
  </si>
  <si>
    <t>2028/05</t>
  </si>
  <si>
    <t>2028/05/30</t>
  </si>
  <si>
    <t>2028/06</t>
  </si>
  <si>
    <t>2028/06/29</t>
  </si>
  <si>
    <t>西エリア・ベースロード電力先物</t>
  </si>
  <si>
    <t>West Area Baseload Electricity Futures</t>
  </si>
  <si>
    <t>14.3500</t>
  </si>
  <si>
    <t>16</t>
  </si>
  <si>
    <t>15.0000</t>
  </si>
  <si>
    <t>14.9500</t>
  </si>
  <si>
    <t>中部エリア・ベースロード電力先物</t>
  </si>
  <si>
    <t>Chubu Area Baseload Electricity Futures</t>
  </si>
  <si>
    <t>2026/04/13</t>
  </si>
  <si>
    <t>18.9000</t>
  </si>
  <si>
    <t>18.1000</t>
  </si>
  <si>
    <t>18.4000</t>
  </si>
  <si>
    <t>17.6000</t>
  </si>
  <si>
    <t>東エリア・日中ロード電力先物</t>
  </si>
  <si>
    <t>East Area Peakload Electricity Futures</t>
  </si>
  <si>
    <t>2024/06/28</t>
  </si>
  <si>
    <t>33.4000</t>
  </si>
  <si>
    <t>2024/08/30</t>
  </si>
  <si>
    <t>2026/10/29</t>
  </si>
  <si>
    <t>2024/11/29</t>
  </si>
  <si>
    <t>2024/12/27</t>
  </si>
  <si>
    <t>2026/12/28</t>
  </si>
  <si>
    <t>2027/01/28</t>
  </si>
  <si>
    <t>2027/02/25</t>
  </si>
  <si>
    <t>2025/05/30</t>
  </si>
  <si>
    <t>2027/07/29</t>
  </si>
  <si>
    <t>2025/08/29</t>
  </si>
  <si>
    <t>2027/10/28</t>
  </si>
  <si>
    <t>2025/11/28</t>
  </si>
  <si>
    <t>2025/12/29</t>
  </si>
  <si>
    <t>2027/12/28</t>
  </si>
  <si>
    <t>2026/01/30</t>
  </si>
  <si>
    <t>2026/02/27</t>
  </si>
  <si>
    <t>2028/04/27</t>
  </si>
  <si>
    <t>2026/05/29</t>
  </si>
  <si>
    <t>西エリア・日中ロード電力先物</t>
  </si>
  <si>
    <t>West Area Peakload Electricity Futures</t>
  </si>
  <si>
    <t>28.9000</t>
  </si>
  <si>
    <t>26.4500</t>
  </si>
  <si>
    <t>中部エリア・日中ロード電力先物</t>
  </si>
  <si>
    <t>Chubu Area Peakload Electricity Futures</t>
  </si>
  <si>
    <t>東エリア・週間ベースロード電力先物</t>
  </si>
  <si>
    <t>East Area Baseload Electricity Futures (Weekly)</t>
  </si>
  <si>
    <t>2026/06/05</t>
  </si>
  <si>
    <t>2026/06/04</t>
  </si>
  <si>
    <t>2026/06/12</t>
  </si>
  <si>
    <t>2026/05/08</t>
  </si>
  <si>
    <t>2026/06/11</t>
  </si>
  <si>
    <t>2026/06/19</t>
  </si>
  <si>
    <t>2026/05/15</t>
  </si>
  <si>
    <t>2026/06/18</t>
  </si>
  <si>
    <t>2026/05/22</t>
  </si>
  <si>
    <t>2026/07/03</t>
  </si>
  <si>
    <t>2026/07/02</t>
  </si>
  <si>
    <t>2026/07/10</t>
  </si>
  <si>
    <t>2026/07/09</t>
  </si>
  <si>
    <t>2026/07/17</t>
  </si>
  <si>
    <t>2026/07/16</t>
  </si>
  <si>
    <t>2026/07/23</t>
  </si>
  <si>
    <t>西エリア・週間ベースロード電力先物</t>
  </si>
  <si>
    <t>West Area Baseload Electricity Futures (Weekly)</t>
  </si>
  <si>
    <t>東エリア・週間日中ロード電力先物</t>
  </si>
  <si>
    <t>East Area Peakload Electricity Futures (Weekly)</t>
  </si>
  <si>
    <t>西エリア・週間日中ロード電力先物</t>
  </si>
  <si>
    <t>West Area Peakload Electricity Futures (Weekly)</t>
  </si>
  <si>
    <t>東エリア・年度ベースロード電力先物</t>
  </si>
  <si>
    <t>East Area Baseload Electricity Futures (Fiscal Year)</t>
  </si>
  <si>
    <t>FY2027</t>
  </si>
  <si>
    <t>2025/05/26</t>
  </si>
  <si>
    <t>2027/03/26</t>
  </si>
  <si>
    <t>FY2028</t>
  </si>
  <si>
    <t>2028/03/28</t>
  </si>
  <si>
    <t>西エリア・年度ベースロード電力先物</t>
  </si>
  <si>
    <t>West Area Baseload Electricity Futures (Fiscal Year)</t>
  </si>
  <si>
    <t>中部エリア・年度ベースロード電力先物</t>
  </si>
  <si>
    <t>Chubu Area Baseload Electricity Futures (Fiscal Year)</t>
  </si>
  <si>
    <t>東エリア・年度日中ロード電力先物</t>
  </si>
  <si>
    <t>East Area Peakload Electricity Futures (Fiscal Year)</t>
  </si>
  <si>
    <t>西エリア・年度日中ロード電力先物</t>
  </si>
  <si>
    <t>West Area Peakload Electricity Futures (Fiscal Year)</t>
  </si>
  <si>
    <t>中部エリア・年度日中ロード電力先物</t>
  </si>
  <si>
    <t>Chubu Area Peakload Electricity Futures (Fiscal Year)</t>
  </si>
  <si>
    <t>LNG（プラッツJKM）先物</t>
  </si>
  <si>
    <t>LNG（Platts JKM）Futures</t>
  </si>
  <si>
    <t>2025/03/17</t>
  </si>
  <si>
    <t>2026/06/15</t>
  </si>
  <si>
    <t>2025/04/16</t>
  </si>
  <si>
    <t>2026/07/15</t>
  </si>
  <si>
    <t>2025/05/16</t>
  </si>
  <si>
    <t>2026/08/14</t>
  </si>
  <si>
    <t>2025/06/16</t>
  </si>
  <si>
    <t>2026/09/15</t>
  </si>
  <si>
    <t>2,653.0000</t>
  </si>
  <si>
    <t>2025/07/16</t>
  </si>
  <si>
    <t>2026/10/15</t>
  </si>
  <si>
    <t>2025/08/18</t>
  </si>
  <si>
    <t>2026/11/13</t>
  </si>
  <si>
    <t>2025/09/16</t>
  </si>
  <si>
    <t>2026/12/15</t>
  </si>
  <si>
    <t>2025/10/16</t>
  </si>
  <si>
    <t>2027/01/15</t>
  </si>
  <si>
    <t>2025/11/17</t>
  </si>
  <si>
    <t>2027/02/15</t>
  </si>
  <si>
    <t>2025/12/16</t>
  </si>
  <si>
    <t>2027/03/15</t>
  </si>
  <si>
    <t>2026/01/16</t>
  </si>
  <si>
    <t>2027/04/15</t>
  </si>
  <si>
    <t>2026/02/16</t>
  </si>
  <si>
    <t>2027/05/14</t>
  </si>
  <si>
    <t>2026/03/16</t>
  </si>
  <si>
    <t>2027/06/15</t>
  </si>
  <si>
    <t>2026/04/16</t>
  </si>
  <si>
    <t>2027/07/15</t>
  </si>
  <si>
    <t>2026/05/18</t>
  </si>
  <si>
    <t>2027/08/13</t>
  </si>
  <si>
    <t>2026/06/16</t>
  </si>
  <si>
    <t>2027/09/15</t>
  </si>
  <si>
    <t>中京ローリーガソリン先物</t>
  </si>
  <si>
    <t>Chukyo Gasoline Futures</t>
  </si>
  <si>
    <t>94,000</t>
  </si>
  <si>
    <t>94,000.0000</t>
  </si>
  <si>
    <t>中京ローリー灯油先物</t>
  </si>
  <si>
    <t>Chukyo Kerosene Futures</t>
  </si>
  <si>
    <t>105,500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</si>
</sst>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0.00_)"/>
    <numFmt numFmtId="178" formatCode="0_)"/>
    <numFmt numFmtId="179" formatCode="0_);[Red]\(0\)"/>
    <numFmt numFmtId="180" formatCode="_-&quot;｣&quot;* #,##0_-;\-&quot;｣&quot;* #,##0_-;_-&quot;｣&quot;* &quot;-&quot;_-;_-@_-"/>
    <numFmt numFmtId="181" formatCode="_-&quot;｣&quot;* #,##0.00_-;\-&quot;｣&quot;* #,##0.00_-;_-&quot;｣&quot;* &quot;-&quot;??_-;_-@_-"/>
    <numFmt numFmtId="182" formatCode="&quot;$&quot;#,##0;[Red]\-&quot;$&quot;#,##0"/>
    <numFmt numFmtId="183" formatCode="&quot;$&quot;#,##0.00;[Red]\-&quot;$&quot;#,##0.00"/>
    <numFmt numFmtId="184" formatCode="0.00000"/>
    <numFmt numFmtId="185" formatCode="_(* #,##0_);_(* \(#,##0\);_(* &quot;-&quot;_);_(@_)"/>
    <numFmt numFmtId="186" formatCode="#,##0.0&quot;人月&quot;"/>
    <numFmt numFmtId="187" formatCode="_(&quot;$&quot;* #,##0.00_);_(&quot;$&quot;* \(#,##0.00\);_(&quot;$&quot;* &quot;-&quot;??_);_(@_)"/>
    <numFmt numFmtId="188" formatCode="_(&quot;$&quot;* #,##0_);_(&quot;$&quot;* \(#,##0\);_(&quot;$&quot;* &quot;-&quot;_);_(@_)"/>
    <numFmt numFmtId="189" formatCode="#0"/>
  </numFmts>
  <fonts count="9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11"/>
      <name val="明朝"/>
      <family val="1"/>
      <charset val="128"/>
    </font>
    <font>
      <strike/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Courier"/>
      <family val="3"/>
    </font>
    <font>
      <sz val="8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MS Sans Serif"/>
      <family val="2"/>
    </font>
    <font>
      <sz val="11"/>
      <color indexed="8"/>
      <name val="ＭＳ Ｐゴシック"/>
      <family val="3"/>
      <charset val="128"/>
    </font>
    <font>
      <sz val="10"/>
      <color indexed="9"/>
      <name val="Arial"/>
      <family val="2"/>
    </font>
    <font>
      <sz val="11"/>
      <color indexed="9"/>
      <name val="ＭＳ Ｐゴシック"/>
      <family val="3"/>
      <charset val="128"/>
    </font>
    <font>
      <sz val="8"/>
      <name val="Times New Roman"/>
      <family val="1"/>
    </font>
    <font>
      <sz val="10"/>
      <name val="中ゴシックＢＢＢ"/>
      <family val="3"/>
      <charset val="128"/>
    </font>
    <font>
      <sz val="10"/>
      <color indexed="20"/>
      <name val="Arial"/>
      <family val="2"/>
    </font>
    <font>
      <sz val="12"/>
      <name val="Tms Rm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sz val="9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2"/>
      <color indexed="9"/>
      <name val="Tms Rmn"/>
      <family val="1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name val="Geneva"/>
      <family val="2"/>
    </font>
    <font>
      <sz val="10"/>
      <color indexed="60"/>
      <name val="Arial"/>
      <family val="2"/>
    </font>
    <font>
      <sz val="7"/>
      <name val="Small Fonts"/>
      <family val="3"/>
      <charset val="128"/>
    </font>
    <font>
      <b/>
      <sz val="10"/>
      <color indexed="63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9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22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中ゴシック体"/>
      <family val="3"/>
      <charset val="128"/>
    </font>
    <font>
      <sz val="11"/>
      <color indexed="6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・団"/>
      <family val="1"/>
      <charset val="128"/>
    </font>
    <font>
      <sz val="1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Meiryo UI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中ゴシック体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3"/>
      <charset val="128"/>
    </font>
    <font>
      <sz val="11"/>
      <color indexed="8"/>
      <name val="ＭＳ Ｐゴシック"/>
      <family val="2"/>
      <scheme val="minor"/>
    </font>
    <font>
      <sz val="20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Ｐゴシック"/>
      <family val="2"/>
      <scheme val="minor"/>
    </font>
    <font>
      <sz val="5"/>
      <name val="ＭＳ ゴシック"/>
      <family val="3"/>
      <charset val="128"/>
    </font>
    <font>
      <sz val="15"/>
      <name val="ＭＳ 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954">
    <xf numFmtId="0" fontId="0" fillId="0" borderId="0"/>
    <xf numFmtId="38" fontId="5" fillId="0" borderId="0" applyFont="0" applyFill="0" applyBorder="0" applyAlignment="0" applyProtection="0"/>
    <xf numFmtId="176" fontId="8" fillId="0" borderId="0" applyFill="0" applyBorder="0" applyAlignment="0"/>
    <xf numFmtId="0" fontId="9" fillId="0" borderId="1" applyNumberFormat="0" applyAlignment="0" applyProtection="0">
      <alignment horizontal="left" vertical="center"/>
    </xf>
    <xf numFmtId="0" fontId="9" fillId="0" borderId="2">
      <alignment horizontal="left" vertical="center"/>
    </xf>
    <xf numFmtId="177" fontId="10" fillId="0" borderId="0"/>
    <xf numFmtId="0" fontId="11" fillId="0" borderId="0"/>
    <xf numFmtId="0" fontId="12" fillId="0" borderId="0"/>
    <xf numFmtId="49" fontId="13" fillId="2" borderId="3" applyNumberFormat="0" applyFill="0" applyBorder="0" applyProtection="0"/>
    <xf numFmtId="0" fontId="7" fillId="0" borderId="0">
      <alignment vertical="center"/>
    </xf>
    <xf numFmtId="0" fontId="14" fillId="0" borderId="0"/>
    <xf numFmtId="0" fontId="14" fillId="0" borderId="0">
      <alignment vertical="center"/>
    </xf>
    <xf numFmtId="178" fontId="16" fillId="0" borderId="0"/>
    <xf numFmtId="0" fontId="5" fillId="0" borderId="0"/>
    <xf numFmtId="0" fontId="5" fillId="0" borderId="0"/>
    <xf numFmtId="0" fontId="14" fillId="0" borderId="0">
      <alignment vertical="center"/>
    </xf>
    <xf numFmtId="0" fontId="4" fillId="0" borderId="0">
      <alignment vertical="center"/>
    </xf>
    <xf numFmtId="9" fontId="19" fillId="0" borderId="0" applyFont="0" applyFill="0" applyBorder="0" applyAlignment="0" applyProtection="0"/>
    <xf numFmtId="0" fontId="20" fillId="0" borderId="0"/>
    <xf numFmtId="0" fontId="5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20" borderId="0" applyNumberFormat="0" applyBorder="0" applyAlignment="0" applyProtection="0"/>
    <xf numFmtId="0" fontId="24" fillId="0" borderId="0">
      <alignment horizontal="center" wrapText="1"/>
      <protection locked="0"/>
    </xf>
    <xf numFmtId="0" fontId="25" fillId="0" borderId="0"/>
    <xf numFmtId="0" fontId="26" fillId="4" borderId="0" applyNumberFormat="0" applyBorder="0" applyAlignment="0" applyProtection="0"/>
    <xf numFmtId="0" fontId="27" fillId="0" borderId="0" applyNumberFormat="0" applyFill="0" applyBorder="0" applyAlignment="0" applyProtection="0"/>
    <xf numFmtId="179" fontId="7" fillId="0" borderId="0" applyFill="0" applyBorder="0" applyAlignment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9" fillId="22" borderId="11" applyNumberFormat="0" applyAlignment="0" applyProtection="0"/>
    <xf numFmtId="0" fontId="30" fillId="0" borderId="0">
      <alignment vertical="top" wrapText="1"/>
    </xf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0" fontId="31" fillId="0" borderId="0">
      <alignment horizontal="left"/>
    </xf>
    <xf numFmtId="0" fontId="32" fillId="0" borderId="0" applyNumberFormat="0" applyFill="0" applyBorder="0" applyAlignment="0" applyProtection="0"/>
    <xf numFmtId="0" fontId="33" fillId="5" borderId="0" applyNumberFormat="0" applyBorder="0" applyAlignment="0" applyProtection="0"/>
    <xf numFmtId="38" fontId="34" fillId="23" borderId="0" applyNumberFormat="0" applyBorder="0" applyAlignment="0" applyProtection="0"/>
    <xf numFmtId="0" fontId="35" fillId="24" borderId="0"/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8" fillId="0" borderId="0" applyNumberFormat="0" applyFill="0" applyBorder="0" applyAlignment="0" applyProtection="0"/>
    <xf numFmtId="0" fontId="7" fillId="0" borderId="0" applyBorder="0"/>
    <xf numFmtId="0" fontId="39" fillId="8" borderId="10" applyNumberFormat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7" fillId="0" borderId="0"/>
    <xf numFmtId="0" fontId="40" fillId="0" borderId="15" applyNumberFormat="0" applyFill="0" applyAlignment="0" applyProtection="0"/>
    <xf numFmtId="38" fontId="41" fillId="0" borderId="0" applyFont="0" applyFill="0" applyBorder="0" applyAlignment="0" applyProtection="0"/>
    <xf numFmtId="40" fontId="41" fillId="0" borderId="0" applyFont="0" applyFill="0" applyBorder="0" applyAlignment="0" applyProtection="0"/>
    <xf numFmtId="182" fontId="41" fillId="0" borderId="0" applyFont="0" applyFill="0" applyBorder="0" applyAlignment="0" applyProtection="0"/>
    <xf numFmtId="183" fontId="41" fillId="0" borderId="0" applyFont="0" applyFill="0" applyBorder="0" applyAlignment="0" applyProtection="0"/>
    <xf numFmtId="0" fontId="42" fillId="26" borderId="0" applyNumberFormat="0" applyBorder="0" applyAlignment="0" applyProtection="0"/>
    <xf numFmtId="37" fontId="43" fillId="0" borderId="0"/>
    <xf numFmtId="184" fontId="7" fillId="0" borderId="0"/>
    <xf numFmtId="184" fontId="7" fillId="0" borderId="0"/>
    <xf numFmtId="177" fontId="10" fillId="0" borderId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14" fontId="24" fillId="0" borderId="0">
      <alignment horizontal="center" wrapText="1"/>
      <protection locked="0"/>
    </xf>
    <xf numFmtId="10" fontId="11" fillId="0" borderId="0" applyFont="0" applyFill="0" applyBorder="0" applyAlignment="0" applyProtection="0"/>
    <xf numFmtId="4" fontId="31" fillId="0" borderId="0">
      <alignment horizontal="right"/>
    </xf>
    <xf numFmtId="0" fontId="45" fillId="0" borderId="0" applyNumberFormat="0" applyFont="0" applyFill="0" applyBorder="0" applyAlignment="0" applyProtection="0">
      <alignment horizontal="left"/>
    </xf>
    <xf numFmtId="0" fontId="46" fillId="0" borderId="18">
      <alignment horizontal="center"/>
    </xf>
    <xf numFmtId="0" fontId="47" fillId="0" borderId="0" applyNumberFormat="0" applyFont="0" applyFill="0" applyBorder="0" applyAlignment="0"/>
    <xf numFmtId="4" fontId="48" fillId="0" borderId="0">
      <alignment horizontal="right"/>
    </xf>
    <xf numFmtId="0" fontId="49" fillId="0" borderId="0">
      <alignment horizontal="left"/>
    </xf>
    <xf numFmtId="0" fontId="50" fillId="0" borderId="0"/>
    <xf numFmtId="0" fontId="51" fillId="0" borderId="0">
      <alignment horizontal="center"/>
    </xf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54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22" borderId="11" applyNumberFormat="0" applyAlignment="0" applyProtection="0">
      <alignment vertical="center"/>
    </xf>
    <xf numFmtId="0" fontId="56" fillId="22" borderId="11" applyNumberFormat="0" applyAlignment="0" applyProtection="0">
      <alignment vertical="center"/>
    </xf>
    <xf numFmtId="0" fontId="56" fillId="22" borderId="11" applyNumberFormat="0" applyAlignment="0" applyProtection="0">
      <alignment vertical="center"/>
    </xf>
    <xf numFmtId="0" fontId="56" fillId="22" borderId="11" applyNumberFormat="0" applyAlignment="0" applyProtection="0">
      <alignment vertical="center"/>
    </xf>
    <xf numFmtId="0" fontId="56" fillId="22" borderId="11" applyNumberFormat="0" applyAlignment="0" applyProtection="0">
      <alignment vertical="center"/>
    </xf>
    <xf numFmtId="0" fontId="56" fillId="22" borderId="11" applyNumberFormat="0" applyAlignment="0" applyProtection="0">
      <alignment vertical="center"/>
    </xf>
    <xf numFmtId="0" fontId="56" fillId="22" borderId="11" applyNumberFormat="0" applyAlignment="0" applyProtection="0">
      <alignment vertical="center"/>
    </xf>
    <xf numFmtId="0" fontId="56" fillId="22" borderId="11" applyNumberFormat="0" applyAlignment="0" applyProtection="0">
      <alignment vertical="center"/>
    </xf>
    <xf numFmtId="0" fontId="57" fillId="0" borderId="0"/>
    <xf numFmtId="0" fontId="58" fillId="26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7" fillId="27" borderId="16" applyNumberFormat="0" applyFont="0" applyAlignment="0" applyProtection="0">
      <alignment vertical="center"/>
    </xf>
    <xf numFmtId="0" fontId="7" fillId="27" borderId="16" applyNumberFormat="0" applyFont="0" applyAlignment="0" applyProtection="0">
      <alignment vertical="center"/>
    </xf>
    <xf numFmtId="0" fontId="7" fillId="27" borderId="16" applyNumberFormat="0" applyFont="0" applyAlignment="0" applyProtection="0">
      <alignment vertical="center"/>
    </xf>
    <xf numFmtId="0" fontId="7" fillId="27" borderId="16" applyNumberFormat="0" applyFont="0" applyAlignment="0" applyProtection="0">
      <alignment vertical="center"/>
    </xf>
    <xf numFmtId="0" fontId="7" fillId="27" borderId="16" applyNumberFormat="0" applyFont="0" applyAlignment="0" applyProtection="0">
      <alignment vertical="center"/>
    </xf>
    <xf numFmtId="0" fontId="7" fillId="27" borderId="16" applyNumberFormat="0" applyFont="0" applyAlignment="0" applyProtection="0">
      <alignment vertical="center"/>
    </xf>
    <xf numFmtId="0" fontId="7" fillId="27" borderId="16" applyNumberFormat="0" applyFont="0" applyAlignment="0" applyProtection="0">
      <alignment vertical="center"/>
    </xf>
    <xf numFmtId="0" fontId="7" fillId="27" borderId="16" applyNumberFormat="0" applyFont="0" applyAlignment="0" applyProtection="0">
      <alignment vertical="center"/>
    </xf>
    <xf numFmtId="0" fontId="7" fillId="27" borderId="16" applyNumberFormat="0" applyFont="0" applyAlignment="0" applyProtection="0">
      <alignment vertical="center"/>
    </xf>
    <xf numFmtId="0" fontId="7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7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62" fillId="0" borderId="15" applyNumberFormat="0" applyFill="0" applyAlignment="0" applyProtection="0">
      <alignment vertical="center"/>
    </xf>
    <xf numFmtId="0" fontId="62" fillId="0" borderId="15" applyNumberFormat="0" applyFill="0" applyAlignment="0" applyProtection="0">
      <alignment vertical="center"/>
    </xf>
    <xf numFmtId="0" fontId="62" fillId="0" borderId="15" applyNumberFormat="0" applyFill="0" applyAlignment="0" applyProtection="0">
      <alignment vertical="center"/>
    </xf>
    <xf numFmtId="0" fontId="62" fillId="0" borderId="15" applyNumberFormat="0" applyFill="0" applyAlignment="0" applyProtection="0">
      <alignment vertical="center"/>
    </xf>
    <xf numFmtId="0" fontId="62" fillId="0" borderId="15" applyNumberFormat="0" applyFill="0" applyAlignment="0" applyProtection="0">
      <alignment vertical="center"/>
    </xf>
    <xf numFmtId="0" fontId="62" fillId="0" borderId="15" applyNumberFormat="0" applyFill="0" applyAlignment="0" applyProtection="0">
      <alignment vertical="center"/>
    </xf>
    <xf numFmtId="0" fontId="62" fillId="0" borderId="15" applyNumberFormat="0" applyFill="0" applyAlignment="0" applyProtection="0">
      <alignment vertical="center"/>
    </xf>
    <xf numFmtId="0" fontId="62" fillId="0" borderId="15" applyNumberFormat="0" applyFill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43" fontId="11" fillId="0" borderId="0" applyFont="0" applyFill="0" applyBorder="0" applyAlignment="0" applyProtection="0"/>
    <xf numFmtId="38" fontId="66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67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67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185" fontId="11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68" fillId="0" borderId="12" applyNumberFormat="0" applyFill="0" applyAlignment="0" applyProtection="0">
      <alignment vertical="center"/>
    </xf>
    <xf numFmtId="0" fontId="68" fillId="0" borderId="12" applyNumberFormat="0" applyFill="0" applyAlignment="0" applyProtection="0">
      <alignment vertical="center"/>
    </xf>
    <xf numFmtId="0" fontId="68" fillId="0" borderId="12" applyNumberFormat="0" applyFill="0" applyAlignment="0" applyProtection="0">
      <alignment vertical="center"/>
    </xf>
    <xf numFmtId="0" fontId="68" fillId="0" borderId="12" applyNumberFormat="0" applyFill="0" applyAlignment="0" applyProtection="0">
      <alignment vertical="center"/>
    </xf>
    <xf numFmtId="0" fontId="68" fillId="0" borderId="12" applyNumberFormat="0" applyFill="0" applyAlignment="0" applyProtection="0">
      <alignment vertical="center"/>
    </xf>
    <xf numFmtId="0" fontId="68" fillId="0" borderId="12" applyNumberFormat="0" applyFill="0" applyAlignment="0" applyProtection="0">
      <alignment vertical="center"/>
    </xf>
    <xf numFmtId="0" fontId="68" fillId="0" borderId="12" applyNumberFormat="0" applyFill="0" applyAlignment="0" applyProtection="0">
      <alignment vertical="center"/>
    </xf>
    <xf numFmtId="0" fontId="68" fillId="0" borderId="12" applyNumberFormat="0" applyFill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/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186" fontId="12" fillId="0" borderId="0"/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187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14" fillId="0" borderId="0" applyFont="0" applyFill="0" applyBorder="0" applyAlignment="0" applyProtection="0">
      <alignment vertical="center"/>
    </xf>
    <xf numFmtId="6" fontId="75" fillId="0" borderId="0" applyFont="0" applyFill="0" applyBorder="0" applyAlignment="0" applyProtection="0">
      <alignment vertical="center"/>
    </xf>
    <xf numFmtId="6" fontId="14" fillId="0" borderId="0" applyFont="0" applyFill="0" applyBorder="0" applyAlignment="0" applyProtection="0">
      <alignment vertical="center"/>
    </xf>
    <xf numFmtId="6" fontId="14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/>
    <xf numFmtId="6" fontId="7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/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19" fillId="0" borderId="0"/>
    <xf numFmtId="0" fontId="17" fillId="0" borderId="0">
      <alignment vertical="center"/>
    </xf>
    <xf numFmtId="0" fontId="1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14" fillId="0" borderId="0">
      <alignment vertical="center"/>
    </xf>
    <xf numFmtId="0" fontId="5" fillId="0" borderId="0"/>
    <xf numFmtId="0" fontId="78" fillId="0" borderId="0">
      <alignment vertical="center"/>
    </xf>
    <xf numFmtId="0" fontId="14" fillId="0" borderId="0">
      <alignment vertical="center"/>
    </xf>
    <xf numFmtId="0" fontId="5" fillId="0" borderId="0"/>
    <xf numFmtId="0" fontId="5" fillId="0" borderId="0"/>
    <xf numFmtId="0" fontId="5" fillId="0" borderId="0"/>
    <xf numFmtId="0" fontId="1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/>
    <xf numFmtId="0" fontId="1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79" fillId="0" borderId="0">
      <alignment vertical="center"/>
    </xf>
    <xf numFmtId="0" fontId="14" fillId="0" borderId="0"/>
    <xf numFmtId="0" fontId="79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80" fillId="0" borderId="0">
      <alignment vertical="center"/>
    </xf>
    <xf numFmtId="0" fontId="5" fillId="0" borderId="0"/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9" fillId="0" borderId="0"/>
    <xf numFmtId="0" fontId="14" fillId="0" borderId="0">
      <alignment vertical="center"/>
    </xf>
    <xf numFmtId="0" fontId="14" fillId="0" borderId="0">
      <alignment vertical="center"/>
    </xf>
    <xf numFmtId="0" fontId="19" fillId="0" borderId="0"/>
    <xf numFmtId="0" fontId="17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/>
    <xf numFmtId="0" fontId="14" fillId="0" borderId="0">
      <alignment vertical="center"/>
    </xf>
    <xf numFmtId="0" fontId="5" fillId="0" borderId="0"/>
    <xf numFmtId="0" fontId="81" fillId="0" borderId="0"/>
    <xf numFmtId="0" fontId="14" fillId="0" borderId="0"/>
    <xf numFmtId="0" fontId="7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9" fillId="0" borderId="0"/>
    <xf numFmtId="0" fontId="78" fillId="0" borderId="0">
      <alignment vertical="center"/>
    </xf>
    <xf numFmtId="0" fontId="19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21" fillId="0" borderId="0">
      <alignment vertical="center"/>
    </xf>
    <xf numFmtId="0" fontId="14" fillId="0" borderId="0">
      <alignment vertical="center"/>
    </xf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>
      <alignment vertical="center"/>
    </xf>
    <xf numFmtId="0" fontId="17" fillId="0" borderId="0">
      <alignment vertical="center"/>
    </xf>
    <xf numFmtId="0" fontId="81" fillId="0" borderId="0"/>
    <xf numFmtId="0" fontId="17" fillId="0" borderId="0">
      <alignment vertical="center"/>
    </xf>
    <xf numFmtId="0" fontId="5" fillId="0" borderId="0"/>
    <xf numFmtId="0" fontId="5" fillId="0" borderId="0">
      <alignment vertical="center"/>
    </xf>
    <xf numFmtId="0" fontId="81" fillId="0" borderId="0"/>
    <xf numFmtId="0" fontId="5" fillId="0" borderId="0"/>
    <xf numFmtId="0" fontId="5" fillId="0" borderId="0"/>
    <xf numFmtId="0" fontId="81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81" fillId="0" borderId="0"/>
    <xf numFmtId="0" fontId="81" fillId="0" borderId="0"/>
    <xf numFmtId="0" fontId="5" fillId="0" borderId="0"/>
    <xf numFmtId="0" fontId="81" fillId="0" borderId="0"/>
    <xf numFmtId="0" fontId="21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82" fillId="0" borderId="0">
      <alignment vertical="center"/>
    </xf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14" fillId="0" borderId="0">
      <alignment vertical="center"/>
    </xf>
    <xf numFmtId="0" fontId="5" fillId="0" borderId="0"/>
    <xf numFmtId="0" fontId="5" fillId="0" borderId="0"/>
    <xf numFmtId="0" fontId="14" fillId="0" borderId="0">
      <alignment vertical="center"/>
    </xf>
    <xf numFmtId="0" fontId="5" fillId="0" borderId="0"/>
    <xf numFmtId="0" fontId="5" fillId="0" borderId="0"/>
    <xf numFmtId="0" fontId="1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17" fillId="0" borderId="0"/>
    <xf numFmtId="0" fontId="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83" fillId="0" borderId="0">
      <alignment vertical="center"/>
    </xf>
    <xf numFmtId="0" fontId="14" fillId="0" borderId="0">
      <alignment vertical="center"/>
    </xf>
    <xf numFmtId="0" fontId="21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8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8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85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5" fillId="0" borderId="0"/>
    <xf numFmtId="0" fontId="5" fillId="0" borderId="0"/>
    <xf numFmtId="0" fontId="1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1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0" fillId="0" borderId="0">
      <alignment vertical="center"/>
    </xf>
    <xf numFmtId="0" fontId="5" fillId="0" borderId="0"/>
    <xf numFmtId="0" fontId="5" fillId="0" borderId="0">
      <alignment vertical="center"/>
    </xf>
    <xf numFmtId="0" fontId="8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5" fillId="0" borderId="0">
      <alignment vertical="center"/>
    </xf>
    <xf numFmtId="0" fontId="8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19" fillId="0" borderId="0"/>
    <xf numFmtId="0" fontId="85" fillId="0" borderId="0">
      <alignment vertical="center"/>
    </xf>
    <xf numFmtId="0" fontId="19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6" fillId="0" borderId="0"/>
    <xf numFmtId="0" fontId="87" fillId="0" borderId="0"/>
    <xf numFmtId="0" fontId="57" fillId="0" borderId="0"/>
    <xf numFmtId="49" fontId="15" fillId="0" borderId="0" applyFill="0" applyBorder="0"/>
    <xf numFmtId="0" fontId="88" fillId="0" borderId="0"/>
    <xf numFmtId="0" fontId="89" fillId="0" borderId="0"/>
    <xf numFmtId="0" fontId="88" fillId="0" borderId="0"/>
    <xf numFmtId="0" fontId="90" fillId="5" borderId="0" applyNumberFormat="0" applyBorder="0" applyAlignment="0" applyProtection="0">
      <alignment vertical="center"/>
    </xf>
    <xf numFmtId="0" fontId="90" fillId="5" borderId="0" applyNumberFormat="0" applyBorder="0" applyAlignment="0" applyProtection="0">
      <alignment vertical="center"/>
    </xf>
    <xf numFmtId="0" fontId="90" fillId="5" borderId="0" applyNumberFormat="0" applyBorder="0" applyAlignment="0" applyProtection="0">
      <alignment vertical="center"/>
    </xf>
    <xf numFmtId="0" fontId="90" fillId="5" borderId="0" applyNumberFormat="0" applyBorder="0" applyAlignment="0" applyProtection="0">
      <alignment vertical="center"/>
    </xf>
    <xf numFmtId="0" fontId="90" fillId="5" borderId="0" applyNumberFormat="0" applyBorder="0" applyAlignment="0" applyProtection="0">
      <alignment vertical="center"/>
    </xf>
    <xf numFmtId="0" fontId="90" fillId="5" borderId="0" applyNumberFormat="0" applyBorder="0" applyAlignment="0" applyProtection="0">
      <alignment vertical="center"/>
    </xf>
    <xf numFmtId="0" fontId="90" fillId="5" borderId="0" applyNumberFormat="0" applyBorder="0" applyAlignment="0" applyProtection="0">
      <alignment vertical="center"/>
    </xf>
    <xf numFmtId="0" fontId="90" fillId="5" borderId="0" applyNumberFormat="0" applyBorder="0" applyAlignment="0" applyProtection="0">
      <alignment vertical="center"/>
    </xf>
    <xf numFmtId="0" fontId="5" fillId="0" borderId="0"/>
    <xf numFmtId="0" fontId="3" fillId="0" borderId="0">
      <alignment vertical="center"/>
    </xf>
    <xf numFmtId="0" fontId="91" fillId="0" borderId="0"/>
    <xf numFmtId="0" fontId="91" fillId="0" borderId="0"/>
    <xf numFmtId="186" fontId="91" fillId="0" borderId="0"/>
    <xf numFmtId="186" fontId="9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9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66">
    <xf numFmtId="0" fontId="0" fillId="0" borderId="0" xfId="0"/>
    <xf numFmtId="0" fontId="95" fillId="0" borderId="0" xfId="1946" applyFont="1" applyFill="1">
      <alignment vertical="center"/>
    </xf>
    <xf numFmtId="0" fontId="19" fillId="0" borderId="9" xfId="1946" applyFont="1" applyFill="1" applyBorder="1">
      <alignment vertical="center"/>
    </xf>
    <xf numFmtId="0" fontId="19" fillId="0" borderId="20" xfId="1946" applyFont="1" applyFill="1" applyBorder="1">
      <alignment vertical="center"/>
    </xf>
    <xf numFmtId="0" fontId="94" fillId="0" borderId="9" xfId="1946" applyFont="1" applyFill="1" applyBorder="1" applyAlignment="1">
      <alignment vertical="center" wrapText="1"/>
    </xf>
    <xf numFmtId="0" fontId="94" fillId="0" borderId="9" xfId="1946" applyFont="1" applyFill="1" applyBorder="1">
      <alignment vertical="center"/>
    </xf>
    <xf numFmtId="0" fontId="94" fillId="0" borderId="6" xfId="1946" applyFont="1" applyFill="1" applyBorder="1">
      <alignment vertical="center"/>
    </xf>
    <xf numFmtId="0" fontId="7" fillId="0" borderId="44" xfId="1946" applyFont="1" applyFill="1" applyBorder="1" applyAlignment="1">
      <alignment horizontal="center" vertical="center" wrapText="1"/>
    </xf>
    <xf numFmtId="0" fontId="95" fillId="0" borderId="0" xfId="1946" applyFont="1">
      <alignment vertical="center"/>
    </xf>
    <xf numFmtId="49" fontId="7" fillId="0" borderId="36" xfId="1946" applyNumberFormat="1" applyFont="1" applyBorder="1">
      <alignment vertical="center"/>
    </xf>
    <xf numFmtId="49" fontId="7" fillId="0" borderId="21" xfId="1946" applyNumberFormat="1" applyFont="1" applyBorder="1">
      <alignment vertical="center"/>
    </xf>
    <xf numFmtId="49" fontId="7" fillId="0" borderId="22" xfId="1946" applyNumberFormat="1" applyFont="1" applyBorder="1">
      <alignment vertical="center"/>
    </xf>
    <xf numFmtId="38" fontId="7" fillId="0" borderId="21" xfId="1953" applyFont="1" applyBorder="1" applyAlignment="1">
      <alignment horizontal="right" vertical="center"/>
    </xf>
    <xf numFmtId="49" fontId="7" fillId="0" borderId="22" xfId="1946" applyNumberFormat="1" applyFont="1" applyBorder="1" applyAlignment="1">
      <alignment horizontal="right" vertical="center"/>
    </xf>
    <xf numFmtId="49" fontId="7" fillId="0" borderId="23" xfId="1946" applyNumberFormat="1" applyFont="1" applyBorder="1" applyAlignment="1">
      <alignment horizontal="right" vertical="center"/>
    </xf>
    <xf numFmtId="4" fontId="7" fillId="0" borderId="21" xfId="1946" applyNumberFormat="1" applyFont="1" applyBorder="1" applyAlignment="1">
      <alignment horizontal="right" vertical="center"/>
    </xf>
    <xf numFmtId="3" fontId="7" fillId="0" borderId="21" xfId="1946" applyNumberFormat="1" applyFont="1" applyBorder="1" applyAlignment="1">
      <alignment horizontal="right" vertical="center"/>
    </xf>
    <xf numFmtId="3" fontId="7" fillId="0" borderId="22" xfId="1946" applyNumberFormat="1" applyFont="1" applyBorder="1" applyAlignment="1">
      <alignment horizontal="right" vertical="center"/>
    </xf>
    <xf numFmtId="3" fontId="7" fillId="0" borderId="23" xfId="1946" applyNumberFormat="1" applyFont="1" applyBorder="1" applyAlignment="1">
      <alignment horizontal="right" vertical="center"/>
    </xf>
    <xf numFmtId="189" fontId="7" fillId="0" borderId="37" xfId="1946" applyNumberFormat="1" applyFont="1" applyBorder="1" applyAlignment="1">
      <alignment horizontal="right" vertical="center"/>
    </xf>
    <xf numFmtId="0" fontId="19" fillId="0" borderId="0" xfId="1946" applyFont="1">
      <alignment vertical="center"/>
    </xf>
    <xf numFmtId="0" fontId="93" fillId="0" borderId="20" xfId="1946" applyFont="1" applyFill="1" applyBorder="1" applyAlignment="1">
      <alignment horizontal="right" vertical="center"/>
    </xf>
    <xf numFmtId="14" fontId="93" fillId="0" borderId="20" xfId="1946" applyNumberFormat="1" applyFont="1" applyFill="1" applyBorder="1">
      <alignment vertical="center"/>
    </xf>
    <xf numFmtId="14" fontId="93" fillId="0" borderId="20" xfId="1946" applyNumberFormat="1" applyFont="1" applyFill="1" applyBorder="1" applyAlignment="1">
      <alignment horizontal="right" vertical="center"/>
    </xf>
    <xf numFmtId="0" fontId="97" fillId="0" borderId="20" xfId="1946" applyFont="1" applyFill="1" applyBorder="1" applyAlignment="1">
      <alignment horizontal="right" vertical="center"/>
    </xf>
    <xf numFmtId="14" fontId="19" fillId="0" borderId="20" xfId="1946" applyNumberFormat="1" applyFont="1" applyFill="1" applyBorder="1" applyAlignment="1">
      <alignment horizontal="right" vertical="center"/>
    </xf>
    <xf numFmtId="14" fontId="97" fillId="0" borderId="20" xfId="1946" applyNumberFormat="1" applyFont="1" applyFill="1" applyBorder="1">
      <alignment vertical="center"/>
    </xf>
    <xf numFmtId="0" fontId="19" fillId="0" borderId="8" xfId="1946" applyFont="1" applyFill="1" applyBorder="1" applyAlignment="1">
      <alignment horizontal="right" vertical="center"/>
    </xf>
    <xf numFmtId="0" fontId="7" fillId="0" borderId="39" xfId="1946" applyFont="1" applyFill="1" applyBorder="1" applyAlignment="1">
      <alignment horizontal="center" vertical="center" wrapText="1"/>
    </xf>
    <xf numFmtId="0" fontId="7" fillId="0" borderId="37" xfId="1946" applyFont="1" applyFill="1" applyBorder="1" applyAlignment="1">
      <alignment horizontal="center" vertical="center" wrapText="1"/>
    </xf>
    <xf numFmtId="0" fontId="7" fillId="0" borderId="21" xfId="1946" applyFont="1" applyFill="1" applyBorder="1" applyAlignment="1">
      <alignment horizontal="center" vertical="center" wrapText="1"/>
    </xf>
    <xf numFmtId="0" fontId="93" fillId="0" borderId="20" xfId="1946" applyFont="1" applyFill="1" applyBorder="1" applyAlignment="1">
      <alignment vertical="center" wrapText="1"/>
    </xf>
    <xf numFmtId="0" fontId="7" fillId="0" borderId="23" xfId="1946" applyFont="1" applyFill="1" applyBorder="1" applyAlignment="1">
      <alignment horizontal="center" vertical="center" wrapText="1"/>
    </xf>
    <xf numFmtId="0" fontId="7" fillId="0" borderId="36" xfId="1946" applyFont="1" applyFill="1" applyBorder="1" applyAlignment="1">
      <alignment horizontal="center" vertical="center" wrapText="1"/>
    </xf>
    <xf numFmtId="0" fontId="7" fillId="0" borderId="22" xfId="1946" applyFont="1" applyFill="1" applyBorder="1" applyAlignment="1">
      <alignment horizontal="center" vertical="center" wrapText="1"/>
    </xf>
    <xf numFmtId="0" fontId="7" fillId="0" borderId="23" xfId="1946" applyFont="1" applyFill="1" applyBorder="1" applyAlignment="1">
      <alignment horizontal="center" vertical="center" wrapText="1"/>
    </xf>
    <xf numFmtId="0" fontId="7" fillId="0" borderId="45" xfId="1946" applyFont="1" applyFill="1" applyBorder="1" applyAlignment="1">
      <alignment horizontal="center" vertical="center" wrapText="1"/>
    </xf>
    <xf numFmtId="0" fontId="7" fillId="0" borderId="27" xfId="1946" applyFont="1" applyFill="1" applyBorder="1" applyAlignment="1">
      <alignment horizontal="center" vertical="center" wrapText="1"/>
    </xf>
    <xf numFmtId="0" fontId="7" fillId="0" borderId="24" xfId="1946" applyFont="1" applyFill="1" applyBorder="1" applyAlignment="1">
      <alignment horizontal="center" vertical="center" wrapText="1"/>
    </xf>
    <xf numFmtId="0" fontId="7" fillId="0" borderId="35" xfId="1946" applyFont="1" applyFill="1" applyBorder="1" applyAlignment="1">
      <alignment horizontal="center" vertical="center" wrapText="1"/>
    </xf>
    <xf numFmtId="0" fontId="7" fillId="0" borderId="37" xfId="1946" applyFont="1" applyFill="1" applyBorder="1" applyAlignment="1">
      <alignment horizontal="center" vertical="center" wrapText="1"/>
    </xf>
    <xf numFmtId="0" fontId="7" fillId="0" borderId="40" xfId="1946" applyFont="1" applyFill="1" applyBorder="1" applyAlignment="1">
      <alignment horizontal="center" vertical="center" wrapText="1"/>
    </xf>
    <xf numFmtId="0" fontId="7" fillId="0" borderId="41" xfId="1946" applyFont="1" applyFill="1" applyBorder="1" applyAlignment="1">
      <alignment horizontal="center" vertical="center" wrapText="1"/>
    </xf>
    <xf numFmtId="0" fontId="7" fillId="0" borderId="38" xfId="1946" applyFont="1" applyFill="1" applyBorder="1" applyAlignment="1">
      <alignment horizontal="center" vertical="center" wrapText="1"/>
    </xf>
    <xf numFmtId="0" fontId="7" fillId="0" borderId="29" xfId="1946" applyFont="1" applyFill="1" applyBorder="1" applyAlignment="1">
      <alignment horizontal="center" vertical="center" wrapText="1"/>
    </xf>
    <xf numFmtId="0" fontId="7" fillId="0" borderId="42" xfId="1946" applyFont="1" applyFill="1" applyBorder="1" applyAlignment="1">
      <alignment horizontal="center" vertical="center" wrapText="1"/>
    </xf>
    <xf numFmtId="0" fontId="7" fillId="0" borderId="43" xfId="1946" applyFont="1" applyFill="1" applyBorder="1" applyAlignment="1">
      <alignment horizontal="center" vertical="center" wrapText="1"/>
    </xf>
    <xf numFmtId="0" fontId="96" fillId="0" borderId="23" xfId="1946" applyFont="1" applyFill="1" applyBorder="1" applyAlignment="1">
      <alignment horizontal="center" vertical="center" wrapText="1"/>
    </xf>
    <xf numFmtId="0" fontId="7" fillId="0" borderId="21" xfId="1946" applyFont="1" applyFill="1" applyBorder="1" applyAlignment="1">
      <alignment horizontal="center" vertical="center" wrapText="1"/>
    </xf>
    <xf numFmtId="0" fontId="93" fillId="0" borderId="5" xfId="1946" applyFont="1" applyFill="1" applyBorder="1" applyAlignment="1">
      <alignment vertical="center" wrapText="1"/>
    </xf>
    <xf numFmtId="0" fontId="93" fillId="0" borderId="9" xfId="1946" applyFont="1" applyFill="1" applyBorder="1" applyAlignment="1">
      <alignment vertical="center" wrapText="1"/>
    </xf>
    <xf numFmtId="0" fontId="93" fillId="0" borderId="7" xfId="1946" applyFont="1" applyFill="1" applyBorder="1" applyAlignment="1">
      <alignment vertical="center" wrapText="1"/>
    </xf>
    <xf numFmtId="0" fontId="93" fillId="0" borderId="20" xfId="1946" applyFont="1" applyFill="1" applyBorder="1" applyAlignment="1">
      <alignment vertical="center" wrapText="1"/>
    </xf>
    <xf numFmtId="14" fontId="19" fillId="0" borderId="20" xfId="1946" applyNumberFormat="1" applyFont="1" applyFill="1" applyBorder="1" applyAlignment="1">
      <alignment horizontal="left" vertical="center"/>
    </xf>
    <xf numFmtId="0" fontId="7" fillId="0" borderId="34" xfId="1946" applyFont="1" applyFill="1" applyBorder="1" applyAlignment="1">
      <alignment horizontal="center" vertical="center" wrapText="1"/>
    </xf>
    <xf numFmtId="0" fontId="7" fillId="0" borderId="36" xfId="1946" applyFont="1" applyFill="1" applyBorder="1" applyAlignment="1">
      <alignment horizontal="center" vertical="center" wrapText="1"/>
    </xf>
    <xf numFmtId="0" fontId="7" fillId="0" borderId="32" xfId="1946" applyFont="1" applyFill="1" applyBorder="1" applyAlignment="1">
      <alignment horizontal="center" vertical="center" wrapText="1"/>
    </xf>
    <xf numFmtId="0" fontId="7" fillId="0" borderId="33" xfId="1946" applyFont="1" applyFill="1" applyBorder="1" applyAlignment="1">
      <alignment horizontal="center" vertical="center" wrapText="1"/>
    </xf>
    <xf numFmtId="0" fontId="7" fillId="0" borderId="25" xfId="1946" applyFont="1" applyFill="1" applyBorder="1" applyAlignment="1">
      <alignment horizontal="center" vertical="center" wrapText="1"/>
    </xf>
    <xf numFmtId="0" fontId="7" fillId="0" borderId="28" xfId="1946" applyFont="1" applyFill="1" applyBorder="1" applyAlignment="1">
      <alignment horizontal="center" vertical="center" wrapText="1"/>
    </xf>
    <xf numFmtId="0" fontId="7" fillId="0" borderId="26" xfId="1946" applyFont="1" applyFill="1" applyBorder="1" applyAlignment="1">
      <alignment horizontal="center" vertical="center" wrapText="1"/>
    </xf>
    <xf numFmtId="0" fontId="7" fillId="0" borderId="30" xfId="1946" applyFont="1" applyFill="1" applyBorder="1" applyAlignment="1">
      <alignment horizontal="center" vertical="top" wrapText="1"/>
    </xf>
    <xf numFmtId="0" fontId="7" fillId="0" borderId="31" xfId="1946" applyFont="1" applyFill="1" applyBorder="1" applyAlignment="1">
      <alignment horizontal="center" vertical="top" wrapText="1"/>
    </xf>
    <xf numFmtId="0" fontId="7" fillId="0" borderId="32" xfId="1946" applyFont="1" applyFill="1" applyBorder="1" applyAlignment="1">
      <alignment horizontal="center" vertical="top" wrapText="1"/>
    </xf>
    <xf numFmtId="0" fontId="7" fillId="0" borderId="9" xfId="1946" applyFont="1" applyFill="1" applyBorder="1" applyAlignment="1">
      <alignment horizontal="center" vertical="top" wrapText="1"/>
    </xf>
    <xf numFmtId="0" fontId="7" fillId="0" borderId="33" xfId="1946" applyFont="1" applyFill="1" applyBorder="1" applyAlignment="1">
      <alignment horizontal="center" vertical="top" wrapText="1"/>
    </xf>
  </cellXfs>
  <cellStyles count="1954">
    <cellStyle name="_x000c_ーセン_x000c_" xfId="17" xr:uid="{00000000-0005-0000-0000-000000000000}"/>
    <cellStyle name="_x000d__x000a_JournalTemplate=C:\COMFO\CTALK\JOURSTD.TPL_x000d__x000a_LbStateAddress=3 3 0 251 1 89 2 311_x000d__x000a_LbStateJou" xfId="18" xr:uid="{00000000-0005-0000-0000-000001000000}"/>
    <cellStyle name="0,0_x000d__x000a_NA_x000d__x000a_" xfId="19" xr:uid="{00000000-0005-0000-0000-000002000000}"/>
    <cellStyle name="20% - Accent1" xfId="20" xr:uid="{00000000-0005-0000-0000-000003000000}"/>
    <cellStyle name="20% - Accent2" xfId="21" xr:uid="{00000000-0005-0000-0000-000004000000}"/>
    <cellStyle name="20% - Accent3" xfId="22" xr:uid="{00000000-0005-0000-0000-000005000000}"/>
    <cellStyle name="20% - Accent4" xfId="23" xr:uid="{00000000-0005-0000-0000-000006000000}"/>
    <cellStyle name="20% - Accent5" xfId="24" xr:uid="{00000000-0005-0000-0000-000007000000}"/>
    <cellStyle name="20% - Accent6" xfId="25" xr:uid="{00000000-0005-0000-0000-000008000000}"/>
    <cellStyle name="20% - アクセント 1 2" xfId="26" xr:uid="{00000000-0005-0000-0000-000009000000}"/>
    <cellStyle name="20% - アクセント 1 3" xfId="27" xr:uid="{00000000-0005-0000-0000-00000A000000}"/>
    <cellStyle name="20% - アクセント 1 4" xfId="28" xr:uid="{00000000-0005-0000-0000-00000B000000}"/>
    <cellStyle name="20% - アクセント 1 5" xfId="29" xr:uid="{00000000-0005-0000-0000-00000C000000}"/>
    <cellStyle name="20% - アクセント 1 6" xfId="30" xr:uid="{00000000-0005-0000-0000-00000D000000}"/>
    <cellStyle name="20% - アクセント 1 7" xfId="31" xr:uid="{00000000-0005-0000-0000-00000E000000}"/>
    <cellStyle name="20% - アクセント 1 8" xfId="32" xr:uid="{00000000-0005-0000-0000-00000F000000}"/>
    <cellStyle name="20% - アクセント 1 9" xfId="33" xr:uid="{00000000-0005-0000-0000-000010000000}"/>
    <cellStyle name="20% - アクセント 2 2" xfId="34" xr:uid="{00000000-0005-0000-0000-000011000000}"/>
    <cellStyle name="20% - アクセント 2 3" xfId="35" xr:uid="{00000000-0005-0000-0000-000012000000}"/>
    <cellStyle name="20% - アクセント 2 4" xfId="36" xr:uid="{00000000-0005-0000-0000-000013000000}"/>
    <cellStyle name="20% - アクセント 2 5" xfId="37" xr:uid="{00000000-0005-0000-0000-000014000000}"/>
    <cellStyle name="20% - アクセント 2 6" xfId="38" xr:uid="{00000000-0005-0000-0000-000015000000}"/>
    <cellStyle name="20% - アクセント 2 7" xfId="39" xr:uid="{00000000-0005-0000-0000-000016000000}"/>
    <cellStyle name="20% - アクセント 2 8" xfId="40" xr:uid="{00000000-0005-0000-0000-000017000000}"/>
    <cellStyle name="20% - アクセント 2 9" xfId="41" xr:uid="{00000000-0005-0000-0000-000018000000}"/>
    <cellStyle name="20% - アクセント 3 2" xfId="42" xr:uid="{00000000-0005-0000-0000-000019000000}"/>
    <cellStyle name="20% - アクセント 3 3" xfId="43" xr:uid="{00000000-0005-0000-0000-00001A000000}"/>
    <cellStyle name="20% - アクセント 3 4" xfId="44" xr:uid="{00000000-0005-0000-0000-00001B000000}"/>
    <cellStyle name="20% - アクセント 3 5" xfId="45" xr:uid="{00000000-0005-0000-0000-00001C000000}"/>
    <cellStyle name="20% - アクセント 3 6" xfId="46" xr:uid="{00000000-0005-0000-0000-00001D000000}"/>
    <cellStyle name="20% - アクセント 3 7" xfId="47" xr:uid="{00000000-0005-0000-0000-00001E000000}"/>
    <cellStyle name="20% - アクセント 3 8" xfId="48" xr:uid="{00000000-0005-0000-0000-00001F000000}"/>
    <cellStyle name="20% - アクセント 3 9" xfId="49" xr:uid="{00000000-0005-0000-0000-000020000000}"/>
    <cellStyle name="20% - アクセント 4 2" xfId="50" xr:uid="{00000000-0005-0000-0000-000021000000}"/>
    <cellStyle name="20% - アクセント 4 3" xfId="51" xr:uid="{00000000-0005-0000-0000-000022000000}"/>
    <cellStyle name="20% - アクセント 4 4" xfId="52" xr:uid="{00000000-0005-0000-0000-000023000000}"/>
    <cellStyle name="20% - アクセント 4 5" xfId="53" xr:uid="{00000000-0005-0000-0000-000024000000}"/>
    <cellStyle name="20% - アクセント 4 6" xfId="54" xr:uid="{00000000-0005-0000-0000-000025000000}"/>
    <cellStyle name="20% - アクセント 4 7" xfId="55" xr:uid="{00000000-0005-0000-0000-000026000000}"/>
    <cellStyle name="20% - アクセント 4 8" xfId="56" xr:uid="{00000000-0005-0000-0000-000027000000}"/>
    <cellStyle name="20% - アクセント 4 9" xfId="57" xr:uid="{00000000-0005-0000-0000-000028000000}"/>
    <cellStyle name="20% - アクセント 5 2" xfId="58" xr:uid="{00000000-0005-0000-0000-000029000000}"/>
    <cellStyle name="20% - アクセント 5 3" xfId="59" xr:uid="{00000000-0005-0000-0000-00002A000000}"/>
    <cellStyle name="20% - アクセント 5 4" xfId="60" xr:uid="{00000000-0005-0000-0000-00002B000000}"/>
    <cellStyle name="20% - アクセント 5 5" xfId="61" xr:uid="{00000000-0005-0000-0000-00002C000000}"/>
    <cellStyle name="20% - アクセント 5 6" xfId="62" xr:uid="{00000000-0005-0000-0000-00002D000000}"/>
    <cellStyle name="20% - アクセント 5 7" xfId="63" xr:uid="{00000000-0005-0000-0000-00002E000000}"/>
    <cellStyle name="20% - アクセント 5 8" xfId="64" xr:uid="{00000000-0005-0000-0000-00002F000000}"/>
    <cellStyle name="20% - アクセント 5 9" xfId="65" xr:uid="{00000000-0005-0000-0000-000030000000}"/>
    <cellStyle name="20% - アクセント 6 2" xfId="66" xr:uid="{00000000-0005-0000-0000-000031000000}"/>
    <cellStyle name="20% - アクセント 6 3" xfId="67" xr:uid="{00000000-0005-0000-0000-000032000000}"/>
    <cellStyle name="20% - アクセント 6 4" xfId="68" xr:uid="{00000000-0005-0000-0000-000033000000}"/>
    <cellStyle name="20% - アクセント 6 5" xfId="69" xr:uid="{00000000-0005-0000-0000-000034000000}"/>
    <cellStyle name="20% - アクセント 6 6" xfId="70" xr:uid="{00000000-0005-0000-0000-000035000000}"/>
    <cellStyle name="20% - アクセント 6 7" xfId="71" xr:uid="{00000000-0005-0000-0000-000036000000}"/>
    <cellStyle name="20% - アクセント 6 8" xfId="72" xr:uid="{00000000-0005-0000-0000-000037000000}"/>
    <cellStyle name="20% - アクセント 6 9" xfId="73" xr:uid="{00000000-0005-0000-0000-000038000000}"/>
    <cellStyle name="40% - Accent1" xfId="74" xr:uid="{00000000-0005-0000-0000-000039000000}"/>
    <cellStyle name="40% - Accent2" xfId="75" xr:uid="{00000000-0005-0000-0000-00003A000000}"/>
    <cellStyle name="40% - Accent3" xfId="76" xr:uid="{00000000-0005-0000-0000-00003B000000}"/>
    <cellStyle name="40% - Accent4" xfId="77" xr:uid="{00000000-0005-0000-0000-00003C000000}"/>
    <cellStyle name="40% - Accent5" xfId="78" xr:uid="{00000000-0005-0000-0000-00003D000000}"/>
    <cellStyle name="40% - Accent6" xfId="79" xr:uid="{00000000-0005-0000-0000-00003E000000}"/>
    <cellStyle name="40% - アクセント 1 2" xfId="80" xr:uid="{00000000-0005-0000-0000-00003F000000}"/>
    <cellStyle name="40% - アクセント 1 3" xfId="81" xr:uid="{00000000-0005-0000-0000-000040000000}"/>
    <cellStyle name="40% - アクセント 1 4" xfId="82" xr:uid="{00000000-0005-0000-0000-000041000000}"/>
    <cellStyle name="40% - アクセント 1 5" xfId="83" xr:uid="{00000000-0005-0000-0000-000042000000}"/>
    <cellStyle name="40% - アクセント 1 6" xfId="84" xr:uid="{00000000-0005-0000-0000-000043000000}"/>
    <cellStyle name="40% - アクセント 1 7" xfId="85" xr:uid="{00000000-0005-0000-0000-000044000000}"/>
    <cellStyle name="40% - アクセント 1 8" xfId="86" xr:uid="{00000000-0005-0000-0000-000045000000}"/>
    <cellStyle name="40% - アクセント 1 9" xfId="87" xr:uid="{00000000-0005-0000-0000-000046000000}"/>
    <cellStyle name="40% - アクセント 2 2" xfId="88" xr:uid="{00000000-0005-0000-0000-000047000000}"/>
    <cellStyle name="40% - アクセント 2 3" xfId="89" xr:uid="{00000000-0005-0000-0000-000048000000}"/>
    <cellStyle name="40% - アクセント 2 4" xfId="90" xr:uid="{00000000-0005-0000-0000-000049000000}"/>
    <cellStyle name="40% - アクセント 2 5" xfId="91" xr:uid="{00000000-0005-0000-0000-00004A000000}"/>
    <cellStyle name="40% - アクセント 2 6" xfId="92" xr:uid="{00000000-0005-0000-0000-00004B000000}"/>
    <cellStyle name="40% - アクセント 2 7" xfId="93" xr:uid="{00000000-0005-0000-0000-00004C000000}"/>
    <cellStyle name="40% - アクセント 2 8" xfId="94" xr:uid="{00000000-0005-0000-0000-00004D000000}"/>
    <cellStyle name="40% - アクセント 2 9" xfId="95" xr:uid="{00000000-0005-0000-0000-00004E000000}"/>
    <cellStyle name="40% - アクセント 3 2" xfId="96" xr:uid="{00000000-0005-0000-0000-00004F000000}"/>
    <cellStyle name="40% - アクセント 3 3" xfId="97" xr:uid="{00000000-0005-0000-0000-000050000000}"/>
    <cellStyle name="40% - アクセント 3 4" xfId="98" xr:uid="{00000000-0005-0000-0000-000051000000}"/>
    <cellStyle name="40% - アクセント 3 5" xfId="99" xr:uid="{00000000-0005-0000-0000-000052000000}"/>
    <cellStyle name="40% - アクセント 3 6" xfId="100" xr:uid="{00000000-0005-0000-0000-000053000000}"/>
    <cellStyle name="40% - アクセント 3 7" xfId="101" xr:uid="{00000000-0005-0000-0000-000054000000}"/>
    <cellStyle name="40% - アクセント 3 8" xfId="102" xr:uid="{00000000-0005-0000-0000-000055000000}"/>
    <cellStyle name="40% - アクセント 3 9" xfId="103" xr:uid="{00000000-0005-0000-0000-000056000000}"/>
    <cellStyle name="40% - アクセント 4 2" xfId="104" xr:uid="{00000000-0005-0000-0000-000057000000}"/>
    <cellStyle name="40% - アクセント 4 3" xfId="105" xr:uid="{00000000-0005-0000-0000-000058000000}"/>
    <cellStyle name="40% - アクセント 4 4" xfId="106" xr:uid="{00000000-0005-0000-0000-000059000000}"/>
    <cellStyle name="40% - アクセント 4 5" xfId="107" xr:uid="{00000000-0005-0000-0000-00005A000000}"/>
    <cellStyle name="40% - アクセント 4 6" xfId="108" xr:uid="{00000000-0005-0000-0000-00005B000000}"/>
    <cellStyle name="40% - アクセント 4 7" xfId="109" xr:uid="{00000000-0005-0000-0000-00005C000000}"/>
    <cellStyle name="40% - アクセント 4 8" xfId="110" xr:uid="{00000000-0005-0000-0000-00005D000000}"/>
    <cellStyle name="40% - アクセント 4 9" xfId="111" xr:uid="{00000000-0005-0000-0000-00005E000000}"/>
    <cellStyle name="40% - アクセント 5 2" xfId="112" xr:uid="{00000000-0005-0000-0000-00005F000000}"/>
    <cellStyle name="40% - アクセント 5 3" xfId="113" xr:uid="{00000000-0005-0000-0000-000060000000}"/>
    <cellStyle name="40% - アクセント 5 4" xfId="114" xr:uid="{00000000-0005-0000-0000-000061000000}"/>
    <cellStyle name="40% - アクセント 5 5" xfId="115" xr:uid="{00000000-0005-0000-0000-000062000000}"/>
    <cellStyle name="40% - アクセント 5 6" xfId="116" xr:uid="{00000000-0005-0000-0000-000063000000}"/>
    <cellStyle name="40% - アクセント 5 7" xfId="117" xr:uid="{00000000-0005-0000-0000-000064000000}"/>
    <cellStyle name="40% - アクセント 5 8" xfId="118" xr:uid="{00000000-0005-0000-0000-000065000000}"/>
    <cellStyle name="40% - アクセント 5 9" xfId="119" xr:uid="{00000000-0005-0000-0000-000066000000}"/>
    <cellStyle name="40% - アクセント 6 2" xfId="120" xr:uid="{00000000-0005-0000-0000-000067000000}"/>
    <cellStyle name="40% - アクセント 6 3" xfId="121" xr:uid="{00000000-0005-0000-0000-000068000000}"/>
    <cellStyle name="40% - アクセント 6 4" xfId="122" xr:uid="{00000000-0005-0000-0000-000069000000}"/>
    <cellStyle name="40% - アクセント 6 5" xfId="123" xr:uid="{00000000-0005-0000-0000-00006A000000}"/>
    <cellStyle name="40% - アクセント 6 6" xfId="124" xr:uid="{00000000-0005-0000-0000-00006B000000}"/>
    <cellStyle name="40% - アクセント 6 7" xfId="125" xr:uid="{00000000-0005-0000-0000-00006C000000}"/>
    <cellStyle name="40% - アクセント 6 8" xfId="126" xr:uid="{00000000-0005-0000-0000-00006D000000}"/>
    <cellStyle name="40% - アクセント 6 9" xfId="127" xr:uid="{00000000-0005-0000-0000-00006E000000}"/>
    <cellStyle name="60% - Accent1" xfId="128" xr:uid="{00000000-0005-0000-0000-00006F000000}"/>
    <cellStyle name="60% - Accent2" xfId="129" xr:uid="{00000000-0005-0000-0000-000070000000}"/>
    <cellStyle name="60% - Accent3" xfId="130" xr:uid="{00000000-0005-0000-0000-000071000000}"/>
    <cellStyle name="60% - Accent4" xfId="131" xr:uid="{00000000-0005-0000-0000-000072000000}"/>
    <cellStyle name="60% - Accent5" xfId="132" xr:uid="{00000000-0005-0000-0000-000073000000}"/>
    <cellStyle name="60% - Accent6" xfId="133" xr:uid="{00000000-0005-0000-0000-000074000000}"/>
    <cellStyle name="60% - アクセント 1 2" xfId="134" xr:uid="{00000000-0005-0000-0000-000075000000}"/>
    <cellStyle name="60% - アクセント 1 3" xfId="135" xr:uid="{00000000-0005-0000-0000-000076000000}"/>
    <cellStyle name="60% - アクセント 1 4" xfId="136" xr:uid="{00000000-0005-0000-0000-000077000000}"/>
    <cellStyle name="60% - アクセント 1 5" xfId="137" xr:uid="{00000000-0005-0000-0000-000078000000}"/>
    <cellStyle name="60% - アクセント 1 6" xfId="138" xr:uid="{00000000-0005-0000-0000-000079000000}"/>
    <cellStyle name="60% - アクセント 1 7" xfId="139" xr:uid="{00000000-0005-0000-0000-00007A000000}"/>
    <cellStyle name="60% - アクセント 1 8" xfId="140" xr:uid="{00000000-0005-0000-0000-00007B000000}"/>
    <cellStyle name="60% - アクセント 1 9" xfId="141" xr:uid="{00000000-0005-0000-0000-00007C000000}"/>
    <cellStyle name="60% - アクセント 2 2" xfId="142" xr:uid="{00000000-0005-0000-0000-00007D000000}"/>
    <cellStyle name="60% - アクセント 2 3" xfId="143" xr:uid="{00000000-0005-0000-0000-00007E000000}"/>
    <cellStyle name="60% - アクセント 2 4" xfId="144" xr:uid="{00000000-0005-0000-0000-00007F000000}"/>
    <cellStyle name="60% - アクセント 2 5" xfId="145" xr:uid="{00000000-0005-0000-0000-000080000000}"/>
    <cellStyle name="60% - アクセント 2 6" xfId="146" xr:uid="{00000000-0005-0000-0000-000081000000}"/>
    <cellStyle name="60% - アクセント 2 7" xfId="147" xr:uid="{00000000-0005-0000-0000-000082000000}"/>
    <cellStyle name="60% - アクセント 2 8" xfId="148" xr:uid="{00000000-0005-0000-0000-000083000000}"/>
    <cellStyle name="60% - アクセント 2 9" xfId="149" xr:uid="{00000000-0005-0000-0000-000084000000}"/>
    <cellStyle name="60% - アクセント 3 2" xfId="150" xr:uid="{00000000-0005-0000-0000-000085000000}"/>
    <cellStyle name="60% - アクセント 3 3" xfId="151" xr:uid="{00000000-0005-0000-0000-000086000000}"/>
    <cellStyle name="60% - アクセント 3 4" xfId="152" xr:uid="{00000000-0005-0000-0000-000087000000}"/>
    <cellStyle name="60% - アクセント 3 5" xfId="153" xr:uid="{00000000-0005-0000-0000-000088000000}"/>
    <cellStyle name="60% - アクセント 3 6" xfId="154" xr:uid="{00000000-0005-0000-0000-000089000000}"/>
    <cellStyle name="60% - アクセント 3 7" xfId="155" xr:uid="{00000000-0005-0000-0000-00008A000000}"/>
    <cellStyle name="60% - アクセント 3 8" xfId="156" xr:uid="{00000000-0005-0000-0000-00008B000000}"/>
    <cellStyle name="60% - アクセント 3 9" xfId="157" xr:uid="{00000000-0005-0000-0000-00008C000000}"/>
    <cellStyle name="60% - アクセント 4 2" xfId="158" xr:uid="{00000000-0005-0000-0000-00008D000000}"/>
    <cellStyle name="60% - アクセント 4 3" xfId="159" xr:uid="{00000000-0005-0000-0000-00008E000000}"/>
    <cellStyle name="60% - アクセント 4 4" xfId="160" xr:uid="{00000000-0005-0000-0000-00008F000000}"/>
    <cellStyle name="60% - アクセント 4 5" xfId="161" xr:uid="{00000000-0005-0000-0000-000090000000}"/>
    <cellStyle name="60% - アクセント 4 6" xfId="162" xr:uid="{00000000-0005-0000-0000-000091000000}"/>
    <cellStyle name="60% - アクセント 4 7" xfId="163" xr:uid="{00000000-0005-0000-0000-000092000000}"/>
    <cellStyle name="60% - アクセント 4 8" xfId="164" xr:uid="{00000000-0005-0000-0000-000093000000}"/>
    <cellStyle name="60% - アクセント 4 9" xfId="165" xr:uid="{00000000-0005-0000-0000-000094000000}"/>
    <cellStyle name="60% - アクセント 5 2" xfId="166" xr:uid="{00000000-0005-0000-0000-000095000000}"/>
    <cellStyle name="60% - アクセント 5 3" xfId="167" xr:uid="{00000000-0005-0000-0000-000096000000}"/>
    <cellStyle name="60% - アクセント 5 4" xfId="168" xr:uid="{00000000-0005-0000-0000-000097000000}"/>
    <cellStyle name="60% - アクセント 5 5" xfId="169" xr:uid="{00000000-0005-0000-0000-000098000000}"/>
    <cellStyle name="60% - アクセント 5 6" xfId="170" xr:uid="{00000000-0005-0000-0000-000099000000}"/>
    <cellStyle name="60% - アクセント 5 7" xfId="171" xr:uid="{00000000-0005-0000-0000-00009A000000}"/>
    <cellStyle name="60% - アクセント 5 8" xfId="172" xr:uid="{00000000-0005-0000-0000-00009B000000}"/>
    <cellStyle name="60% - アクセント 5 9" xfId="173" xr:uid="{00000000-0005-0000-0000-00009C000000}"/>
    <cellStyle name="60% - アクセント 6 2" xfId="174" xr:uid="{00000000-0005-0000-0000-00009D000000}"/>
    <cellStyle name="60% - アクセント 6 3" xfId="175" xr:uid="{00000000-0005-0000-0000-00009E000000}"/>
    <cellStyle name="60% - アクセント 6 4" xfId="176" xr:uid="{00000000-0005-0000-0000-00009F000000}"/>
    <cellStyle name="60% - アクセント 6 5" xfId="177" xr:uid="{00000000-0005-0000-0000-0000A0000000}"/>
    <cellStyle name="60% - アクセント 6 6" xfId="178" xr:uid="{00000000-0005-0000-0000-0000A1000000}"/>
    <cellStyle name="60% - アクセント 6 7" xfId="179" xr:uid="{00000000-0005-0000-0000-0000A2000000}"/>
    <cellStyle name="60% - アクセント 6 8" xfId="180" xr:uid="{00000000-0005-0000-0000-0000A3000000}"/>
    <cellStyle name="60% - アクセント 6 9" xfId="181" xr:uid="{00000000-0005-0000-0000-0000A4000000}"/>
    <cellStyle name="Accent1" xfId="182" xr:uid="{00000000-0005-0000-0000-0000A5000000}"/>
    <cellStyle name="Accent2" xfId="183" xr:uid="{00000000-0005-0000-0000-0000A6000000}"/>
    <cellStyle name="Accent3" xfId="184" xr:uid="{00000000-0005-0000-0000-0000A7000000}"/>
    <cellStyle name="Accent4" xfId="185" xr:uid="{00000000-0005-0000-0000-0000A8000000}"/>
    <cellStyle name="Accent5" xfId="186" xr:uid="{00000000-0005-0000-0000-0000A9000000}"/>
    <cellStyle name="Accent6" xfId="187" xr:uid="{00000000-0005-0000-0000-0000AA000000}"/>
    <cellStyle name="args.style" xfId="188" xr:uid="{00000000-0005-0000-0000-0000AB000000}"/>
    <cellStyle name="B10" xfId="189" xr:uid="{00000000-0005-0000-0000-0000AC000000}"/>
    <cellStyle name="Bad" xfId="190" xr:uid="{00000000-0005-0000-0000-0000AD000000}"/>
    <cellStyle name="Body" xfId="191" xr:uid="{00000000-0005-0000-0000-0000AE000000}"/>
    <cellStyle name="Calc Currency (0)" xfId="2" xr:uid="{00000000-0005-0000-0000-0000AF000000}"/>
    <cellStyle name="Calc Currency (0) 2" xfId="192" xr:uid="{00000000-0005-0000-0000-0000B0000000}"/>
    <cellStyle name="Calculation" xfId="193" xr:uid="{00000000-0005-0000-0000-0000B1000000}"/>
    <cellStyle name="Calculation 2" xfId="194" xr:uid="{00000000-0005-0000-0000-0000B2000000}"/>
    <cellStyle name="Calculation 2 2" xfId="195" xr:uid="{00000000-0005-0000-0000-0000B3000000}"/>
    <cellStyle name="Calculation 2 2 2" xfId="196" xr:uid="{00000000-0005-0000-0000-0000B4000000}"/>
    <cellStyle name="Calculation 2 3" xfId="197" xr:uid="{00000000-0005-0000-0000-0000B5000000}"/>
    <cellStyle name="Calculation 2 3 2" xfId="198" xr:uid="{00000000-0005-0000-0000-0000B6000000}"/>
    <cellStyle name="Calculation 2 4" xfId="199" xr:uid="{00000000-0005-0000-0000-0000B7000000}"/>
    <cellStyle name="Calculation 2 4 2" xfId="200" xr:uid="{00000000-0005-0000-0000-0000B8000000}"/>
    <cellStyle name="Calculation 2 5" xfId="201" xr:uid="{00000000-0005-0000-0000-0000B9000000}"/>
    <cellStyle name="Calculation 2 5 2" xfId="202" xr:uid="{00000000-0005-0000-0000-0000BA000000}"/>
    <cellStyle name="Calculation 2 6" xfId="203" xr:uid="{00000000-0005-0000-0000-0000BB000000}"/>
    <cellStyle name="Calculation 2 6 2" xfId="204" xr:uid="{00000000-0005-0000-0000-0000BC000000}"/>
    <cellStyle name="Calculation 2 7" xfId="205" xr:uid="{00000000-0005-0000-0000-0000BD000000}"/>
    <cellStyle name="Calculation 3" xfId="206" xr:uid="{00000000-0005-0000-0000-0000BE000000}"/>
    <cellStyle name="Calculation 3 2" xfId="207" xr:uid="{00000000-0005-0000-0000-0000BF000000}"/>
    <cellStyle name="Calculation 4" xfId="208" xr:uid="{00000000-0005-0000-0000-0000C0000000}"/>
    <cellStyle name="Check Cell" xfId="209" xr:uid="{00000000-0005-0000-0000-0000C1000000}"/>
    <cellStyle name="Column Heading" xfId="210" xr:uid="{00000000-0005-0000-0000-0000C2000000}"/>
    <cellStyle name="Comma [0]_laroux" xfId="211" xr:uid="{00000000-0005-0000-0000-0000C3000000}"/>
    <cellStyle name="Comma_laroux" xfId="212" xr:uid="{00000000-0005-0000-0000-0000C4000000}"/>
    <cellStyle name="Currency [0]_laroux" xfId="213" xr:uid="{00000000-0005-0000-0000-0000C5000000}"/>
    <cellStyle name="Currency_laroux" xfId="214" xr:uid="{00000000-0005-0000-0000-0000C6000000}"/>
    <cellStyle name="entry" xfId="215" xr:uid="{00000000-0005-0000-0000-0000C7000000}"/>
    <cellStyle name="Explanatory Text" xfId="216" xr:uid="{00000000-0005-0000-0000-0000C8000000}"/>
    <cellStyle name="Good" xfId="217" xr:uid="{00000000-0005-0000-0000-0000C9000000}"/>
    <cellStyle name="Grey" xfId="218" xr:uid="{00000000-0005-0000-0000-0000CA000000}"/>
    <cellStyle name="Head 1" xfId="219" xr:uid="{00000000-0005-0000-0000-0000CB000000}"/>
    <cellStyle name="Header1" xfId="3" xr:uid="{00000000-0005-0000-0000-0000CC000000}"/>
    <cellStyle name="Header2" xfId="4" xr:uid="{00000000-0005-0000-0000-0000CD000000}"/>
    <cellStyle name="Header2 2" xfId="220" xr:uid="{00000000-0005-0000-0000-0000CE000000}"/>
    <cellStyle name="Header2 2 2" xfId="221" xr:uid="{00000000-0005-0000-0000-0000CF000000}"/>
    <cellStyle name="Header2 2 2 2" xfId="222" xr:uid="{00000000-0005-0000-0000-0000D0000000}"/>
    <cellStyle name="Header2 2 2 3" xfId="223" xr:uid="{00000000-0005-0000-0000-0000D1000000}"/>
    <cellStyle name="Header2 2 2 4" xfId="224" xr:uid="{00000000-0005-0000-0000-0000D2000000}"/>
    <cellStyle name="Header2 2 2 5" xfId="225" xr:uid="{00000000-0005-0000-0000-0000D3000000}"/>
    <cellStyle name="Header2 2 2 6" xfId="226" xr:uid="{00000000-0005-0000-0000-0000D4000000}"/>
    <cellStyle name="Header2 2 2 7" xfId="227" xr:uid="{00000000-0005-0000-0000-0000D5000000}"/>
    <cellStyle name="Header2 2 2 7 2" xfId="228" xr:uid="{00000000-0005-0000-0000-0000D6000000}"/>
    <cellStyle name="Header2 2 3" xfId="229" xr:uid="{00000000-0005-0000-0000-0000D7000000}"/>
    <cellStyle name="Header2 2 3 2" xfId="230" xr:uid="{00000000-0005-0000-0000-0000D8000000}"/>
    <cellStyle name="Header2 2 3 3" xfId="231" xr:uid="{00000000-0005-0000-0000-0000D9000000}"/>
    <cellStyle name="Header2 3" xfId="232" xr:uid="{00000000-0005-0000-0000-0000DA000000}"/>
    <cellStyle name="Header2 3 2" xfId="233" xr:uid="{00000000-0005-0000-0000-0000DB000000}"/>
    <cellStyle name="Header2 3 2 2" xfId="234" xr:uid="{00000000-0005-0000-0000-0000DC000000}"/>
    <cellStyle name="Header2 3 2 3" xfId="235" xr:uid="{00000000-0005-0000-0000-0000DD000000}"/>
    <cellStyle name="Header2 3 2 4" xfId="236" xr:uid="{00000000-0005-0000-0000-0000DE000000}"/>
    <cellStyle name="Header2 3 2 5" xfId="237" xr:uid="{00000000-0005-0000-0000-0000DF000000}"/>
    <cellStyle name="Header2 3 2 6" xfId="238" xr:uid="{00000000-0005-0000-0000-0000E0000000}"/>
    <cellStyle name="Header2 3 2 7" xfId="239" xr:uid="{00000000-0005-0000-0000-0000E1000000}"/>
    <cellStyle name="Header2 3 2 7 2" xfId="240" xr:uid="{00000000-0005-0000-0000-0000E2000000}"/>
    <cellStyle name="Header2 3 3" xfId="241" xr:uid="{00000000-0005-0000-0000-0000E3000000}"/>
    <cellStyle name="Header2 3 4" xfId="242" xr:uid="{00000000-0005-0000-0000-0000E4000000}"/>
    <cellStyle name="Header2 3 5" xfId="243" xr:uid="{00000000-0005-0000-0000-0000E5000000}"/>
    <cellStyle name="Header2 3 6" xfId="244" xr:uid="{00000000-0005-0000-0000-0000E6000000}"/>
    <cellStyle name="Header2 3 7" xfId="245" xr:uid="{00000000-0005-0000-0000-0000E7000000}"/>
    <cellStyle name="Header2 3 8" xfId="246" xr:uid="{00000000-0005-0000-0000-0000E8000000}"/>
    <cellStyle name="Header2 3 9" xfId="247" xr:uid="{00000000-0005-0000-0000-0000E9000000}"/>
    <cellStyle name="Header2 3 9 2" xfId="248" xr:uid="{00000000-0005-0000-0000-0000EA000000}"/>
    <cellStyle name="Header2 3 9 3" xfId="249" xr:uid="{00000000-0005-0000-0000-0000EB000000}"/>
    <cellStyle name="Header2 4" xfId="250" xr:uid="{00000000-0005-0000-0000-0000EC000000}"/>
    <cellStyle name="Header2 4 2" xfId="251" xr:uid="{00000000-0005-0000-0000-0000ED000000}"/>
    <cellStyle name="Header2 4 3" xfId="252" xr:uid="{00000000-0005-0000-0000-0000EE000000}"/>
    <cellStyle name="Header2 4 4" xfId="253" xr:uid="{00000000-0005-0000-0000-0000EF000000}"/>
    <cellStyle name="Header2 4 5" xfId="254" xr:uid="{00000000-0005-0000-0000-0000F0000000}"/>
    <cellStyle name="Header2 4 6" xfId="255" xr:uid="{00000000-0005-0000-0000-0000F1000000}"/>
    <cellStyle name="Header2 4 7" xfId="256" xr:uid="{00000000-0005-0000-0000-0000F2000000}"/>
    <cellStyle name="Header2 4 7 2" xfId="257" xr:uid="{00000000-0005-0000-0000-0000F3000000}"/>
    <cellStyle name="Header2 5" xfId="258" xr:uid="{00000000-0005-0000-0000-0000F4000000}"/>
    <cellStyle name="Header2 6" xfId="259" xr:uid="{00000000-0005-0000-0000-0000F5000000}"/>
    <cellStyle name="Header2 7" xfId="260" xr:uid="{00000000-0005-0000-0000-0000F6000000}"/>
    <cellStyle name="Header2 7 2" xfId="261" xr:uid="{00000000-0005-0000-0000-0000F7000000}"/>
    <cellStyle name="Header2 7 3" xfId="262" xr:uid="{00000000-0005-0000-0000-0000F8000000}"/>
    <cellStyle name="Heading 1" xfId="263" xr:uid="{00000000-0005-0000-0000-0000F9000000}"/>
    <cellStyle name="Heading 2" xfId="264" xr:uid="{00000000-0005-0000-0000-0000FA000000}"/>
    <cellStyle name="Heading 3" xfId="265" xr:uid="{00000000-0005-0000-0000-0000FB000000}"/>
    <cellStyle name="Heading 4" xfId="266" xr:uid="{00000000-0005-0000-0000-0000FC000000}"/>
    <cellStyle name="IBM(401K)" xfId="267" xr:uid="{00000000-0005-0000-0000-0000FD000000}"/>
    <cellStyle name="Input" xfId="268" xr:uid="{00000000-0005-0000-0000-0000FE000000}"/>
    <cellStyle name="Input [yellow]" xfId="269" xr:uid="{00000000-0005-0000-0000-0000FF000000}"/>
    <cellStyle name="Input [yellow] 2" xfId="270" xr:uid="{00000000-0005-0000-0000-000000010000}"/>
    <cellStyle name="Input [yellow] 2 2" xfId="271" xr:uid="{00000000-0005-0000-0000-000001010000}"/>
    <cellStyle name="Input [yellow] 2 2 2" xfId="272" xr:uid="{00000000-0005-0000-0000-000002010000}"/>
    <cellStyle name="Input [yellow] 2 2 3" xfId="273" xr:uid="{00000000-0005-0000-0000-000003010000}"/>
    <cellStyle name="Input [yellow] 2 2 4" xfId="274" xr:uid="{00000000-0005-0000-0000-000004010000}"/>
    <cellStyle name="Input [yellow] 2 2 5" xfId="275" xr:uid="{00000000-0005-0000-0000-000005010000}"/>
    <cellStyle name="Input [yellow] 2 2 6" xfId="276" xr:uid="{00000000-0005-0000-0000-000006010000}"/>
    <cellStyle name="Input [yellow] 2 2 7" xfId="277" xr:uid="{00000000-0005-0000-0000-000007010000}"/>
    <cellStyle name="Input [yellow] 2 2 8" xfId="278" xr:uid="{00000000-0005-0000-0000-000008010000}"/>
    <cellStyle name="Input [yellow] 2 2 9" xfId="279" xr:uid="{00000000-0005-0000-0000-000009010000}"/>
    <cellStyle name="Input [yellow] 2 3" xfId="280" xr:uid="{00000000-0005-0000-0000-00000A010000}"/>
    <cellStyle name="Input [yellow] 2 3 2" xfId="281" xr:uid="{00000000-0005-0000-0000-00000B010000}"/>
    <cellStyle name="Input [yellow] 2 3 3" xfId="282" xr:uid="{00000000-0005-0000-0000-00000C010000}"/>
    <cellStyle name="Input [yellow] 3" xfId="283" xr:uid="{00000000-0005-0000-0000-00000D010000}"/>
    <cellStyle name="Input [yellow] 3 2" xfId="284" xr:uid="{00000000-0005-0000-0000-00000E010000}"/>
    <cellStyle name="Input [yellow] 3 2 2" xfId="285" xr:uid="{00000000-0005-0000-0000-00000F010000}"/>
    <cellStyle name="Input [yellow] 3 2 3" xfId="286" xr:uid="{00000000-0005-0000-0000-000010010000}"/>
    <cellStyle name="Input [yellow] 3 2 4" xfId="287" xr:uid="{00000000-0005-0000-0000-000011010000}"/>
    <cellStyle name="Input [yellow] 3 2 5" xfId="288" xr:uid="{00000000-0005-0000-0000-000012010000}"/>
    <cellStyle name="Input [yellow] 3 2 6" xfId="289" xr:uid="{00000000-0005-0000-0000-000013010000}"/>
    <cellStyle name="Input [yellow] 3 2 7" xfId="290" xr:uid="{00000000-0005-0000-0000-000014010000}"/>
    <cellStyle name="Input [yellow] 3 2 8" xfId="291" xr:uid="{00000000-0005-0000-0000-000015010000}"/>
    <cellStyle name="Input [yellow] 3 2 9" xfId="292" xr:uid="{00000000-0005-0000-0000-000016010000}"/>
    <cellStyle name="Input [yellow] 3 3" xfId="293" xr:uid="{00000000-0005-0000-0000-000017010000}"/>
    <cellStyle name="Input [yellow] 3 4" xfId="294" xr:uid="{00000000-0005-0000-0000-000018010000}"/>
    <cellStyle name="Input [yellow] 3 5" xfId="295" xr:uid="{00000000-0005-0000-0000-000019010000}"/>
    <cellStyle name="Input [yellow] 3 6" xfId="296" xr:uid="{00000000-0005-0000-0000-00001A010000}"/>
    <cellStyle name="Input [yellow] 3 7" xfId="297" xr:uid="{00000000-0005-0000-0000-00001B010000}"/>
    <cellStyle name="Input [yellow] 3 8" xfId="298" xr:uid="{00000000-0005-0000-0000-00001C010000}"/>
    <cellStyle name="Input [yellow] 3 9" xfId="299" xr:uid="{00000000-0005-0000-0000-00001D010000}"/>
    <cellStyle name="Input [yellow] 3 9 2" xfId="300" xr:uid="{00000000-0005-0000-0000-00001E010000}"/>
    <cellStyle name="Input [yellow] 3 9 3" xfId="301" xr:uid="{00000000-0005-0000-0000-00001F010000}"/>
    <cellStyle name="Input [yellow] 4" xfId="302" xr:uid="{00000000-0005-0000-0000-000020010000}"/>
    <cellStyle name="Input [yellow] 4 2" xfId="303" xr:uid="{00000000-0005-0000-0000-000021010000}"/>
    <cellStyle name="Input [yellow] 4 3" xfId="304" xr:uid="{00000000-0005-0000-0000-000022010000}"/>
    <cellStyle name="Input [yellow] 4 4" xfId="305" xr:uid="{00000000-0005-0000-0000-000023010000}"/>
    <cellStyle name="Input [yellow] 4 5" xfId="306" xr:uid="{00000000-0005-0000-0000-000024010000}"/>
    <cellStyle name="Input [yellow] 4 6" xfId="307" xr:uid="{00000000-0005-0000-0000-000025010000}"/>
    <cellStyle name="Input [yellow] 4 7" xfId="308" xr:uid="{00000000-0005-0000-0000-000026010000}"/>
    <cellStyle name="Input [yellow] 4 8" xfId="309" xr:uid="{00000000-0005-0000-0000-000027010000}"/>
    <cellStyle name="Input [yellow] 4 8 2" xfId="310" xr:uid="{00000000-0005-0000-0000-000028010000}"/>
    <cellStyle name="Input [yellow] 4 8 3" xfId="311" xr:uid="{00000000-0005-0000-0000-000029010000}"/>
    <cellStyle name="Input [yellow] 5" xfId="312" xr:uid="{00000000-0005-0000-0000-00002A010000}"/>
    <cellStyle name="Input [yellow] 6" xfId="313" xr:uid="{00000000-0005-0000-0000-00002B010000}"/>
    <cellStyle name="Input [yellow] 7" xfId="314" xr:uid="{00000000-0005-0000-0000-00002C010000}"/>
    <cellStyle name="Input [yellow] 7 2" xfId="315" xr:uid="{00000000-0005-0000-0000-00002D010000}"/>
    <cellStyle name="Input [yellow] 7 3" xfId="316" xr:uid="{00000000-0005-0000-0000-00002E010000}"/>
    <cellStyle name="Input 10" xfId="317" xr:uid="{00000000-0005-0000-0000-00002F010000}"/>
    <cellStyle name="Input 10 2" xfId="318" xr:uid="{00000000-0005-0000-0000-000030010000}"/>
    <cellStyle name="Input 11" xfId="319" xr:uid="{00000000-0005-0000-0000-000031010000}"/>
    <cellStyle name="Input 11 2" xfId="320" xr:uid="{00000000-0005-0000-0000-000032010000}"/>
    <cellStyle name="Input 12" xfId="321" xr:uid="{00000000-0005-0000-0000-000033010000}"/>
    <cellStyle name="Input 12 2" xfId="322" xr:uid="{00000000-0005-0000-0000-000034010000}"/>
    <cellStyle name="Input 13" xfId="323" xr:uid="{00000000-0005-0000-0000-000035010000}"/>
    <cellStyle name="Input 13 2" xfId="324" xr:uid="{00000000-0005-0000-0000-000036010000}"/>
    <cellStyle name="Input 14" xfId="325" xr:uid="{00000000-0005-0000-0000-000037010000}"/>
    <cellStyle name="Input 14 2" xfId="326" xr:uid="{00000000-0005-0000-0000-000038010000}"/>
    <cellStyle name="Input 15" xfId="327" xr:uid="{00000000-0005-0000-0000-000039010000}"/>
    <cellStyle name="Input 15 2" xfId="328" xr:uid="{00000000-0005-0000-0000-00003A010000}"/>
    <cellStyle name="Input 16" xfId="329" xr:uid="{00000000-0005-0000-0000-00003B010000}"/>
    <cellStyle name="Input 16 2" xfId="330" xr:uid="{00000000-0005-0000-0000-00003C010000}"/>
    <cellStyle name="Input 17" xfId="331" xr:uid="{00000000-0005-0000-0000-00003D010000}"/>
    <cellStyle name="Input 17 2" xfId="332" xr:uid="{00000000-0005-0000-0000-00003E010000}"/>
    <cellStyle name="Input 18" xfId="333" xr:uid="{00000000-0005-0000-0000-00003F010000}"/>
    <cellStyle name="Input 19" xfId="334" xr:uid="{00000000-0005-0000-0000-000040010000}"/>
    <cellStyle name="Input 2" xfId="335" xr:uid="{00000000-0005-0000-0000-000041010000}"/>
    <cellStyle name="Input 2 2" xfId="336" xr:uid="{00000000-0005-0000-0000-000042010000}"/>
    <cellStyle name="Input 2 2 2" xfId="337" xr:uid="{00000000-0005-0000-0000-000043010000}"/>
    <cellStyle name="Input 2 3" xfId="338" xr:uid="{00000000-0005-0000-0000-000044010000}"/>
    <cellStyle name="Input 2 3 2" xfId="339" xr:uid="{00000000-0005-0000-0000-000045010000}"/>
    <cellStyle name="Input 2 4" xfId="340" xr:uid="{00000000-0005-0000-0000-000046010000}"/>
    <cellStyle name="Input 2 4 2" xfId="341" xr:uid="{00000000-0005-0000-0000-000047010000}"/>
    <cellStyle name="Input 2 5" xfId="342" xr:uid="{00000000-0005-0000-0000-000048010000}"/>
    <cellStyle name="Input 2 5 2" xfId="343" xr:uid="{00000000-0005-0000-0000-000049010000}"/>
    <cellStyle name="Input 2 6" xfId="344" xr:uid="{00000000-0005-0000-0000-00004A010000}"/>
    <cellStyle name="Input 2 6 2" xfId="345" xr:uid="{00000000-0005-0000-0000-00004B010000}"/>
    <cellStyle name="Input 2 7" xfId="346" xr:uid="{00000000-0005-0000-0000-00004C010000}"/>
    <cellStyle name="Input 20" xfId="347" xr:uid="{00000000-0005-0000-0000-00004D010000}"/>
    <cellStyle name="Input 21" xfId="348" xr:uid="{00000000-0005-0000-0000-00004E010000}"/>
    <cellStyle name="Input 22" xfId="349" xr:uid="{00000000-0005-0000-0000-00004F010000}"/>
    <cellStyle name="Input 23" xfId="350" xr:uid="{00000000-0005-0000-0000-000050010000}"/>
    <cellStyle name="Input 24" xfId="351" xr:uid="{00000000-0005-0000-0000-000051010000}"/>
    <cellStyle name="Input 25" xfId="352" xr:uid="{00000000-0005-0000-0000-000052010000}"/>
    <cellStyle name="Input 26" xfId="353" xr:uid="{00000000-0005-0000-0000-000053010000}"/>
    <cellStyle name="Input 3" xfId="354" xr:uid="{00000000-0005-0000-0000-000054010000}"/>
    <cellStyle name="Input 3 2" xfId="355" xr:uid="{00000000-0005-0000-0000-000055010000}"/>
    <cellStyle name="Input 4" xfId="356" xr:uid="{00000000-0005-0000-0000-000056010000}"/>
    <cellStyle name="Input 4 2" xfId="357" xr:uid="{00000000-0005-0000-0000-000057010000}"/>
    <cellStyle name="Input 5" xfId="358" xr:uid="{00000000-0005-0000-0000-000058010000}"/>
    <cellStyle name="Input 5 2" xfId="359" xr:uid="{00000000-0005-0000-0000-000059010000}"/>
    <cellStyle name="Input 6" xfId="360" xr:uid="{00000000-0005-0000-0000-00005A010000}"/>
    <cellStyle name="Input 6 2" xfId="361" xr:uid="{00000000-0005-0000-0000-00005B010000}"/>
    <cellStyle name="Input 7" xfId="362" xr:uid="{00000000-0005-0000-0000-00005C010000}"/>
    <cellStyle name="Input 7 2" xfId="363" xr:uid="{00000000-0005-0000-0000-00005D010000}"/>
    <cellStyle name="Input 8" xfId="364" xr:uid="{00000000-0005-0000-0000-00005E010000}"/>
    <cellStyle name="Input 8 2" xfId="365" xr:uid="{00000000-0005-0000-0000-00005F010000}"/>
    <cellStyle name="Input 9" xfId="366" xr:uid="{00000000-0005-0000-0000-000060010000}"/>
    <cellStyle name="Input 9 2" xfId="367" xr:uid="{00000000-0005-0000-0000-000061010000}"/>
    <cellStyle name="J401K" xfId="368" xr:uid="{00000000-0005-0000-0000-000062010000}"/>
    <cellStyle name="Linked Cell" xfId="369" xr:uid="{00000000-0005-0000-0000-000063010000}"/>
    <cellStyle name="Millares [0]_Compra" xfId="370" xr:uid="{00000000-0005-0000-0000-000064010000}"/>
    <cellStyle name="Millares_Compra" xfId="371" xr:uid="{00000000-0005-0000-0000-000065010000}"/>
    <cellStyle name="Moneda [0]_Compra" xfId="372" xr:uid="{00000000-0005-0000-0000-000066010000}"/>
    <cellStyle name="Moneda_Compra" xfId="373" xr:uid="{00000000-0005-0000-0000-000067010000}"/>
    <cellStyle name="Neutral" xfId="374" xr:uid="{00000000-0005-0000-0000-000068010000}"/>
    <cellStyle name="no dec" xfId="375" xr:uid="{00000000-0005-0000-0000-000069010000}"/>
    <cellStyle name="Normal - Style1" xfId="5" xr:uid="{00000000-0005-0000-0000-00006A010000}"/>
    <cellStyle name="Normal - Style1 2" xfId="376" xr:uid="{00000000-0005-0000-0000-00006B010000}"/>
    <cellStyle name="Normal - Style1 2 2" xfId="377" xr:uid="{00000000-0005-0000-0000-00006C010000}"/>
    <cellStyle name="Normal - Style1 2 3" xfId="378" xr:uid="{00000000-0005-0000-0000-00006D010000}"/>
    <cellStyle name="Normal_#18-Internet" xfId="6" xr:uid="{00000000-0005-0000-0000-00006E010000}"/>
    <cellStyle name="Note" xfId="379" xr:uid="{00000000-0005-0000-0000-00006F010000}"/>
    <cellStyle name="Note 2" xfId="380" xr:uid="{00000000-0005-0000-0000-000070010000}"/>
    <cellStyle name="Note 2 2" xfId="381" xr:uid="{00000000-0005-0000-0000-000071010000}"/>
    <cellStyle name="Note 2 2 2" xfId="382" xr:uid="{00000000-0005-0000-0000-000072010000}"/>
    <cellStyle name="Note 2 2 2 2" xfId="383" xr:uid="{00000000-0005-0000-0000-000073010000}"/>
    <cellStyle name="Note 2 2 3" xfId="384" xr:uid="{00000000-0005-0000-0000-000074010000}"/>
    <cellStyle name="Note 2 2 3 2" xfId="385" xr:uid="{00000000-0005-0000-0000-000075010000}"/>
    <cellStyle name="Note 2 2 4" xfId="386" xr:uid="{00000000-0005-0000-0000-000076010000}"/>
    <cellStyle name="Note 2 2 4 2" xfId="387" xr:uid="{00000000-0005-0000-0000-000077010000}"/>
    <cellStyle name="Note 2 2 5" xfId="388" xr:uid="{00000000-0005-0000-0000-000078010000}"/>
    <cellStyle name="Note 2 2 5 2" xfId="389" xr:uid="{00000000-0005-0000-0000-000079010000}"/>
    <cellStyle name="Note 2 2 6" xfId="390" xr:uid="{00000000-0005-0000-0000-00007A010000}"/>
    <cellStyle name="Note 2 2 6 2" xfId="391" xr:uid="{00000000-0005-0000-0000-00007B010000}"/>
    <cellStyle name="Note 2 2 7" xfId="392" xr:uid="{00000000-0005-0000-0000-00007C010000}"/>
    <cellStyle name="Note 2 3" xfId="393" xr:uid="{00000000-0005-0000-0000-00007D010000}"/>
    <cellStyle name="Note 2 3 2" xfId="394" xr:uid="{00000000-0005-0000-0000-00007E010000}"/>
    <cellStyle name="Note 2 4" xfId="395" xr:uid="{00000000-0005-0000-0000-00007F010000}"/>
    <cellStyle name="Note 3" xfId="396" xr:uid="{00000000-0005-0000-0000-000080010000}"/>
    <cellStyle name="Note 3 2" xfId="397" xr:uid="{00000000-0005-0000-0000-000081010000}"/>
    <cellStyle name="Note 3 2 2" xfId="398" xr:uid="{00000000-0005-0000-0000-000082010000}"/>
    <cellStyle name="Note 3 2 2 2" xfId="399" xr:uid="{00000000-0005-0000-0000-000083010000}"/>
    <cellStyle name="Note 3 2 3" xfId="400" xr:uid="{00000000-0005-0000-0000-000084010000}"/>
    <cellStyle name="Note 3 2 3 2" xfId="401" xr:uid="{00000000-0005-0000-0000-000085010000}"/>
    <cellStyle name="Note 3 2 4" xfId="402" xr:uid="{00000000-0005-0000-0000-000086010000}"/>
    <cellStyle name="Note 3 2 4 2" xfId="403" xr:uid="{00000000-0005-0000-0000-000087010000}"/>
    <cellStyle name="Note 3 2 5" xfId="404" xr:uid="{00000000-0005-0000-0000-000088010000}"/>
    <cellStyle name="Note 3 2 5 2" xfId="405" xr:uid="{00000000-0005-0000-0000-000089010000}"/>
    <cellStyle name="Note 3 2 6" xfId="406" xr:uid="{00000000-0005-0000-0000-00008A010000}"/>
    <cellStyle name="Note 3 2 6 2" xfId="407" xr:uid="{00000000-0005-0000-0000-00008B010000}"/>
    <cellStyle name="Note 3 2 7" xfId="408" xr:uid="{00000000-0005-0000-0000-00008C010000}"/>
    <cellStyle name="Note 3 3" xfId="409" xr:uid="{00000000-0005-0000-0000-00008D010000}"/>
    <cellStyle name="Note 3 3 2" xfId="410" xr:uid="{00000000-0005-0000-0000-00008E010000}"/>
    <cellStyle name="Note 3 4" xfId="411" xr:uid="{00000000-0005-0000-0000-00008F010000}"/>
    <cellStyle name="Note 3 4 2" xfId="412" xr:uid="{00000000-0005-0000-0000-000090010000}"/>
    <cellStyle name="Note 3 5" xfId="413" xr:uid="{00000000-0005-0000-0000-000091010000}"/>
    <cellStyle name="Note 3 5 2" xfId="414" xr:uid="{00000000-0005-0000-0000-000092010000}"/>
    <cellStyle name="Note 3 6" xfId="415" xr:uid="{00000000-0005-0000-0000-000093010000}"/>
    <cellStyle name="Note 3 6 2" xfId="416" xr:uid="{00000000-0005-0000-0000-000094010000}"/>
    <cellStyle name="Note 3 7" xfId="417" xr:uid="{00000000-0005-0000-0000-000095010000}"/>
    <cellStyle name="Note 3 7 2" xfId="418" xr:uid="{00000000-0005-0000-0000-000096010000}"/>
    <cellStyle name="Note 3 8" xfId="419" xr:uid="{00000000-0005-0000-0000-000097010000}"/>
    <cellStyle name="Note 4" xfId="420" xr:uid="{00000000-0005-0000-0000-000098010000}"/>
    <cellStyle name="Note 4 2" xfId="421" xr:uid="{00000000-0005-0000-0000-000099010000}"/>
    <cellStyle name="Note 4 2 2" xfId="422" xr:uid="{00000000-0005-0000-0000-00009A010000}"/>
    <cellStyle name="Note 4 3" xfId="423" xr:uid="{00000000-0005-0000-0000-00009B010000}"/>
    <cellStyle name="Note 4 3 2" xfId="424" xr:uid="{00000000-0005-0000-0000-00009C010000}"/>
    <cellStyle name="Note 4 4" xfId="425" xr:uid="{00000000-0005-0000-0000-00009D010000}"/>
    <cellStyle name="Note 4 4 2" xfId="426" xr:uid="{00000000-0005-0000-0000-00009E010000}"/>
    <cellStyle name="Note 4 5" xfId="427" xr:uid="{00000000-0005-0000-0000-00009F010000}"/>
    <cellStyle name="Note 4 5 2" xfId="428" xr:uid="{00000000-0005-0000-0000-0000A0010000}"/>
    <cellStyle name="Note 4 6" xfId="429" xr:uid="{00000000-0005-0000-0000-0000A1010000}"/>
    <cellStyle name="Note 4 6 2" xfId="430" xr:uid="{00000000-0005-0000-0000-0000A2010000}"/>
    <cellStyle name="Note 4 7" xfId="431" xr:uid="{00000000-0005-0000-0000-0000A3010000}"/>
    <cellStyle name="Note 5" xfId="432" xr:uid="{00000000-0005-0000-0000-0000A4010000}"/>
    <cellStyle name="Note 5 2" xfId="433" xr:uid="{00000000-0005-0000-0000-0000A5010000}"/>
    <cellStyle name="Output" xfId="434" xr:uid="{00000000-0005-0000-0000-0000A6010000}"/>
    <cellStyle name="Output 2" xfId="435" xr:uid="{00000000-0005-0000-0000-0000A7010000}"/>
    <cellStyle name="Output 2 2" xfId="436" xr:uid="{00000000-0005-0000-0000-0000A8010000}"/>
    <cellStyle name="Output 2 2 2" xfId="437" xr:uid="{00000000-0005-0000-0000-0000A9010000}"/>
    <cellStyle name="Output 2 3" xfId="438" xr:uid="{00000000-0005-0000-0000-0000AA010000}"/>
    <cellStyle name="Output 2 3 2" xfId="439" xr:uid="{00000000-0005-0000-0000-0000AB010000}"/>
    <cellStyle name="Output 2 4" xfId="440" xr:uid="{00000000-0005-0000-0000-0000AC010000}"/>
    <cellStyle name="Output 2 4 2" xfId="441" xr:uid="{00000000-0005-0000-0000-0000AD010000}"/>
    <cellStyle name="Output 2 5" xfId="442" xr:uid="{00000000-0005-0000-0000-0000AE010000}"/>
    <cellStyle name="Output 2 5 2" xfId="443" xr:uid="{00000000-0005-0000-0000-0000AF010000}"/>
    <cellStyle name="Output 2 6" xfId="444" xr:uid="{00000000-0005-0000-0000-0000B0010000}"/>
    <cellStyle name="Output 2 6 2" xfId="445" xr:uid="{00000000-0005-0000-0000-0000B1010000}"/>
    <cellStyle name="Output 2 7" xfId="446" xr:uid="{00000000-0005-0000-0000-0000B2010000}"/>
    <cellStyle name="Output 3" xfId="447" xr:uid="{00000000-0005-0000-0000-0000B3010000}"/>
    <cellStyle name="Output 3 2" xfId="448" xr:uid="{00000000-0005-0000-0000-0000B4010000}"/>
    <cellStyle name="per.style" xfId="449" xr:uid="{00000000-0005-0000-0000-0000B5010000}"/>
    <cellStyle name="Percent [2]" xfId="450" xr:uid="{00000000-0005-0000-0000-0000B6010000}"/>
    <cellStyle name="price" xfId="451" xr:uid="{00000000-0005-0000-0000-0000B7010000}"/>
    <cellStyle name="PSChar" xfId="452" xr:uid="{00000000-0005-0000-0000-0000B8010000}"/>
    <cellStyle name="PSHeading" xfId="453" xr:uid="{00000000-0005-0000-0000-0000B9010000}"/>
    <cellStyle name="QDF" xfId="454" xr:uid="{00000000-0005-0000-0000-0000BA010000}"/>
    <cellStyle name="revised" xfId="455" xr:uid="{00000000-0005-0000-0000-0000BB010000}"/>
    <cellStyle name="section" xfId="456" xr:uid="{00000000-0005-0000-0000-0000BC010000}"/>
    <cellStyle name="subhead" xfId="457" xr:uid="{00000000-0005-0000-0000-0000BD010000}"/>
    <cellStyle name="title" xfId="458" xr:uid="{00000000-0005-0000-0000-0000BE010000}"/>
    <cellStyle name="Total" xfId="459" xr:uid="{00000000-0005-0000-0000-0000BF010000}"/>
    <cellStyle name="Total 2" xfId="460" xr:uid="{00000000-0005-0000-0000-0000C0010000}"/>
    <cellStyle name="Total 2 2" xfId="461" xr:uid="{00000000-0005-0000-0000-0000C1010000}"/>
    <cellStyle name="Total 2 2 2" xfId="462" xr:uid="{00000000-0005-0000-0000-0000C2010000}"/>
    <cellStyle name="Total 2 3" xfId="463" xr:uid="{00000000-0005-0000-0000-0000C3010000}"/>
    <cellStyle name="Total 2 3 2" xfId="464" xr:uid="{00000000-0005-0000-0000-0000C4010000}"/>
    <cellStyle name="Total 2 4" xfId="465" xr:uid="{00000000-0005-0000-0000-0000C5010000}"/>
    <cellStyle name="Total 2 4 2" xfId="466" xr:uid="{00000000-0005-0000-0000-0000C6010000}"/>
    <cellStyle name="Total 2 5" xfId="467" xr:uid="{00000000-0005-0000-0000-0000C7010000}"/>
    <cellStyle name="Total 2 5 2" xfId="468" xr:uid="{00000000-0005-0000-0000-0000C8010000}"/>
    <cellStyle name="Total 2 6" xfId="469" xr:uid="{00000000-0005-0000-0000-0000C9010000}"/>
    <cellStyle name="Total 2 6 2" xfId="470" xr:uid="{00000000-0005-0000-0000-0000CA010000}"/>
    <cellStyle name="Total 2 7" xfId="471" xr:uid="{00000000-0005-0000-0000-0000CB010000}"/>
    <cellStyle name="Total 3" xfId="472" xr:uid="{00000000-0005-0000-0000-0000CC010000}"/>
    <cellStyle name="Total 3 2" xfId="473" xr:uid="{00000000-0005-0000-0000-0000CD010000}"/>
    <cellStyle name="Warning Text" xfId="474" xr:uid="{00000000-0005-0000-0000-0000CE010000}"/>
    <cellStyle name="アクセント 1 2" xfId="475" xr:uid="{00000000-0005-0000-0000-0000CF010000}"/>
    <cellStyle name="アクセント 1 3" xfId="476" xr:uid="{00000000-0005-0000-0000-0000D0010000}"/>
    <cellStyle name="アクセント 1 4" xfId="477" xr:uid="{00000000-0005-0000-0000-0000D1010000}"/>
    <cellStyle name="アクセント 1 5" xfId="478" xr:uid="{00000000-0005-0000-0000-0000D2010000}"/>
    <cellStyle name="アクセント 1 6" xfId="479" xr:uid="{00000000-0005-0000-0000-0000D3010000}"/>
    <cellStyle name="アクセント 1 7" xfId="480" xr:uid="{00000000-0005-0000-0000-0000D4010000}"/>
    <cellStyle name="アクセント 1 8" xfId="481" xr:uid="{00000000-0005-0000-0000-0000D5010000}"/>
    <cellStyle name="アクセント 1 9" xfId="482" xr:uid="{00000000-0005-0000-0000-0000D6010000}"/>
    <cellStyle name="アクセント 2 2" xfId="483" xr:uid="{00000000-0005-0000-0000-0000D7010000}"/>
    <cellStyle name="アクセント 2 3" xfId="484" xr:uid="{00000000-0005-0000-0000-0000D8010000}"/>
    <cellStyle name="アクセント 2 4" xfId="485" xr:uid="{00000000-0005-0000-0000-0000D9010000}"/>
    <cellStyle name="アクセント 2 5" xfId="486" xr:uid="{00000000-0005-0000-0000-0000DA010000}"/>
    <cellStyle name="アクセント 2 6" xfId="487" xr:uid="{00000000-0005-0000-0000-0000DB010000}"/>
    <cellStyle name="アクセント 2 7" xfId="488" xr:uid="{00000000-0005-0000-0000-0000DC010000}"/>
    <cellStyle name="アクセント 2 8" xfId="489" xr:uid="{00000000-0005-0000-0000-0000DD010000}"/>
    <cellStyle name="アクセント 2 9" xfId="490" xr:uid="{00000000-0005-0000-0000-0000DE010000}"/>
    <cellStyle name="アクセント 3 2" xfId="491" xr:uid="{00000000-0005-0000-0000-0000DF010000}"/>
    <cellStyle name="アクセント 3 3" xfId="492" xr:uid="{00000000-0005-0000-0000-0000E0010000}"/>
    <cellStyle name="アクセント 3 4" xfId="493" xr:uid="{00000000-0005-0000-0000-0000E1010000}"/>
    <cellStyle name="アクセント 3 5" xfId="494" xr:uid="{00000000-0005-0000-0000-0000E2010000}"/>
    <cellStyle name="アクセント 3 6" xfId="495" xr:uid="{00000000-0005-0000-0000-0000E3010000}"/>
    <cellStyle name="アクセント 3 7" xfId="496" xr:uid="{00000000-0005-0000-0000-0000E4010000}"/>
    <cellStyle name="アクセント 3 8" xfId="497" xr:uid="{00000000-0005-0000-0000-0000E5010000}"/>
    <cellStyle name="アクセント 3 9" xfId="498" xr:uid="{00000000-0005-0000-0000-0000E6010000}"/>
    <cellStyle name="アクセント 4 2" xfId="499" xr:uid="{00000000-0005-0000-0000-0000E7010000}"/>
    <cellStyle name="アクセント 4 3" xfId="500" xr:uid="{00000000-0005-0000-0000-0000E8010000}"/>
    <cellStyle name="アクセント 4 4" xfId="501" xr:uid="{00000000-0005-0000-0000-0000E9010000}"/>
    <cellStyle name="アクセント 4 5" xfId="502" xr:uid="{00000000-0005-0000-0000-0000EA010000}"/>
    <cellStyle name="アクセント 4 6" xfId="503" xr:uid="{00000000-0005-0000-0000-0000EB010000}"/>
    <cellStyle name="アクセント 4 7" xfId="504" xr:uid="{00000000-0005-0000-0000-0000EC010000}"/>
    <cellStyle name="アクセント 4 8" xfId="505" xr:uid="{00000000-0005-0000-0000-0000ED010000}"/>
    <cellStyle name="アクセント 4 9" xfId="506" xr:uid="{00000000-0005-0000-0000-0000EE010000}"/>
    <cellStyle name="アクセント 5 2" xfId="507" xr:uid="{00000000-0005-0000-0000-0000EF010000}"/>
    <cellStyle name="アクセント 5 3" xfId="508" xr:uid="{00000000-0005-0000-0000-0000F0010000}"/>
    <cellStyle name="アクセント 5 4" xfId="509" xr:uid="{00000000-0005-0000-0000-0000F1010000}"/>
    <cellStyle name="アクセント 5 5" xfId="510" xr:uid="{00000000-0005-0000-0000-0000F2010000}"/>
    <cellStyle name="アクセント 5 6" xfId="511" xr:uid="{00000000-0005-0000-0000-0000F3010000}"/>
    <cellStyle name="アクセント 5 7" xfId="512" xr:uid="{00000000-0005-0000-0000-0000F4010000}"/>
    <cellStyle name="アクセント 5 8" xfId="513" xr:uid="{00000000-0005-0000-0000-0000F5010000}"/>
    <cellStyle name="アクセント 5 9" xfId="514" xr:uid="{00000000-0005-0000-0000-0000F6010000}"/>
    <cellStyle name="アクセント 6 2" xfId="515" xr:uid="{00000000-0005-0000-0000-0000F7010000}"/>
    <cellStyle name="アクセント 6 3" xfId="516" xr:uid="{00000000-0005-0000-0000-0000F8010000}"/>
    <cellStyle name="アクセント 6 4" xfId="517" xr:uid="{00000000-0005-0000-0000-0000F9010000}"/>
    <cellStyle name="アクセント 6 5" xfId="518" xr:uid="{00000000-0005-0000-0000-0000FA010000}"/>
    <cellStyle name="アクセント 6 6" xfId="519" xr:uid="{00000000-0005-0000-0000-0000FB010000}"/>
    <cellStyle name="アクセント 6 7" xfId="520" xr:uid="{00000000-0005-0000-0000-0000FC010000}"/>
    <cellStyle name="アクセント 6 8" xfId="521" xr:uid="{00000000-0005-0000-0000-0000FD010000}"/>
    <cellStyle name="アクセント 6 9" xfId="522" xr:uid="{00000000-0005-0000-0000-0000FE010000}"/>
    <cellStyle name="センター" xfId="523" xr:uid="{00000000-0005-0000-0000-0000FF010000}"/>
    <cellStyle name="タイトル 2" xfId="524" xr:uid="{00000000-0005-0000-0000-000000020000}"/>
    <cellStyle name="タイトル 3" xfId="525" xr:uid="{00000000-0005-0000-0000-000001020000}"/>
    <cellStyle name="タイトル 4" xfId="526" xr:uid="{00000000-0005-0000-0000-000002020000}"/>
    <cellStyle name="タイトル 5" xfId="527" xr:uid="{00000000-0005-0000-0000-000003020000}"/>
    <cellStyle name="タイトル 6" xfId="528" xr:uid="{00000000-0005-0000-0000-000004020000}"/>
    <cellStyle name="タイトル 7" xfId="529" xr:uid="{00000000-0005-0000-0000-000005020000}"/>
    <cellStyle name="タイトル 8" xfId="530" xr:uid="{00000000-0005-0000-0000-000006020000}"/>
    <cellStyle name="タイトル 9" xfId="531" xr:uid="{00000000-0005-0000-0000-000007020000}"/>
    <cellStyle name="チェック セル 2" xfId="532" xr:uid="{00000000-0005-0000-0000-000008020000}"/>
    <cellStyle name="チェック セル 3" xfId="533" xr:uid="{00000000-0005-0000-0000-000009020000}"/>
    <cellStyle name="チェック セル 4" xfId="534" xr:uid="{00000000-0005-0000-0000-00000A020000}"/>
    <cellStyle name="チェック セル 5" xfId="535" xr:uid="{00000000-0005-0000-0000-00000B020000}"/>
    <cellStyle name="チェック セル 6" xfId="536" xr:uid="{00000000-0005-0000-0000-00000C020000}"/>
    <cellStyle name="チェック セル 7" xfId="537" xr:uid="{00000000-0005-0000-0000-00000D020000}"/>
    <cellStyle name="チェック セル 8" xfId="538" xr:uid="{00000000-0005-0000-0000-00000E020000}"/>
    <cellStyle name="チェック セル 9" xfId="539" xr:uid="{00000000-0005-0000-0000-00000F020000}"/>
    <cellStyle name="チャート" xfId="540" xr:uid="{00000000-0005-0000-0000-000010020000}"/>
    <cellStyle name="どちらでもない 2" xfId="541" xr:uid="{00000000-0005-0000-0000-000011020000}"/>
    <cellStyle name="どちらでもない 3" xfId="542" xr:uid="{00000000-0005-0000-0000-000012020000}"/>
    <cellStyle name="どちらでもない 4" xfId="543" xr:uid="{00000000-0005-0000-0000-000013020000}"/>
    <cellStyle name="どちらでもない 5" xfId="544" xr:uid="{00000000-0005-0000-0000-000014020000}"/>
    <cellStyle name="どちらでもない 6" xfId="545" xr:uid="{00000000-0005-0000-0000-000015020000}"/>
    <cellStyle name="どちらでもない 7" xfId="546" xr:uid="{00000000-0005-0000-0000-000016020000}"/>
    <cellStyle name="どちらでもない 8" xfId="547" xr:uid="{00000000-0005-0000-0000-000017020000}"/>
    <cellStyle name="どちらでもない 9" xfId="548" xr:uid="{00000000-0005-0000-0000-000018020000}"/>
    <cellStyle name="パーセント 2" xfId="549" xr:uid="{00000000-0005-0000-0000-000019020000}"/>
    <cellStyle name="パーセント 2 2" xfId="550" xr:uid="{00000000-0005-0000-0000-00001A020000}"/>
    <cellStyle name="パーセント 3" xfId="551" xr:uid="{00000000-0005-0000-0000-00001B020000}"/>
    <cellStyle name="ハイパーリンク 2" xfId="552" xr:uid="{00000000-0005-0000-0000-00001C020000}"/>
    <cellStyle name="ハイパーリンク 2 2" xfId="553" xr:uid="{00000000-0005-0000-0000-00001D020000}"/>
    <cellStyle name="ハイパーリンク 2 3" xfId="554" xr:uid="{00000000-0005-0000-0000-00001E020000}"/>
    <cellStyle name="ハイパーリンク 3" xfId="555" xr:uid="{00000000-0005-0000-0000-00001F020000}"/>
    <cellStyle name="メモ 2" xfId="556" xr:uid="{00000000-0005-0000-0000-000020020000}"/>
    <cellStyle name="メモ 2 2" xfId="557" xr:uid="{00000000-0005-0000-0000-000021020000}"/>
    <cellStyle name="メモ 2 2 2" xfId="558" xr:uid="{00000000-0005-0000-0000-000022020000}"/>
    <cellStyle name="メモ 2 2 2 2" xfId="559" xr:uid="{00000000-0005-0000-0000-000023020000}"/>
    <cellStyle name="メモ 2 2 2 2 2" xfId="560" xr:uid="{00000000-0005-0000-0000-000024020000}"/>
    <cellStyle name="メモ 2 2 2 3" xfId="561" xr:uid="{00000000-0005-0000-0000-000025020000}"/>
    <cellStyle name="メモ 2 2 2 3 2" xfId="562" xr:uid="{00000000-0005-0000-0000-000026020000}"/>
    <cellStyle name="メモ 2 2 2 4" xfId="563" xr:uid="{00000000-0005-0000-0000-000027020000}"/>
    <cellStyle name="メモ 2 2 2 4 2" xfId="564" xr:uid="{00000000-0005-0000-0000-000028020000}"/>
    <cellStyle name="メモ 2 2 2 5" xfId="565" xr:uid="{00000000-0005-0000-0000-000029020000}"/>
    <cellStyle name="メモ 2 2 2 5 2" xfId="566" xr:uid="{00000000-0005-0000-0000-00002A020000}"/>
    <cellStyle name="メモ 2 2 2 6" xfId="567" xr:uid="{00000000-0005-0000-0000-00002B020000}"/>
    <cellStyle name="メモ 2 2 2 6 2" xfId="568" xr:uid="{00000000-0005-0000-0000-00002C020000}"/>
    <cellStyle name="メモ 2 2 2 7" xfId="569" xr:uid="{00000000-0005-0000-0000-00002D020000}"/>
    <cellStyle name="メモ 2 2 3" xfId="570" xr:uid="{00000000-0005-0000-0000-00002E020000}"/>
    <cellStyle name="メモ 2 2 3 2" xfId="571" xr:uid="{00000000-0005-0000-0000-00002F020000}"/>
    <cellStyle name="メモ 2 2 4" xfId="572" xr:uid="{00000000-0005-0000-0000-000030020000}"/>
    <cellStyle name="メモ 2 3" xfId="573" xr:uid="{00000000-0005-0000-0000-000031020000}"/>
    <cellStyle name="メモ 2 3 2" xfId="574" xr:uid="{00000000-0005-0000-0000-000032020000}"/>
    <cellStyle name="メモ 2 3 2 2" xfId="575" xr:uid="{00000000-0005-0000-0000-000033020000}"/>
    <cellStyle name="メモ 2 3 2 2 2" xfId="576" xr:uid="{00000000-0005-0000-0000-000034020000}"/>
    <cellStyle name="メモ 2 3 2 3" xfId="577" xr:uid="{00000000-0005-0000-0000-000035020000}"/>
    <cellStyle name="メモ 2 3 2 3 2" xfId="578" xr:uid="{00000000-0005-0000-0000-000036020000}"/>
    <cellStyle name="メモ 2 3 2 4" xfId="579" xr:uid="{00000000-0005-0000-0000-000037020000}"/>
    <cellStyle name="メモ 2 3 2 4 2" xfId="580" xr:uid="{00000000-0005-0000-0000-000038020000}"/>
    <cellStyle name="メモ 2 3 2 5" xfId="581" xr:uid="{00000000-0005-0000-0000-000039020000}"/>
    <cellStyle name="メモ 2 3 2 5 2" xfId="582" xr:uid="{00000000-0005-0000-0000-00003A020000}"/>
    <cellStyle name="メモ 2 3 2 6" xfId="583" xr:uid="{00000000-0005-0000-0000-00003B020000}"/>
    <cellStyle name="メモ 2 3 2 6 2" xfId="584" xr:uid="{00000000-0005-0000-0000-00003C020000}"/>
    <cellStyle name="メモ 2 3 2 7" xfId="585" xr:uid="{00000000-0005-0000-0000-00003D020000}"/>
    <cellStyle name="メモ 2 3 3" xfId="586" xr:uid="{00000000-0005-0000-0000-00003E020000}"/>
    <cellStyle name="メモ 2 3 3 2" xfId="587" xr:uid="{00000000-0005-0000-0000-00003F020000}"/>
    <cellStyle name="メモ 2 4" xfId="588" xr:uid="{00000000-0005-0000-0000-000040020000}"/>
    <cellStyle name="メモ 2 4 2" xfId="589" xr:uid="{00000000-0005-0000-0000-000041020000}"/>
    <cellStyle name="メモ 2 4 2 2" xfId="590" xr:uid="{00000000-0005-0000-0000-000042020000}"/>
    <cellStyle name="メモ 2 4 2 2 2" xfId="591" xr:uid="{00000000-0005-0000-0000-000043020000}"/>
    <cellStyle name="メモ 2 4 2 3" xfId="592" xr:uid="{00000000-0005-0000-0000-000044020000}"/>
    <cellStyle name="メモ 2 4 2 3 2" xfId="593" xr:uid="{00000000-0005-0000-0000-000045020000}"/>
    <cellStyle name="メモ 2 4 2 4" xfId="594" xr:uid="{00000000-0005-0000-0000-000046020000}"/>
    <cellStyle name="メモ 2 4 2 4 2" xfId="595" xr:uid="{00000000-0005-0000-0000-000047020000}"/>
    <cellStyle name="メモ 2 4 2 5" xfId="596" xr:uid="{00000000-0005-0000-0000-000048020000}"/>
    <cellStyle name="メモ 2 4 2 5 2" xfId="597" xr:uid="{00000000-0005-0000-0000-000049020000}"/>
    <cellStyle name="メモ 2 4 2 6" xfId="598" xr:uid="{00000000-0005-0000-0000-00004A020000}"/>
    <cellStyle name="メモ 2 4 2 6 2" xfId="599" xr:uid="{00000000-0005-0000-0000-00004B020000}"/>
    <cellStyle name="メモ 2 4 2 7" xfId="600" xr:uid="{00000000-0005-0000-0000-00004C020000}"/>
    <cellStyle name="メモ 2 4 3" xfId="601" xr:uid="{00000000-0005-0000-0000-00004D020000}"/>
    <cellStyle name="メモ 2 4 3 2" xfId="602" xr:uid="{00000000-0005-0000-0000-00004E020000}"/>
    <cellStyle name="メモ 2 4 4" xfId="603" xr:uid="{00000000-0005-0000-0000-00004F020000}"/>
    <cellStyle name="メモ 2 4 4 2" xfId="604" xr:uid="{00000000-0005-0000-0000-000050020000}"/>
    <cellStyle name="メモ 2 4 5" xfId="605" xr:uid="{00000000-0005-0000-0000-000051020000}"/>
    <cellStyle name="メモ 2 4 5 2" xfId="606" xr:uid="{00000000-0005-0000-0000-000052020000}"/>
    <cellStyle name="メモ 2 4 6" xfId="607" xr:uid="{00000000-0005-0000-0000-000053020000}"/>
    <cellStyle name="メモ 2 4 6 2" xfId="608" xr:uid="{00000000-0005-0000-0000-000054020000}"/>
    <cellStyle name="メモ 2 4 7" xfId="609" xr:uid="{00000000-0005-0000-0000-000055020000}"/>
    <cellStyle name="メモ 2 4 7 2" xfId="610" xr:uid="{00000000-0005-0000-0000-000056020000}"/>
    <cellStyle name="メモ 2 4 8" xfId="611" xr:uid="{00000000-0005-0000-0000-000057020000}"/>
    <cellStyle name="メモ 2 5" xfId="612" xr:uid="{00000000-0005-0000-0000-000058020000}"/>
    <cellStyle name="メモ 2 5 2" xfId="613" xr:uid="{00000000-0005-0000-0000-000059020000}"/>
    <cellStyle name="メモ 2 5 2 2" xfId="614" xr:uid="{00000000-0005-0000-0000-00005A020000}"/>
    <cellStyle name="メモ 2 5 2 2 2" xfId="615" xr:uid="{00000000-0005-0000-0000-00005B020000}"/>
    <cellStyle name="メモ 2 5 2 3" xfId="616" xr:uid="{00000000-0005-0000-0000-00005C020000}"/>
    <cellStyle name="メモ 2 5 2 3 2" xfId="617" xr:uid="{00000000-0005-0000-0000-00005D020000}"/>
    <cellStyle name="メモ 2 5 2 4" xfId="618" xr:uid="{00000000-0005-0000-0000-00005E020000}"/>
    <cellStyle name="メモ 2 5 2 4 2" xfId="619" xr:uid="{00000000-0005-0000-0000-00005F020000}"/>
    <cellStyle name="メモ 2 5 2 5" xfId="620" xr:uid="{00000000-0005-0000-0000-000060020000}"/>
    <cellStyle name="メモ 2 5 2 5 2" xfId="621" xr:uid="{00000000-0005-0000-0000-000061020000}"/>
    <cellStyle name="メモ 2 5 2 6" xfId="622" xr:uid="{00000000-0005-0000-0000-000062020000}"/>
    <cellStyle name="メモ 2 5 2 6 2" xfId="623" xr:uid="{00000000-0005-0000-0000-000063020000}"/>
    <cellStyle name="メモ 2 5 2 7" xfId="624" xr:uid="{00000000-0005-0000-0000-000064020000}"/>
    <cellStyle name="メモ 2 5 3" xfId="625" xr:uid="{00000000-0005-0000-0000-000065020000}"/>
    <cellStyle name="メモ 2 5 3 2" xfId="626" xr:uid="{00000000-0005-0000-0000-000066020000}"/>
    <cellStyle name="メモ 2 5 4" xfId="627" xr:uid="{00000000-0005-0000-0000-000067020000}"/>
    <cellStyle name="メモ 2 5 4 2" xfId="628" xr:uid="{00000000-0005-0000-0000-000068020000}"/>
    <cellStyle name="メモ 2 5 5" xfId="629" xr:uid="{00000000-0005-0000-0000-000069020000}"/>
    <cellStyle name="メモ 2 5 5 2" xfId="630" xr:uid="{00000000-0005-0000-0000-00006A020000}"/>
    <cellStyle name="メモ 2 5 6" xfId="631" xr:uid="{00000000-0005-0000-0000-00006B020000}"/>
    <cellStyle name="メモ 2 5 6 2" xfId="632" xr:uid="{00000000-0005-0000-0000-00006C020000}"/>
    <cellStyle name="メモ 2 5 7" xfId="633" xr:uid="{00000000-0005-0000-0000-00006D020000}"/>
    <cellStyle name="メモ 2 5 7 2" xfId="634" xr:uid="{00000000-0005-0000-0000-00006E020000}"/>
    <cellStyle name="メモ 2 5 8" xfId="635" xr:uid="{00000000-0005-0000-0000-00006F020000}"/>
    <cellStyle name="メモ 2 6" xfId="636" xr:uid="{00000000-0005-0000-0000-000070020000}"/>
    <cellStyle name="メモ 2 6 2" xfId="637" xr:uid="{00000000-0005-0000-0000-000071020000}"/>
    <cellStyle name="メモ 2 6 2 2" xfId="638" xr:uid="{00000000-0005-0000-0000-000072020000}"/>
    <cellStyle name="メモ 2 6 2 2 2" xfId="639" xr:uid="{00000000-0005-0000-0000-000073020000}"/>
    <cellStyle name="メモ 2 6 2 3" xfId="640" xr:uid="{00000000-0005-0000-0000-000074020000}"/>
    <cellStyle name="メモ 2 6 2 3 2" xfId="641" xr:uid="{00000000-0005-0000-0000-000075020000}"/>
    <cellStyle name="メモ 2 6 2 4" xfId="642" xr:uid="{00000000-0005-0000-0000-000076020000}"/>
    <cellStyle name="メモ 2 6 2 4 2" xfId="643" xr:uid="{00000000-0005-0000-0000-000077020000}"/>
    <cellStyle name="メモ 2 6 2 5" xfId="644" xr:uid="{00000000-0005-0000-0000-000078020000}"/>
    <cellStyle name="メモ 2 6 2 5 2" xfId="645" xr:uid="{00000000-0005-0000-0000-000079020000}"/>
    <cellStyle name="メモ 2 6 2 6" xfId="646" xr:uid="{00000000-0005-0000-0000-00007A020000}"/>
    <cellStyle name="メモ 2 6 2 6 2" xfId="647" xr:uid="{00000000-0005-0000-0000-00007B020000}"/>
    <cellStyle name="メモ 2 6 2 7" xfId="648" xr:uid="{00000000-0005-0000-0000-00007C020000}"/>
    <cellStyle name="メモ 2 6 3" xfId="649" xr:uid="{00000000-0005-0000-0000-00007D020000}"/>
    <cellStyle name="メモ 2 6 3 2" xfId="650" xr:uid="{00000000-0005-0000-0000-00007E020000}"/>
    <cellStyle name="メモ 2 6 4" xfId="651" xr:uid="{00000000-0005-0000-0000-00007F020000}"/>
    <cellStyle name="メモ 2 6 4 2" xfId="652" xr:uid="{00000000-0005-0000-0000-000080020000}"/>
    <cellStyle name="メモ 2 6 5" xfId="653" xr:uid="{00000000-0005-0000-0000-000081020000}"/>
    <cellStyle name="メモ 2 6 5 2" xfId="654" xr:uid="{00000000-0005-0000-0000-000082020000}"/>
    <cellStyle name="メモ 2 6 6" xfId="655" xr:uid="{00000000-0005-0000-0000-000083020000}"/>
    <cellStyle name="メモ 2 6 6 2" xfId="656" xr:uid="{00000000-0005-0000-0000-000084020000}"/>
    <cellStyle name="メモ 2 6 7" xfId="657" xr:uid="{00000000-0005-0000-0000-000085020000}"/>
    <cellStyle name="メモ 2 6 7 2" xfId="658" xr:uid="{00000000-0005-0000-0000-000086020000}"/>
    <cellStyle name="メモ 2 6 8" xfId="659" xr:uid="{00000000-0005-0000-0000-000087020000}"/>
    <cellStyle name="メモ 2 7" xfId="660" xr:uid="{00000000-0005-0000-0000-000088020000}"/>
    <cellStyle name="メモ 2 7 2" xfId="661" xr:uid="{00000000-0005-0000-0000-000089020000}"/>
    <cellStyle name="メモ 2 7 2 2" xfId="662" xr:uid="{00000000-0005-0000-0000-00008A020000}"/>
    <cellStyle name="メモ 2 7 3" xfId="663" xr:uid="{00000000-0005-0000-0000-00008B020000}"/>
    <cellStyle name="メモ 2 7 3 2" xfId="664" xr:uid="{00000000-0005-0000-0000-00008C020000}"/>
    <cellStyle name="メモ 2 7 4" xfId="665" xr:uid="{00000000-0005-0000-0000-00008D020000}"/>
    <cellStyle name="メモ 2 7 4 2" xfId="666" xr:uid="{00000000-0005-0000-0000-00008E020000}"/>
    <cellStyle name="メモ 2 7 5" xfId="667" xr:uid="{00000000-0005-0000-0000-00008F020000}"/>
    <cellStyle name="メモ 2 7 5 2" xfId="668" xr:uid="{00000000-0005-0000-0000-000090020000}"/>
    <cellStyle name="メモ 2 7 6" xfId="669" xr:uid="{00000000-0005-0000-0000-000091020000}"/>
    <cellStyle name="メモ 2 7 6 2" xfId="670" xr:uid="{00000000-0005-0000-0000-000092020000}"/>
    <cellStyle name="メモ 2 7 7" xfId="671" xr:uid="{00000000-0005-0000-0000-000093020000}"/>
    <cellStyle name="メモ 2 8" xfId="672" xr:uid="{00000000-0005-0000-0000-000094020000}"/>
    <cellStyle name="メモ 2 8 2" xfId="673" xr:uid="{00000000-0005-0000-0000-000095020000}"/>
    <cellStyle name="メモ 3" xfId="674" xr:uid="{00000000-0005-0000-0000-000096020000}"/>
    <cellStyle name="メモ 3 2" xfId="675" xr:uid="{00000000-0005-0000-0000-000097020000}"/>
    <cellStyle name="メモ 3 2 2" xfId="676" xr:uid="{00000000-0005-0000-0000-000098020000}"/>
    <cellStyle name="メモ 3 2 2 2" xfId="677" xr:uid="{00000000-0005-0000-0000-000099020000}"/>
    <cellStyle name="メモ 3 2 3" xfId="678" xr:uid="{00000000-0005-0000-0000-00009A020000}"/>
    <cellStyle name="メモ 3 2 3 2" xfId="679" xr:uid="{00000000-0005-0000-0000-00009B020000}"/>
    <cellStyle name="メモ 3 2 4" xfId="680" xr:uid="{00000000-0005-0000-0000-00009C020000}"/>
    <cellStyle name="メモ 3 2 4 2" xfId="681" xr:uid="{00000000-0005-0000-0000-00009D020000}"/>
    <cellStyle name="メモ 3 2 5" xfId="682" xr:uid="{00000000-0005-0000-0000-00009E020000}"/>
    <cellStyle name="メモ 3 2 5 2" xfId="683" xr:uid="{00000000-0005-0000-0000-00009F020000}"/>
    <cellStyle name="メモ 3 2 6" xfId="684" xr:uid="{00000000-0005-0000-0000-0000A0020000}"/>
    <cellStyle name="メモ 3 2 6 2" xfId="685" xr:uid="{00000000-0005-0000-0000-0000A1020000}"/>
    <cellStyle name="メモ 3 2 7" xfId="686" xr:uid="{00000000-0005-0000-0000-0000A2020000}"/>
    <cellStyle name="メモ 3 3" xfId="687" xr:uid="{00000000-0005-0000-0000-0000A3020000}"/>
    <cellStyle name="メモ 3 3 2" xfId="688" xr:uid="{00000000-0005-0000-0000-0000A4020000}"/>
    <cellStyle name="メモ 3 4" xfId="689" xr:uid="{00000000-0005-0000-0000-0000A5020000}"/>
    <cellStyle name="メモ 3 5" xfId="690" xr:uid="{00000000-0005-0000-0000-0000A6020000}"/>
    <cellStyle name="メモ 4" xfId="691" xr:uid="{00000000-0005-0000-0000-0000A7020000}"/>
    <cellStyle name="メモ 4 2" xfId="692" xr:uid="{00000000-0005-0000-0000-0000A8020000}"/>
    <cellStyle name="メモ 4 2 2" xfId="693" xr:uid="{00000000-0005-0000-0000-0000A9020000}"/>
    <cellStyle name="メモ 4 2 2 2" xfId="694" xr:uid="{00000000-0005-0000-0000-0000AA020000}"/>
    <cellStyle name="メモ 4 2 3" xfId="695" xr:uid="{00000000-0005-0000-0000-0000AB020000}"/>
    <cellStyle name="メモ 4 2 3 2" xfId="696" xr:uid="{00000000-0005-0000-0000-0000AC020000}"/>
    <cellStyle name="メモ 4 2 4" xfId="697" xr:uid="{00000000-0005-0000-0000-0000AD020000}"/>
    <cellStyle name="メモ 4 2 4 2" xfId="698" xr:uid="{00000000-0005-0000-0000-0000AE020000}"/>
    <cellStyle name="メモ 4 2 5" xfId="699" xr:uid="{00000000-0005-0000-0000-0000AF020000}"/>
    <cellStyle name="メモ 4 2 5 2" xfId="700" xr:uid="{00000000-0005-0000-0000-0000B0020000}"/>
    <cellStyle name="メモ 4 2 6" xfId="701" xr:uid="{00000000-0005-0000-0000-0000B1020000}"/>
    <cellStyle name="メモ 4 2 6 2" xfId="702" xr:uid="{00000000-0005-0000-0000-0000B2020000}"/>
    <cellStyle name="メモ 4 2 7" xfId="703" xr:uid="{00000000-0005-0000-0000-0000B3020000}"/>
    <cellStyle name="メモ 4 3" xfId="704" xr:uid="{00000000-0005-0000-0000-0000B4020000}"/>
    <cellStyle name="メモ 4 3 2" xfId="705" xr:uid="{00000000-0005-0000-0000-0000B5020000}"/>
    <cellStyle name="メモ 4 4" xfId="706" xr:uid="{00000000-0005-0000-0000-0000B6020000}"/>
    <cellStyle name="メモ 5" xfId="707" xr:uid="{00000000-0005-0000-0000-0000B7020000}"/>
    <cellStyle name="メモ 5 2" xfId="708" xr:uid="{00000000-0005-0000-0000-0000B8020000}"/>
    <cellStyle name="メモ 5 2 2" xfId="709" xr:uid="{00000000-0005-0000-0000-0000B9020000}"/>
    <cellStyle name="メモ 5 3" xfId="710" xr:uid="{00000000-0005-0000-0000-0000BA020000}"/>
    <cellStyle name="メモ 5 3 2" xfId="711" xr:uid="{00000000-0005-0000-0000-0000BB020000}"/>
    <cellStyle name="メモ 5 4" xfId="712" xr:uid="{00000000-0005-0000-0000-0000BC020000}"/>
    <cellStyle name="メモ 5 4 2" xfId="713" xr:uid="{00000000-0005-0000-0000-0000BD020000}"/>
    <cellStyle name="メモ 5 5" xfId="714" xr:uid="{00000000-0005-0000-0000-0000BE020000}"/>
    <cellStyle name="メモ 5 5 2" xfId="715" xr:uid="{00000000-0005-0000-0000-0000BF020000}"/>
    <cellStyle name="メモ 5 6" xfId="716" xr:uid="{00000000-0005-0000-0000-0000C0020000}"/>
    <cellStyle name="メモ 5 6 2" xfId="717" xr:uid="{00000000-0005-0000-0000-0000C1020000}"/>
    <cellStyle name="メモ 5 7" xfId="718" xr:uid="{00000000-0005-0000-0000-0000C2020000}"/>
    <cellStyle name="メモ 5 7 2" xfId="719" xr:uid="{00000000-0005-0000-0000-0000C3020000}"/>
    <cellStyle name="メモ 6" xfId="720" xr:uid="{00000000-0005-0000-0000-0000C4020000}"/>
    <cellStyle name="メモ 7" xfId="721" xr:uid="{00000000-0005-0000-0000-0000C5020000}"/>
    <cellStyle name="メモ 8" xfId="722" xr:uid="{00000000-0005-0000-0000-0000C6020000}"/>
    <cellStyle name="メモ 9" xfId="723" xr:uid="{00000000-0005-0000-0000-0000C7020000}"/>
    <cellStyle name="リンク セル 2" xfId="724" xr:uid="{00000000-0005-0000-0000-0000C8020000}"/>
    <cellStyle name="リンク セル 3" xfId="725" xr:uid="{00000000-0005-0000-0000-0000C9020000}"/>
    <cellStyle name="リンク セル 4" xfId="726" xr:uid="{00000000-0005-0000-0000-0000CA020000}"/>
    <cellStyle name="リンク セル 5" xfId="727" xr:uid="{00000000-0005-0000-0000-0000CB020000}"/>
    <cellStyle name="リンク セル 6" xfId="728" xr:uid="{00000000-0005-0000-0000-0000CC020000}"/>
    <cellStyle name="リンク セル 7" xfId="729" xr:uid="{00000000-0005-0000-0000-0000CD020000}"/>
    <cellStyle name="リンク セル 8" xfId="730" xr:uid="{00000000-0005-0000-0000-0000CE020000}"/>
    <cellStyle name="リンク セル 9" xfId="731" xr:uid="{00000000-0005-0000-0000-0000CF020000}"/>
    <cellStyle name="_x001d_・_x000c_ﾏ・_x000d_ﾂ・_x0001__x0016__x0011_F5_x0007__x0001__x0001_" xfId="7" xr:uid="{00000000-0005-0000-0000-0000D0020000}"/>
    <cellStyle name="_x001d_・_x000c_ﾏ・_x000d_ﾂ・_x0001__x0016__x0011_F5_x0007__x0001__x0001_ 2" xfId="732" xr:uid="{00000000-0005-0000-0000-0000D1020000}"/>
    <cellStyle name="_x001d_・_x000c_ﾏ・_x000d_ﾂ・_x0001__x0016__x0011_F5_x0007__x0001__x0001_ 2 2" xfId="733" xr:uid="{00000000-0005-0000-0000-0000D2020000}"/>
    <cellStyle name="_x001d_・_x000c_ﾏ・_x000d_ﾂ・_x0001__x0016__x0011_F5_x0007__x0001__x0001_ 2 2 2" xfId="734" xr:uid="{00000000-0005-0000-0000-0000D3020000}"/>
    <cellStyle name="_x001d_・_x000c_ﾏ・_x000d_ﾂ・_x0001__x0016__x0011_F5_x0007__x0001__x0001_ 2 3" xfId="735" xr:uid="{00000000-0005-0000-0000-0000D4020000}"/>
    <cellStyle name="_x001d_・_x000c_ﾏ・_x000d_ﾂ・_x0001__x0016__x0011_F5_x0007__x0001__x0001_ 2 4" xfId="1939" xr:uid="{00000000-0005-0000-0000-0000D5020000}"/>
    <cellStyle name="_x001d_・_x000c_ﾏ・_x000d_ﾂ・_x0001__x0016__x0011_F5_x0007__x0001__x0001_ 3" xfId="736" xr:uid="{00000000-0005-0000-0000-0000D6020000}"/>
    <cellStyle name="_x001d_・_x000c_ﾏ・_x000d_ﾂ・_x0001__x0016__x0011_F5_x0007__x0001__x0001_ 3 2" xfId="737" xr:uid="{00000000-0005-0000-0000-0000D7020000}"/>
    <cellStyle name="_x001d_・_x000c_ﾏ・_x000d_ﾂ・_x0001__x0016__x0011_F5_x0007__x0001__x0001_ 4" xfId="1938" xr:uid="{00000000-0005-0000-0000-0000D8020000}"/>
    <cellStyle name="悪い 2" xfId="738" xr:uid="{00000000-0005-0000-0000-0000D9020000}"/>
    <cellStyle name="悪い 3" xfId="739" xr:uid="{00000000-0005-0000-0000-0000DA020000}"/>
    <cellStyle name="悪い 4" xfId="740" xr:uid="{00000000-0005-0000-0000-0000DB020000}"/>
    <cellStyle name="悪い 5" xfId="741" xr:uid="{00000000-0005-0000-0000-0000DC020000}"/>
    <cellStyle name="悪い 6" xfId="742" xr:uid="{00000000-0005-0000-0000-0000DD020000}"/>
    <cellStyle name="悪い 7" xfId="743" xr:uid="{00000000-0005-0000-0000-0000DE020000}"/>
    <cellStyle name="悪い 8" xfId="744" xr:uid="{00000000-0005-0000-0000-0000DF020000}"/>
    <cellStyle name="悪い 9" xfId="745" xr:uid="{00000000-0005-0000-0000-0000E0020000}"/>
    <cellStyle name="計算 2" xfId="746" xr:uid="{00000000-0005-0000-0000-0000E1020000}"/>
    <cellStyle name="計算 2 2" xfId="747" xr:uid="{00000000-0005-0000-0000-0000E2020000}"/>
    <cellStyle name="計算 2 2 2" xfId="748" xr:uid="{00000000-0005-0000-0000-0000E3020000}"/>
    <cellStyle name="計算 2 2 2 2" xfId="749" xr:uid="{00000000-0005-0000-0000-0000E4020000}"/>
    <cellStyle name="計算 2 2 2 2 2" xfId="750" xr:uid="{00000000-0005-0000-0000-0000E5020000}"/>
    <cellStyle name="計算 2 2 2 3" xfId="751" xr:uid="{00000000-0005-0000-0000-0000E6020000}"/>
    <cellStyle name="計算 2 2 2 3 2" xfId="752" xr:uid="{00000000-0005-0000-0000-0000E7020000}"/>
    <cellStyle name="計算 2 2 2 4" xfId="753" xr:uid="{00000000-0005-0000-0000-0000E8020000}"/>
    <cellStyle name="計算 2 2 2 4 2" xfId="754" xr:uid="{00000000-0005-0000-0000-0000E9020000}"/>
    <cellStyle name="計算 2 2 2 5" xfId="755" xr:uid="{00000000-0005-0000-0000-0000EA020000}"/>
    <cellStyle name="計算 2 2 2 5 2" xfId="756" xr:uid="{00000000-0005-0000-0000-0000EB020000}"/>
    <cellStyle name="計算 2 2 2 6" xfId="757" xr:uid="{00000000-0005-0000-0000-0000EC020000}"/>
    <cellStyle name="計算 2 2 2 6 2" xfId="758" xr:uid="{00000000-0005-0000-0000-0000ED020000}"/>
    <cellStyle name="計算 2 2 2 7" xfId="759" xr:uid="{00000000-0005-0000-0000-0000EE020000}"/>
    <cellStyle name="計算 2 2 3" xfId="760" xr:uid="{00000000-0005-0000-0000-0000EF020000}"/>
    <cellStyle name="計算 2 2 3 2" xfId="761" xr:uid="{00000000-0005-0000-0000-0000F0020000}"/>
    <cellStyle name="計算 2 2 4" xfId="762" xr:uid="{00000000-0005-0000-0000-0000F1020000}"/>
    <cellStyle name="計算 2 3" xfId="763" xr:uid="{00000000-0005-0000-0000-0000F2020000}"/>
    <cellStyle name="計算 2 3 2" xfId="764" xr:uid="{00000000-0005-0000-0000-0000F3020000}"/>
    <cellStyle name="計算 2 3 2 2" xfId="765" xr:uid="{00000000-0005-0000-0000-0000F4020000}"/>
    <cellStyle name="計算 2 3 3" xfId="766" xr:uid="{00000000-0005-0000-0000-0000F5020000}"/>
    <cellStyle name="計算 2 3 3 2" xfId="767" xr:uid="{00000000-0005-0000-0000-0000F6020000}"/>
    <cellStyle name="計算 2 3 4" xfId="768" xr:uid="{00000000-0005-0000-0000-0000F7020000}"/>
    <cellStyle name="計算 2 3 4 2" xfId="769" xr:uid="{00000000-0005-0000-0000-0000F8020000}"/>
    <cellStyle name="計算 2 3 5" xfId="770" xr:uid="{00000000-0005-0000-0000-0000F9020000}"/>
    <cellStyle name="計算 2 3 5 2" xfId="771" xr:uid="{00000000-0005-0000-0000-0000FA020000}"/>
    <cellStyle name="計算 2 3 6" xfId="772" xr:uid="{00000000-0005-0000-0000-0000FB020000}"/>
    <cellStyle name="計算 2 3 6 2" xfId="773" xr:uid="{00000000-0005-0000-0000-0000FC020000}"/>
    <cellStyle name="計算 2 3 7" xfId="774" xr:uid="{00000000-0005-0000-0000-0000FD020000}"/>
    <cellStyle name="計算 2 4" xfId="775" xr:uid="{00000000-0005-0000-0000-0000FE020000}"/>
    <cellStyle name="計算 2 4 2" xfId="776" xr:uid="{00000000-0005-0000-0000-0000FF020000}"/>
    <cellStyle name="計算 2 5" xfId="777" xr:uid="{00000000-0005-0000-0000-000000030000}"/>
    <cellStyle name="計算 3" xfId="778" xr:uid="{00000000-0005-0000-0000-000001030000}"/>
    <cellStyle name="計算 3 2" xfId="779" xr:uid="{00000000-0005-0000-0000-000002030000}"/>
    <cellStyle name="計算 3 2 2" xfId="780" xr:uid="{00000000-0005-0000-0000-000003030000}"/>
    <cellStyle name="計算 3 2 2 2" xfId="781" xr:uid="{00000000-0005-0000-0000-000004030000}"/>
    <cellStyle name="計算 3 2 3" xfId="782" xr:uid="{00000000-0005-0000-0000-000005030000}"/>
    <cellStyle name="計算 3 2 3 2" xfId="783" xr:uid="{00000000-0005-0000-0000-000006030000}"/>
    <cellStyle name="計算 3 2 4" xfId="784" xr:uid="{00000000-0005-0000-0000-000007030000}"/>
    <cellStyle name="計算 3 2 4 2" xfId="785" xr:uid="{00000000-0005-0000-0000-000008030000}"/>
    <cellStyle name="計算 3 2 5" xfId="786" xr:uid="{00000000-0005-0000-0000-000009030000}"/>
    <cellStyle name="計算 3 2 5 2" xfId="787" xr:uid="{00000000-0005-0000-0000-00000A030000}"/>
    <cellStyle name="計算 3 2 6" xfId="788" xr:uid="{00000000-0005-0000-0000-00000B030000}"/>
    <cellStyle name="計算 3 2 6 2" xfId="789" xr:uid="{00000000-0005-0000-0000-00000C030000}"/>
    <cellStyle name="計算 3 2 7" xfId="790" xr:uid="{00000000-0005-0000-0000-00000D030000}"/>
    <cellStyle name="計算 3 3" xfId="791" xr:uid="{00000000-0005-0000-0000-00000E030000}"/>
    <cellStyle name="計算 3 3 2" xfId="792" xr:uid="{00000000-0005-0000-0000-00000F030000}"/>
    <cellStyle name="計算 3 4" xfId="793" xr:uid="{00000000-0005-0000-0000-000010030000}"/>
    <cellStyle name="計算 4" xfId="794" xr:uid="{00000000-0005-0000-0000-000011030000}"/>
    <cellStyle name="計算 4 2" xfId="795" xr:uid="{00000000-0005-0000-0000-000012030000}"/>
    <cellStyle name="計算 4 2 2" xfId="796" xr:uid="{00000000-0005-0000-0000-000013030000}"/>
    <cellStyle name="計算 4 3" xfId="797" xr:uid="{00000000-0005-0000-0000-000014030000}"/>
    <cellStyle name="計算 4 3 2" xfId="798" xr:uid="{00000000-0005-0000-0000-000015030000}"/>
    <cellStyle name="計算 4 4" xfId="799" xr:uid="{00000000-0005-0000-0000-000016030000}"/>
    <cellStyle name="計算 4 4 2" xfId="800" xr:uid="{00000000-0005-0000-0000-000017030000}"/>
    <cellStyle name="計算 4 5" xfId="801" xr:uid="{00000000-0005-0000-0000-000018030000}"/>
    <cellStyle name="計算 4 5 2" xfId="802" xr:uid="{00000000-0005-0000-0000-000019030000}"/>
    <cellStyle name="計算 4 6" xfId="803" xr:uid="{00000000-0005-0000-0000-00001A030000}"/>
    <cellStyle name="計算 4 6 2" xfId="804" xr:uid="{00000000-0005-0000-0000-00001B030000}"/>
    <cellStyle name="計算 4 7" xfId="805" xr:uid="{00000000-0005-0000-0000-00001C030000}"/>
    <cellStyle name="計算 5" xfId="806" xr:uid="{00000000-0005-0000-0000-00001D030000}"/>
    <cellStyle name="計算 6" xfId="807" xr:uid="{00000000-0005-0000-0000-00001E030000}"/>
    <cellStyle name="計算 7" xfId="808" xr:uid="{00000000-0005-0000-0000-00001F030000}"/>
    <cellStyle name="計算 8" xfId="809" xr:uid="{00000000-0005-0000-0000-000020030000}"/>
    <cellStyle name="計算 9" xfId="810" xr:uid="{00000000-0005-0000-0000-000021030000}"/>
    <cellStyle name="警告文 2" xfId="811" xr:uid="{00000000-0005-0000-0000-000022030000}"/>
    <cellStyle name="警告文 3" xfId="812" xr:uid="{00000000-0005-0000-0000-000023030000}"/>
    <cellStyle name="警告文 4" xfId="813" xr:uid="{00000000-0005-0000-0000-000024030000}"/>
    <cellStyle name="警告文 5" xfId="814" xr:uid="{00000000-0005-0000-0000-000025030000}"/>
    <cellStyle name="警告文 6" xfId="815" xr:uid="{00000000-0005-0000-0000-000026030000}"/>
    <cellStyle name="警告文 7" xfId="816" xr:uid="{00000000-0005-0000-0000-000027030000}"/>
    <cellStyle name="警告文 8" xfId="817" xr:uid="{00000000-0005-0000-0000-000028030000}"/>
    <cellStyle name="警告文 9" xfId="818" xr:uid="{00000000-0005-0000-0000-000029030000}"/>
    <cellStyle name="桁蟻唇Ｆ [0.00]_laroux" xfId="819" xr:uid="{00000000-0005-0000-0000-00002A030000}"/>
    <cellStyle name="桁蟻唇Ｆ_A°DAU±ATIsA" xfId="820" xr:uid="{00000000-0005-0000-0000-00002B030000}"/>
    <cellStyle name="桁区切り" xfId="1953" builtinId="6"/>
    <cellStyle name="桁区切り 2" xfId="1" xr:uid="{00000000-0005-0000-0000-00002C030000}"/>
    <cellStyle name="桁区切り 2 2" xfId="821" xr:uid="{00000000-0005-0000-0000-00002D030000}"/>
    <cellStyle name="桁区切り 2 2 2" xfId="822" xr:uid="{00000000-0005-0000-0000-00002E030000}"/>
    <cellStyle name="桁区切り 2 3" xfId="823" xr:uid="{00000000-0005-0000-0000-00002F030000}"/>
    <cellStyle name="桁区切り 2 4" xfId="824" xr:uid="{00000000-0005-0000-0000-000030030000}"/>
    <cellStyle name="桁区切り 2 4 2" xfId="825" xr:uid="{00000000-0005-0000-0000-000031030000}"/>
    <cellStyle name="桁区切り 2 4 3" xfId="826" xr:uid="{00000000-0005-0000-0000-000032030000}"/>
    <cellStyle name="桁区切り 2 5" xfId="827" xr:uid="{00000000-0005-0000-0000-000033030000}"/>
    <cellStyle name="桁区切り 2 5 2" xfId="828" xr:uid="{00000000-0005-0000-0000-000034030000}"/>
    <cellStyle name="桁区切り 2 5 3" xfId="829" xr:uid="{00000000-0005-0000-0000-000035030000}"/>
    <cellStyle name="桁区切り 2 6" xfId="830" xr:uid="{00000000-0005-0000-0000-000036030000}"/>
    <cellStyle name="桁区切り 2_バックアップセンタ_切替テストスケジュール_20120406~10" xfId="831" xr:uid="{00000000-0005-0000-0000-000037030000}"/>
    <cellStyle name="桁区切り 3" xfId="832" xr:uid="{00000000-0005-0000-0000-000038030000}"/>
    <cellStyle name="桁区切り 3 2" xfId="833" xr:uid="{00000000-0005-0000-0000-000039030000}"/>
    <cellStyle name="桁区切り 3 2 2" xfId="834" xr:uid="{00000000-0005-0000-0000-00003A030000}"/>
    <cellStyle name="桁区切り 3 2 3" xfId="835" xr:uid="{00000000-0005-0000-0000-00003B030000}"/>
    <cellStyle name="桁区切り 3 3" xfId="836" xr:uid="{00000000-0005-0000-0000-00003C030000}"/>
    <cellStyle name="桁区切り 4" xfId="837" xr:uid="{00000000-0005-0000-0000-00003D030000}"/>
    <cellStyle name="桁区切り 4 2" xfId="838" xr:uid="{00000000-0005-0000-0000-00003E030000}"/>
    <cellStyle name="桁区切り 4 2 2" xfId="839" xr:uid="{00000000-0005-0000-0000-00003F030000}"/>
    <cellStyle name="桁区切り 4 2 3" xfId="840" xr:uid="{00000000-0005-0000-0000-000040030000}"/>
    <cellStyle name="桁区切り 4 3" xfId="841" xr:uid="{00000000-0005-0000-0000-000041030000}"/>
    <cellStyle name="桁区切り 4 4" xfId="842" xr:uid="{00000000-0005-0000-0000-000042030000}"/>
    <cellStyle name="桁区切り 5" xfId="843" xr:uid="{00000000-0005-0000-0000-000043030000}"/>
    <cellStyle name="桁区切り 5 2" xfId="844" xr:uid="{00000000-0005-0000-0000-000044030000}"/>
    <cellStyle name="桁区切り 5 3" xfId="845" xr:uid="{00000000-0005-0000-0000-000045030000}"/>
    <cellStyle name="桁区切り 6" xfId="846" xr:uid="{00000000-0005-0000-0000-000046030000}"/>
    <cellStyle name="桁区切り 7" xfId="1945" xr:uid="{00000000-0005-0000-0000-000047030000}"/>
    <cellStyle name="桁区切り 7 2" xfId="1952" xr:uid="{00000000-0005-0000-0000-000048030000}"/>
    <cellStyle name="見出し 1 2" xfId="847" xr:uid="{00000000-0005-0000-0000-000049030000}"/>
    <cellStyle name="見出し 1 3" xfId="848" xr:uid="{00000000-0005-0000-0000-00004A030000}"/>
    <cellStyle name="見出し 1 4" xfId="849" xr:uid="{00000000-0005-0000-0000-00004B030000}"/>
    <cellStyle name="見出し 1 5" xfId="850" xr:uid="{00000000-0005-0000-0000-00004C030000}"/>
    <cellStyle name="見出し 1 6" xfId="851" xr:uid="{00000000-0005-0000-0000-00004D030000}"/>
    <cellStyle name="見出し 1 7" xfId="852" xr:uid="{00000000-0005-0000-0000-00004E030000}"/>
    <cellStyle name="見出し 1 8" xfId="853" xr:uid="{00000000-0005-0000-0000-00004F030000}"/>
    <cellStyle name="見出し 1 9" xfId="854" xr:uid="{00000000-0005-0000-0000-000050030000}"/>
    <cellStyle name="見出し 2 2" xfId="855" xr:uid="{00000000-0005-0000-0000-000051030000}"/>
    <cellStyle name="見出し 2 3" xfId="856" xr:uid="{00000000-0005-0000-0000-000052030000}"/>
    <cellStyle name="見出し 2 4" xfId="857" xr:uid="{00000000-0005-0000-0000-000053030000}"/>
    <cellStyle name="見出し 2 5" xfId="858" xr:uid="{00000000-0005-0000-0000-000054030000}"/>
    <cellStyle name="見出し 2 6" xfId="859" xr:uid="{00000000-0005-0000-0000-000055030000}"/>
    <cellStyle name="見出し 2 7" xfId="860" xr:uid="{00000000-0005-0000-0000-000056030000}"/>
    <cellStyle name="見出し 2 8" xfId="861" xr:uid="{00000000-0005-0000-0000-000057030000}"/>
    <cellStyle name="見出し 2 9" xfId="862" xr:uid="{00000000-0005-0000-0000-000058030000}"/>
    <cellStyle name="見出し 3 2" xfId="863" xr:uid="{00000000-0005-0000-0000-000059030000}"/>
    <cellStyle name="見出し 3 3" xfId="864" xr:uid="{00000000-0005-0000-0000-00005A030000}"/>
    <cellStyle name="見出し 3 4" xfId="865" xr:uid="{00000000-0005-0000-0000-00005B030000}"/>
    <cellStyle name="見出し 3 5" xfId="866" xr:uid="{00000000-0005-0000-0000-00005C030000}"/>
    <cellStyle name="見出し 3 6" xfId="867" xr:uid="{00000000-0005-0000-0000-00005D030000}"/>
    <cellStyle name="見出し 3 7" xfId="868" xr:uid="{00000000-0005-0000-0000-00005E030000}"/>
    <cellStyle name="見出し 3 8" xfId="869" xr:uid="{00000000-0005-0000-0000-00005F030000}"/>
    <cellStyle name="見出し 3 9" xfId="870" xr:uid="{00000000-0005-0000-0000-000060030000}"/>
    <cellStyle name="見出し 4 2" xfId="871" xr:uid="{00000000-0005-0000-0000-000061030000}"/>
    <cellStyle name="見出し 4 3" xfId="872" xr:uid="{00000000-0005-0000-0000-000062030000}"/>
    <cellStyle name="見出し 4 4" xfId="873" xr:uid="{00000000-0005-0000-0000-000063030000}"/>
    <cellStyle name="見出し 4 5" xfId="874" xr:uid="{00000000-0005-0000-0000-000064030000}"/>
    <cellStyle name="見出し 4 6" xfId="875" xr:uid="{00000000-0005-0000-0000-000065030000}"/>
    <cellStyle name="見出し 4 7" xfId="876" xr:uid="{00000000-0005-0000-0000-000066030000}"/>
    <cellStyle name="見出し 4 8" xfId="877" xr:uid="{00000000-0005-0000-0000-000067030000}"/>
    <cellStyle name="見出し 4 9" xfId="878" xr:uid="{00000000-0005-0000-0000-000068030000}"/>
    <cellStyle name="構成図作成用" xfId="879" xr:uid="{00000000-0005-0000-0000-000069030000}"/>
    <cellStyle name="取り消し" xfId="8" xr:uid="{00000000-0005-0000-0000-00006A030000}"/>
    <cellStyle name="集計 2" xfId="880" xr:uid="{00000000-0005-0000-0000-00006B030000}"/>
    <cellStyle name="集計 2 2" xfId="881" xr:uid="{00000000-0005-0000-0000-00006C030000}"/>
    <cellStyle name="集計 2 2 2" xfId="882" xr:uid="{00000000-0005-0000-0000-00006D030000}"/>
    <cellStyle name="集計 2 2 2 2" xfId="883" xr:uid="{00000000-0005-0000-0000-00006E030000}"/>
    <cellStyle name="集計 2 2 2 2 2" xfId="884" xr:uid="{00000000-0005-0000-0000-00006F030000}"/>
    <cellStyle name="集計 2 2 2 3" xfId="885" xr:uid="{00000000-0005-0000-0000-000070030000}"/>
    <cellStyle name="集計 2 2 2 3 2" xfId="886" xr:uid="{00000000-0005-0000-0000-000071030000}"/>
    <cellStyle name="集計 2 2 2 4" xfId="887" xr:uid="{00000000-0005-0000-0000-000072030000}"/>
    <cellStyle name="集計 2 2 2 4 2" xfId="888" xr:uid="{00000000-0005-0000-0000-000073030000}"/>
    <cellStyle name="集計 2 2 2 5" xfId="889" xr:uid="{00000000-0005-0000-0000-000074030000}"/>
    <cellStyle name="集計 2 2 2 5 2" xfId="890" xr:uid="{00000000-0005-0000-0000-000075030000}"/>
    <cellStyle name="集計 2 2 2 6" xfId="891" xr:uid="{00000000-0005-0000-0000-000076030000}"/>
    <cellStyle name="集計 2 2 2 6 2" xfId="892" xr:uid="{00000000-0005-0000-0000-000077030000}"/>
    <cellStyle name="集計 2 2 2 7" xfId="893" xr:uid="{00000000-0005-0000-0000-000078030000}"/>
    <cellStyle name="集計 2 2 3" xfId="894" xr:uid="{00000000-0005-0000-0000-000079030000}"/>
    <cellStyle name="集計 2 2 3 2" xfId="895" xr:uid="{00000000-0005-0000-0000-00007A030000}"/>
    <cellStyle name="集計 2 3" xfId="896" xr:uid="{00000000-0005-0000-0000-00007B030000}"/>
    <cellStyle name="集計 2 3 2" xfId="897" xr:uid="{00000000-0005-0000-0000-00007C030000}"/>
    <cellStyle name="集計 2 3 2 2" xfId="898" xr:uid="{00000000-0005-0000-0000-00007D030000}"/>
    <cellStyle name="集計 2 3 3" xfId="899" xr:uid="{00000000-0005-0000-0000-00007E030000}"/>
    <cellStyle name="集計 2 3 3 2" xfId="900" xr:uid="{00000000-0005-0000-0000-00007F030000}"/>
    <cellStyle name="集計 2 3 4" xfId="901" xr:uid="{00000000-0005-0000-0000-000080030000}"/>
    <cellStyle name="集計 2 3 4 2" xfId="902" xr:uid="{00000000-0005-0000-0000-000081030000}"/>
    <cellStyle name="集計 2 3 5" xfId="903" xr:uid="{00000000-0005-0000-0000-000082030000}"/>
    <cellStyle name="集計 2 3 5 2" xfId="904" xr:uid="{00000000-0005-0000-0000-000083030000}"/>
    <cellStyle name="集計 2 3 6" xfId="905" xr:uid="{00000000-0005-0000-0000-000084030000}"/>
    <cellStyle name="集計 2 3 6 2" xfId="906" xr:uid="{00000000-0005-0000-0000-000085030000}"/>
    <cellStyle name="集計 2 3 7" xfId="907" xr:uid="{00000000-0005-0000-0000-000086030000}"/>
    <cellStyle name="集計 2 4" xfId="908" xr:uid="{00000000-0005-0000-0000-000087030000}"/>
    <cellStyle name="集計 2 4 2" xfId="909" xr:uid="{00000000-0005-0000-0000-000088030000}"/>
    <cellStyle name="集計 3" xfId="910" xr:uid="{00000000-0005-0000-0000-000089030000}"/>
    <cellStyle name="集計 3 2" xfId="911" xr:uid="{00000000-0005-0000-0000-00008A030000}"/>
    <cellStyle name="集計 3 2 2" xfId="912" xr:uid="{00000000-0005-0000-0000-00008B030000}"/>
    <cellStyle name="集計 3 2 2 2" xfId="913" xr:uid="{00000000-0005-0000-0000-00008C030000}"/>
    <cellStyle name="集計 3 2 3" xfId="914" xr:uid="{00000000-0005-0000-0000-00008D030000}"/>
    <cellStyle name="集計 3 2 3 2" xfId="915" xr:uid="{00000000-0005-0000-0000-00008E030000}"/>
    <cellStyle name="集計 3 2 4" xfId="916" xr:uid="{00000000-0005-0000-0000-00008F030000}"/>
    <cellStyle name="集計 3 2 4 2" xfId="917" xr:uid="{00000000-0005-0000-0000-000090030000}"/>
    <cellStyle name="集計 3 2 5" xfId="918" xr:uid="{00000000-0005-0000-0000-000091030000}"/>
    <cellStyle name="集計 3 2 5 2" xfId="919" xr:uid="{00000000-0005-0000-0000-000092030000}"/>
    <cellStyle name="集計 3 2 6" xfId="920" xr:uid="{00000000-0005-0000-0000-000093030000}"/>
    <cellStyle name="集計 3 2 6 2" xfId="921" xr:uid="{00000000-0005-0000-0000-000094030000}"/>
    <cellStyle name="集計 3 2 7" xfId="922" xr:uid="{00000000-0005-0000-0000-000095030000}"/>
    <cellStyle name="集計 3 3" xfId="923" xr:uid="{00000000-0005-0000-0000-000096030000}"/>
    <cellStyle name="集計 3 3 2" xfId="924" xr:uid="{00000000-0005-0000-0000-000097030000}"/>
    <cellStyle name="集計 3 4" xfId="925" xr:uid="{00000000-0005-0000-0000-000098030000}"/>
    <cellStyle name="集計 4" xfId="926" xr:uid="{00000000-0005-0000-0000-000099030000}"/>
    <cellStyle name="集計 4 2" xfId="927" xr:uid="{00000000-0005-0000-0000-00009A030000}"/>
    <cellStyle name="集計 4 2 2" xfId="928" xr:uid="{00000000-0005-0000-0000-00009B030000}"/>
    <cellStyle name="集計 4 3" xfId="929" xr:uid="{00000000-0005-0000-0000-00009C030000}"/>
    <cellStyle name="集計 4 3 2" xfId="930" xr:uid="{00000000-0005-0000-0000-00009D030000}"/>
    <cellStyle name="集計 4 4" xfId="931" xr:uid="{00000000-0005-0000-0000-00009E030000}"/>
    <cellStyle name="集計 4 4 2" xfId="932" xr:uid="{00000000-0005-0000-0000-00009F030000}"/>
    <cellStyle name="集計 4 5" xfId="933" xr:uid="{00000000-0005-0000-0000-0000A0030000}"/>
    <cellStyle name="集計 4 5 2" xfId="934" xr:uid="{00000000-0005-0000-0000-0000A1030000}"/>
    <cellStyle name="集計 4 6" xfId="935" xr:uid="{00000000-0005-0000-0000-0000A2030000}"/>
    <cellStyle name="集計 4 6 2" xfId="936" xr:uid="{00000000-0005-0000-0000-0000A3030000}"/>
    <cellStyle name="集計 4 7" xfId="937" xr:uid="{00000000-0005-0000-0000-0000A4030000}"/>
    <cellStyle name="集計 5" xfId="938" xr:uid="{00000000-0005-0000-0000-0000A5030000}"/>
    <cellStyle name="集計 6" xfId="939" xr:uid="{00000000-0005-0000-0000-0000A6030000}"/>
    <cellStyle name="集計 7" xfId="940" xr:uid="{00000000-0005-0000-0000-0000A7030000}"/>
    <cellStyle name="集計 8" xfId="941" xr:uid="{00000000-0005-0000-0000-0000A8030000}"/>
    <cellStyle name="集計 9" xfId="942" xr:uid="{00000000-0005-0000-0000-0000A9030000}"/>
    <cellStyle name="出力 2" xfId="943" xr:uid="{00000000-0005-0000-0000-0000AA030000}"/>
    <cellStyle name="出力 2 2" xfId="944" xr:uid="{00000000-0005-0000-0000-0000AB030000}"/>
    <cellStyle name="出力 2 2 2" xfId="945" xr:uid="{00000000-0005-0000-0000-0000AC030000}"/>
    <cellStyle name="出力 2 2 2 2" xfId="946" xr:uid="{00000000-0005-0000-0000-0000AD030000}"/>
    <cellStyle name="出力 2 2 2 2 2" xfId="947" xr:uid="{00000000-0005-0000-0000-0000AE030000}"/>
    <cellStyle name="出力 2 2 2 3" xfId="948" xr:uid="{00000000-0005-0000-0000-0000AF030000}"/>
    <cellStyle name="出力 2 2 2 3 2" xfId="949" xr:uid="{00000000-0005-0000-0000-0000B0030000}"/>
    <cellStyle name="出力 2 2 2 4" xfId="950" xr:uid="{00000000-0005-0000-0000-0000B1030000}"/>
    <cellStyle name="出力 2 2 2 4 2" xfId="951" xr:uid="{00000000-0005-0000-0000-0000B2030000}"/>
    <cellStyle name="出力 2 2 2 5" xfId="952" xr:uid="{00000000-0005-0000-0000-0000B3030000}"/>
    <cellStyle name="出力 2 2 2 5 2" xfId="953" xr:uid="{00000000-0005-0000-0000-0000B4030000}"/>
    <cellStyle name="出力 2 2 2 6" xfId="954" xr:uid="{00000000-0005-0000-0000-0000B5030000}"/>
    <cellStyle name="出力 2 2 2 6 2" xfId="955" xr:uid="{00000000-0005-0000-0000-0000B6030000}"/>
    <cellStyle name="出力 2 2 2 7" xfId="956" xr:uid="{00000000-0005-0000-0000-0000B7030000}"/>
    <cellStyle name="出力 2 2 3" xfId="957" xr:uid="{00000000-0005-0000-0000-0000B8030000}"/>
    <cellStyle name="出力 2 2 3 2" xfId="958" xr:uid="{00000000-0005-0000-0000-0000B9030000}"/>
    <cellStyle name="出力 2 3" xfId="959" xr:uid="{00000000-0005-0000-0000-0000BA030000}"/>
    <cellStyle name="出力 2 3 2" xfId="960" xr:uid="{00000000-0005-0000-0000-0000BB030000}"/>
    <cellStyle name="出力 2 3 2 2" xfId="961" xr:uid="{00000000-0005-0000-0000-0000BC030000}"/>
    <cellStyle name="出力 2 3 3" xfId="962" xr:uid="{00000000-0005-0000-0000-0000BD030000}"/>
    <cellStyle name="出力 2 3 3 2" xfId="963" xr:uid="{00000000-0005-0000-0000-0000BE030000}"/>
    <cellStyle name="出力 2 3 4" xfId="964" xr:uid="{00000000-0005-0000-0000-0000BF030000}"/>
    <cellStyle name="出力 2 3 4 2" xfId="965" xr:uid="{00000000-0005-0000-0000-0000C0030000}"/>
    <cellStyle name="出力 2 3 5" xfId="966" xr:uid="{00000000-0005-0000-0000-0000C1030000}"/>
    <cellStyle name="出力 2 3 5 2" xfId="967" xr:uid="{00000000-0005-0000-0000-0000C2030000}"/>
    <cellStyle name="出力 2 3 6" xfId="968" xr:uid="{00000000-0005-0000-0000-0000C3030000}"/>
    <cellStyle name="出力 2 3 6 2" xfId="969" xr:uid="{00000000-0005-0000-0000-0000C4030000}"/>
    <cellStyle name="出力 2 3 7" xfId="970" xr:uid="{00000000-0005-0000-0000-0000C5030000}"/>
    <cellStyle name="出力 2 4" xfId="971" xr:uid="{00000000-0005-0000-0000-0000C6030000}"/>
    <cellStyle name="出力 2 4 2" xfId="972" xr:uid="{00000000-0005-0000-0000-0000C7030000}"/>
    <cellStyle name="出力 3" xfId="973" xr:uid="{00000000-0005-0000-0000-0000C8030000}"/>
    <cellStyle name="出力 3 2" xfId="974" xr:uid="{00000000-0005-0000-0000-0000C9030000}"/>
    <cellStyle name="出力 3 2 2" xfId="975" xr:uid="{00000000-0005-0000-0000-0000CA030000}"/>
    <cellStyle name="出力 3 2 2 2" xfId="976" xr:uid="{00000000-0005-0000-0000-0000CB030000}"/>
    <cellStyle name="出力 3 2 3" xfId="977" xr:uid="{00000000-0005-0000-0000-0000CC030000}"/>
    <cellStyle name="出力 3 2 3 2" xfId="978" xr:uid="{00000000-0005-0000-0000-0000CD030000}"/>
    <cellStyle name="出力 3 2 4" xfId="979" xr:uid="{00000000-0005-0000-0000-0000CE030000}"/>
    <cellStyle name="出力 3 2 4 2" xfId="980" xr:uid="{00000000-0005-0000-0000-0000CF030000}"/>
    <cellStyle name="出力 3 2 5" xfId="981" xr:uid="{00000000-0005-0000-0000-0000D0030000}"/>
    <cellStyle name="出力 3 2 5 2" xfId="982" xr:uid="{00000000-0005-0000-0000-0000D1030000}"/>
    <cellStyle name="出力 3 2 6" xfId="983" xr:uid="{00000000-0005-0000-0000-0000D2030000}"/>
    <cellStyle name="出力 3 2 6 2" xfId="984" xr:uid="{00000000-0005-0000-0000-0000D3030000}"/>
    <cellStyle name="出力 3 2 7" xfId="985" xr:uid="{00000000-0005-0000-0000-0000D4030000}"/>
    <cellStyle name="出力 3 3" xfId="986" xr:uid="{00000000-0005-0000-0000-0000D5030000}"/>
    <cellStyle name="出力 3 3 2" xfId="987" xr:uid="{00000000-0005-0000-0000-0000D6030000}"/>
    <cellStyle name="出力 3 4" xfId="988" xr:uid="{00000000-0005-0000-0000-0000D7030000}"/>
    <cellStyle name="出力 4" xfId="989" xr:uid="{00000000-0005-0000-0000-0000D8030000}"/>
    <cellStyle name="出力 4 2" xfId="990" xr:uid="{00000000-0005-0000-0000-0000D9030000}"/>
    <cellStyle name="出力 4 2 2" xfId="991" xr:uid="{00000000-0005-0000-0000-0000DA030000}"/>
    <cellStyle name="出力 4 3" xfId="992" xr:uid="{00000000-0005-0000-0000-0000DB030000}"/>
    <cellStyle name="出力 4 3 2" xfId="993" xr:uid="{00000000-0005-0000-0000-0000DC030000}"/>
    <cellStyle name="出力 4 4" xfId="994" xr:uid="{00000000-0005-0000-0000-0000DD030000}"/>
    <cellStyle name="出力 4 4 2" xfId="995" xr:uid="{00000000-0005-0000-0000-0000DE030000}"/>
    <cellStyle name="出力 4 5" xfId="996" xr:uid="{00000000-0005-0000-0000-0000DF030000}"/>
    <cellStyle name="出力 4 5 2" xfId="997" xr:uid="{00000000-0005-0000-0000-0000E0030000}"/>
    <cellStyle name="出力 4 6" xfId="998" xr:uid="{00000000-0005-0000-0000-0000E1030000}"/>
    <cellStyle name="出力 4 6 2" xfId="999" xr:uid="{00000000-0005-0000-0000-0000E2030000}"/>
    <cellStyle name="出力 4 7" xfId="1000" xr:uid="{00000000-0005-0000-0000-0000E3030000}"/>
    <cellStyle name="出力 5" xfId="1001" xr:uid="{00000000-0005-0000-0000-0000E4030000}"/>
    <cellStyle name="出力 6" xfId="1002" xr:uid="{00000000-0005-0000-0000-0000E5030000}"/>
    <cellStyle name="出力 7" xfId="1003" xr:uid="{00000000-0005-0000-0000-0000E6030000}"/>
    <cellStyle name="出力 8" xfId="1004" xr:uid="{00000000-0005-0000-0000-0000E7030000}"/>
    <cellStyle name="出力 9" xfId="1005" xr:uid="{00000000-0005-0000-0000-0000E8030000}"/>
    <cellStyle name="人月" xfId="1006" xr:uid="{00000000-0005-0000-0000-0000E9030000}"/>
    <cellStyle name="人月 2" xfId="1941" xr:uid="{00000000-0005-0000-0000-0000EA030000}"/>
    <cellStyle name="人月 3" xfId="1940" xr:uid="{00000000-0005-0000-0000-0000EB030000}"/>
    <cellStyle name="説明文 2" xfId="1007" xr:uid="{00000000-0005-0000-0000-0000EC030000}"/>
    <cellStyle name="説明文 3" xfId="1008" xr:uid="{00000000-0005-0000-0000-0000ED030000}"/>
    <cellStyle name="説明文 4" xfId="1009" xr:uid="{00000000-0005-0000-0000-0000EE030000}"/>
    <cellStyle name="説明文 5" xfId="1010" xr:uid="{00000000-0005-0000-0000-0000EF030000}"/>
    <cellStyle name="説明文 6" xfId="1011" xr:uid="{00000000-0005-0000-0000-0000F0030000}"/>
    <cellStyle name="説明文 7" xfId="1012" xr:uid="{00000000-0005-0000-0000-0000F1030000}"/>
    <cellStyle name="説明文 8" xfId="1013" xr:uid="{00000000-0005-0000-0000-0000F2030000}"/>
    <cellStyle name="説明文 9" xfId="1014" xr:uid="{00000000-0005-0000-0000-0000F3030000}"/>
    <cellStyle name="脱浦 [0.00]_laroux" xfId="1015" xr:uid="{00000000-0005-0000-0000-0000F4030000}"/>
    <cellStyle name="脱浦_laroux" xfId="1016" xr:uid="{00000000-0005-0000-0000-0000F5030000}"/>
    <cellStyle name="通貨 [0.00" xfId="1017" xr:uid="{00000000-0005-0000-0000-0000F6030000}"/>
    <cellStyle name="通貨 [0.00 2" xfId="1018" xr:uid="{00000000-0005-0000-0000-0000F7030000}"/>
    <cellStyle name="通貨 [0.00 3" xfId="1019" xr:uid="{00000000-0005-0000-0000-0000F8030000}"/>
    <cellStyle name="通貨 [0.00 4" xfId="1020" xr:uid="{00000000-0005-0000-0000-0000F9030000}"/>
    <cellStyle name="通貨 [0.00 5" xfId="1021" xr:uid="{00000000-0005-0000-0000-0000FA030000}"/>
    <cellStyle name="通貨 [0.00 6" xfId="1022" xr:uid="{00000000-0005-0000-0000-0000FB030000}"/>
    <cellStyle name="通貨 2" xfId="1023" xr:uid="{00000000-0005-0000-0000-0000FC030000}"/>
    <cellStyle name="通貨 2 2" xfId="1024" xr:uid="{00000000-0005-0000-0000-0000FD030000}"/>
    <cellStyle name="通貨 2 2 2" xfId="1025" xr:uid="{00000000-0005-0000-0000-0000FE030000}"/>
    <cellStyle name="通貨 2 2 3" xfId="1026" xr:uid="{00000000-0005-0000-0000-0000FF030000}"/>
    <cellStyle name="通貨 2 3" xfId="1027" xr:uid="{00000000-0005-0000-0000-000000040000}"/>
    <cellStyle name="通貨 2 4" xfId="1028" xr:uid="{00000000-0005-0000-0000-000001040000}"/>
    <cellStyle name="通貨 2 5" xfId="1029" xr:uid="{00000000-0005-0000-0000-000002040000}"/>
    <cellStyle name="通貨 3" xfId="1030" xr:uid="{00000000-0005-0000-0000-000003040000}"/>
    <cellStyle name="入力 2" xfId="1031" xr:uid="{00000000-0005-0000-0000-000004040000}"/>
    <cellStyle name="入力 2 2" xfId="1032" xr:uid="{00000000-0005-0000-0000-000005040000}"/>
    <cellStyle name="入力 2 2 2" xfId="1033" xr:uid="{00000000-0005-0000-0000-000006040000}"/>
    <cellStyle name="入力 2 2 2 2" xfId="1034" xr:uid="{00000000-0005-0000-0000-000007040000}"/>
    <cellStyle name="入力 2 2 2 2 2" xfId="1035" xr:uid="{00000000-0005-0000-0000-000008040000}"/>
    <cellStyle name="入力 2 2 2 3" xfId="1036" xr:uid="{00000000-0005-0000-0000-000009040000}"/>
    <cellStyle name="入力 2 2 2 3 2" xfId="1037" xr:uid="{00000000-0005-0000-0000-00000A040000}"/>
    <cellStyle name="入力 2 2 2 4" xfId="1038" xr:uid="{00000000-0005-0000-0000-00000B040000}"/>
    <cellStyle name="入力 2 2 2 4 2" xfId="1039" xr:uid="{00000000-0005-0000-0000-00000C040000}"/>
    <cellStyle name="入力 2 2 2 5" xfId="1040" xr:uid="{00000000-0005-0000-0000-00000D040000}"/>
    <cellStyle name="入力 2 2 2 5 2" xfId="1041" xr:uid="{00000000-0005-0000-0000-00000E040000}"/>
    <cellStyle name="入力 2 2 2 6" xfId="1042" xr:uid="{00000000-0005-0000-0000-00000F040000}"/>
    <cellStyle name="入力 2 2 2 6 2" xfId="1043" xr:uid="{00000000-0005-0000-0000-000010040000}"/>
    <cellStyle name="入力 2 2 2 7" xfId="1044" xr:uid="{00000000-0005-0000-0000-000011040000}"/>
    <cellStyle name="入力 2 2 3" xfId="1045" xr:uid="{00000000-0005-0000-0000-000012040000}"/>
    <cellStyle name="入力 2 2 3 2" xfId="1046" xr:uid="{00000000-0005-0000-0000-000013040000}"/>
    <cellStyle name="入力 2 2 4" xfId="1047" xr:uid="{00000000-0005-0000-0000-000014040000}"/>
    <cellStyle name="入力 2 3" xfId="1048" xr:uid="{00000000-0005-0000-0000-000015040000}"/>
    <cellStyle name="入力 2 3 2" xfId="1049" xr:uid="{00000000-0005-0000-0000-000016040000}"/>
    <cellStyle name="入力 2 3 2 2" xfId="1050" xr:uid="{00000000-0005-0000-0000-000017040000}"/>
    <cellStyle name="入力 2 3 3" xfId="1051" xr:uid="{00000000-0005-0000-0000-000018040000}"/>
    <cellStyle name="入力 2 3 3 2" xfId="1052" xr:uid="{00000000-0005-0000-0000-000019040000}"/>
    <cellStyle name="入力 2 3 4" xfId="1053" xr:uid="{00000000-0005-0000-0000-00001A040000}"/>
    <cellStyle name="入力 2 3 4 2" xfId="1054" xr:uid="{00000000-0005-0000-0000-00001B040000}"/>
    <cellStyle name="入力 2 3 5" xfId="1055" xr:uid="{00000000-0005-0000-0000-00001C040000}"/>
    <cellStyle name="入力 2 3 5 2" xfId="1056" xr:uid="{00000000-0005-0000-0000-00001D040000}"/>
    <cellStyle name="入力 2 3 6" xfId="1057" xr:uid="{00000000-0005-0000-0000-00001E040000}"/>
    <cellStyle name="入力 2 3 6 2" xfId="1058" xr:uid="{00000000-0005-0000-0000-00001F040000}"/>
    <cellStyle name="入力 2 3 7" xfId="1059" xr:uid="{00000000-0005-0000-0000-000020040000}"/>
    <cellStyle name="入力 2 4" xfId="1060" xr:uid="{00000000-0005-0000-0000-000021040000}"/>
    <cellStyle name="入力 2 4 2" xfId="1061" xr:uid="{00000000-0005-0000-0000-000022040000}"/>
    <cellStyle name="入力 2 5" xfId="1062" xr:uid="{00000000-0005-0000-0000-000023040000}"/>
    <cellStyle name="入力 3" xfId="1063" xr:uid="{00000000-0005-0000-0000-000024040000}"/>
    <cellStyle name="入力 3 2" xfId="1064" xr:uid="{00000000-0005-0000-0000-000025040000}"/>
    <cellStyle name="入力 3 2 2" xfId="1065" xr:uid="{00000000-0005-0000-0000-000026040000}"/>
    <cellStyle name="入力 3 2 2 2" xfId="1066" xr:uid="{00000000-0005-0000-0000-000027040000}"/>
    <cellStyle name="入力 3 2 3" xfId="1067" xr:uid="{00000000-0005-0000-0000-000028040000}"/>
    <cellStyle name="入力 3 2 3 2" xfId="1068" xr:uid="{00000000-0005-0000-0000-000029040000}"/>
    <cellStyle name="入力 3 2 4" xfId="1069" xr:uid="{00000000-0005-0000-0000-00002A040000}"/>
    <cellStyle name="入力 3 2 4 2" xfId="1070" xr:uid="{00000000-0005-0000-0000-00002B040000}"/>
    <cellStyle name="入力 3 2 5" xfId="1071" xr:uid="{00000000-0005-0000-0000-00002C040000}"/>
    <cellStyle name="入力 3 2 5 2" xfId="1072" xr:uid="{00000000-0005-0000-0000-00002D040000}"/>
    <cellStyle name="入力 3 2 6" xfId="1073" xr:uid="{00000000-0005-0000-0000-00002E040000}"/>
    <cellStyle name="入力 3 2 6 2" xfId="1074" xr:uid="{00000000-0005-0000-0000-00002F040000}"/>
    <cellStyle name="入力 3 2 7" xfId="1075" xr:uid="{00000000-0005-0000-0000-000030040000}"/>
    <cellStyle name="入力 3 3" xfId="1076" xr:uid="{00000000-0005-0000-0000-000031040000}"/>
    <cellStyle name="入力 3 3 2" xfId="1077" xr:uid="{00000000-0005-0000-0000-000032040000}"/>
    <cellStyle name="入力 3 4" xfId="1078" xr:uid="{00000000-0005-0000-0000-000033040000}"/>
    <cellStyle name="入力 4" xfId="1079" xr:uid="{00000000-0005-0000-0000-000034040000}"/>
    <cellStyle name="入力 4 2" xfId="1080" xr:uid="{00000000-0005-0000-0000-000035040000}"/>
    <cellStyle name="入力 4 2 2" xfId="1081" xr:uid="{00000000-0005-0000-0000-000036040000}"/>
    <cellStyle name="入力 4 3" xfId="1082" xr:uid="{00000000-0005-0000-0000-000037040000}"/>
    <cellStyle name="入力 4 3 2" xfId="1083" xr:uid="{00000000-0005-0000-0000-000038040000}"/>
    <cellStyle name="入力 4 4" xfId="1084" xr:uid="{00000000-0005-0000-0000-000039040000}"/>
    <cellStyle name="入力 4 4 2" xfId="1085" xr:uid="{00000000-0005-0000-0000-00003A040000}"/>
    <cellStyle name="入力 4 5" xfId="1086" xr:uid="{00000000-0005-0000-0000-00003B040000}"/>
    <cellStyle name="入力 4 5 2" xfId="1087" xr:uid="{00000000-0005-0000-0000-00003C040000}"/>
    <cellStyle name="入力 4 6" xfId="1088" xr:uid="{00000000-0005-0000-0000-00003D040000}"/>
    <cellStyle name="入力 4 6 2" xfId="1089" xr:uid="{00000000-0005-0000-0000-00003E040000}"/>
    <cellStyle name="入力 4 7" xfId="1090" xr:uid="{00000000-0005-0000-0000-00003F040000}"/>
    <cellStyle name="入力 5" xfId="1091" xr:uid="{00000000-0005-0000-0000-000040040000}"/>
    <cellStyle name="入力 6" xfId="1092" xr:uid="{00000000-0005-0000-0000-000041040000}"/>
    <cellStyle name="入力 7" xfId="1093" xr:uid="{00000000-0005-0000-0000-000042040000}"/>
    <cellStyle name="入力 8" xfId="1094" xr:uid="{00000000-0005-0000-0000-000043040000}"/>
    <cellStyle name="入力 9" xfId="1095" xr:uid="{00000000-0005-0000-0000-000044040000}"/>
    <cellStyle name="標準" xfId="0" builtinId="0"/>
    <cellStyle name="標準 10" xfId="1096" xr:uid="{00000000-0005-0000-0000-000046040000}"/>
    <cellStyle name="標準 10 2" xfId="1097" xr:uid="{00000000-0005-0000-0000-000047040000}"/>
    <cellStyle name="標準 10 3" xfId="14" xr:uid="{00000000-0005-0000-0000-000048040000}"/>
    <cellStyle name="標準 10 4" xfId="1098" xr:uid="{00000000-0005-0000-0000-000049040000}"/>
    <cellStyle name="標準 10 5" xfId="1099" xr:uid="{00000000-0005-0000-0000-00004A040000}"/>
    <cellStyle name="標準 100" xfId="1100" xr:uid="{00000000-0005-0000-0000-00004B040000}"/>
    <cellStyle name="標準 100 2" xfId="1101" xr:uid="{00000000-0005-0000-0000-00004C040000}"/>
    <cellStyle name="標準 100 2 2" xfId="1102" xr:uid="{00000000-0005-0000-0000-00004D040000}"/>
    <cellStyle name="標準 100 2 2 2" xfId="1103" xr:uid="{00000000-0005-0000-0000-00004E040000}"/>
    <cellStyle name="標準 100 2 2 3" xfId="1104" xr:uid="{00000000-0005-0000-0000-00004F040000}"/>
    <cellStyle name="標準 100 2 2 4" xfId="1105" xr:uid="{00000000-0005-0000-0000-000050040000}"/>
    <cellStyle name="標準 100 2 3" xfId="1106" xr:uid="{00000000-0005-0000-0000-000051040000}"/>
    <cellStyle name="標準 100 2 4" xfId="1107" xr:uid="{00000000-0005-0000-0000-000052040000}"/>
    <cellStyle name="標準 100 2 5" xfId="1108" xr:uid="{00000000-0005-0000-0000-000053040000}"/>
    <cellStyle name="標準 100 3" xfId="1109" xr:uid="{00000000-0005-0000-0000-000054040000}"/>
    <cellStyle name="標準 100 3 2" xfId="1110" xr:uid="{00000000-0005-0000-0000-000055040000}"/>
    <cellStyle name="標準 100 3 3" xfId="1111" xr:uid="{00000000-0005-0000-0000-000056040000}"/>
    <cellStyle name="標準 100 3 4" xfId="1112" xr:uid="{00000000-0005-0000-0000-000057040000}"/>
    <cellStyle name="標準 100 4" xfId="1113" xr:uid="{00000000-0005-0000-0000-000058040000}"/>
    <cellStyle name="標準 100 5" xfId="1114" xr:uid="{00000000-0005-0000-0000-000059040000}"/>
    <cellStyle name="標準 100 6" xfId="1115" xr:uid="{00000000-0005-0000-0000-00005A040000}"/>
    <cellStyle name="標準 101" xfId="1116" xr:uid="{00000000-0005-0000-0000-00005B040000}"/>
    <cellStyle name="標準 102" xfId="1117" xr:uid="{00000000-0005-0000-0000-00005C040000}"/>
    <cellStyle name="標準 102 2" xfId="1118" xr:uid="{00000000-0005-0000-0000-00005D040000}"/>
    <cellStyle name="標準 102 2 2" xfId="1119" xr:uid="{00000000-0005-0000-0000-00005E040000}"/>
    <cellStyle name="標準 102 2 3" xfId="1120" xr:uid="{00000000-0005-0000-0000-00005F040000}"/>
    <cellStyle name="標準 102 2 4" xfId="1121" xr:uid="{00000000-0005-0000-0000-000060040000}"/>
    <cellStyle name="標準 102 3" xfId="1122" xr:uid="{00000000-0005-0000-0000-000061040000}"/>
    <cellStyle name="標準 102 4" xfId="1123" xr:uid="{00000000-0005-0000-0000-000062040000}"/>
    <cellStyle name="標準 102 5" xfId="1124" xr:uid="{00000000-0005-0000-0000-000063040000}"/>
    <cellStyle name="標準 103" xfId="1125" xr:uid="{00000000-0005-0000-0000-000064040000}"/>
    <cellStyle name="標準 104" xfId="1126" xr:uid="{00000000-0005-0000-0000-000065040000}"/>
    <cellStyle name="標準 104 2" xfId="1127" xr:uid="{00000000-0005-0000-0000-000066040000}"/>
    <cellStyle name="標準 104 3" xfId="1128" xr:uid="{00000000-0005-0000-0000-000067040000}"/>
    <cellStyle name="標準 104 4" xfId="1129" xr:uid="{00000000-0005-0000-0000-000068040000}"/>
    <cellStyle name="標準 105" xfId="1130" xr:uid="{00000000-0005-0000-0000-000069040000}"/>
    <cellStyle name="標準 106" xfId="1131" xr:uid="{00000000-0005-0000-0000-00006A040000}"/>
    <cellStyle name="標準 107" xfId="1132" xr:uid="{00000000-0005-0000-0000-00006B040000}"/>
    <cellStyle name="標準 108" xfId="1133" xr:uid="{00000000-0005-0000-0000-00006C040000}"/>
    <cellStyle name="標準 109" xfId="1134" xr:uid="{00000000-0005-0000-0000-00006D040000}"/>
    <cellStyle name="標準 11" xfId="1135" xr:uid="{00000000-0005-0000-0000-00006E040000}"/>
    <cellStyle name="標準 11 2" xfId="1136" xr:uid="{00000000-0005-0000-0000-00006F040000}"/>
    <cellStyle name="標準 11 3" xfId="1137" xr:uid="{00000000-0005-0000-0000-000070040000}"/>
    <cellStyle name="標準 110" xfId="1138" xr:uid="{00000000-0005-0000-0000-000071040000}"/>
    <cellStyle name="標準 111" xfId="1139" xr:uid="{00000000-0005-0000-0000-000072040000}"/>
    <cellStyle name="標準 112" xfId="1140" xr:uid="{00000000-0005-0000-0000-000073040000}"/>
    <cellStyle name="標準 113" xfId="1141" xr:uid="{00000000-0005-0000-0000-000074040000}"/>
    <cellStyle name="標準 114" xfId="1142" xr:uid="{00000000-0005-0000-0000-000075040000}"/>
    <cellStyle name="標準 115" xfId="1143" xr:uid="{00000000-0005-0000-0000-000076040000}"/>
    <cellStyle name="標準 116" xfId="1144" xr:uid="{00000000-0005-0000-0000-000077040000}"/>
    <cellStyle name="標準 117" xfId="1145" xr:uid="{00000000-0005-0000-0000-000078040000}"/>
    <cellStyle name="標準 118" xfId="1146" xr:uid="{00000000-0005-0000-0000-000079040000}"/>
    <cellStyle name="標準 119" xfId="1147" xr:uid="{00000000-0005-0000-0000-00007A040000}"/>
    <cellStyle name="標準 12" xfId="1148" xr:uid="{00000000-0005-0000-0000-00007B040000}"/>
    <cellStyle name="標準 12 2" xfId="1149" xr:uid="{00000000-0005-0000-0000-00007C040000}"/>
    <cellStyle name="標準 12 2 2" xfId="1150" xr:uid="{00000000-0005-0000-0000-00007D040000}"/>
    <cellStyle name="標準 12 2 3" xfId="1151" xr:uid="{00000000-0005-0000-0000-00007E040000}"/>
    <cellStyle name="標準 12 3" xfId="1152" xr:uid="{00000000-0005-0000-0000-00007F040000}"/>
    <cellStyle name="標準 12 3 2" xfId="1153" xr:uid="{00000000-0005-0000-0000-000080040000}"/>
    <cellStyle name="標準 12 3 3" xfId="1154" xr:uid="{00000000-0005-0000-0000-000081040000}"/>
    <cellStyle name="標準 120" xfId="1155" xr:uid="{00000000-0005-0000-0000-000082040000}"/>
    <cellStyle name="標準 121" xfId="1156" xr:uid="{00000000-0005-0000-0000-000083040000}"/>
    <cellStyle name="標準 122" xfId="1157" xr:uid="{00000000-0005-0000-0000-000084040000}"/>
    <cellStyle name="標準 123" xfId="1158" xr:uid="{00000000-0005-0000-0000-000085040000}"/>
    <cellStyle name="標準 124" xfId="1159" xr:uid="{00000000-0005-0000-0000-000086040000}"/>
    <cellStyle name="標準 125" xfId="1160" xr:uid="{00000000-0005-0000-0000-000087040000}"/>
    <cellStyle name="標準 126" xfId="1161" xr:uid="{00000000-0005-0000-0000-000088040000}"/>
    <cellStyle name="標準 127" xfId="1162" xr:uid="{00000000-0005-0000-0000-000089040000}"/>
    <cellStyle name="標準 128" xfId="1163" xr:uid="{00000000-0005-0000-0000-00008A040000}"/>
    <cellStyle name="標準 129" xfId="1164" xr:uid="{00000000-0005-0000-0000-00008B040000}"/>
    <cellStyle name="標準 13" xfId="1165" xr:uid="{00000000-0005-0000-0000-00008C040000}"/>
    <cellStyle name="標準 13 2" xfId="1166" xr:uid="{00000000-0005-0000-0000-00008D040000}"/>
    <cellStyle name="標準 13 3" xfId="1167" xr:uid="{00000000-0005-0000-0000-00008E040000}"/>
    <cellStyle name="標準 13 4" xfId="1168" xr:uid="{00000000-0005-0000-0000-00008F040000}"/>
    <cellStyle name="標準 13 5" xfId="1169" xr:uid="{00000000-0005-0000-0000-000090040000}"/>
    <cellStyle name="標準 130" xfId="1170" xr:uid="{00000000-0005-0000-0000-000091040000}"/>
    <cellStyle name="標準 131" xfId="1171" xr:uid="{00000000-0005-0000-0000-000092040000}"/>
    <cellStyle name="標準 132" xfId="1937" xr:uid="{00000000-0005-0000-0000-000093040000}"/>
    <cellStyle name="標準 132 2" xfId="1943" xr:uid="{00000000-0005-0000-0000-000094040000}"/>
    <cellStyle name="標準 132 2 2" xfId="1950" xr:uid="{00000000-0005-0000-0000-000095040000}"/>
    <cellStyle name="標準 132 3" xfId="1948" xr:uid="{00000000-0005-0000-0000-000096040000}"/>
    <cellStyle name="標準 133" xfId="1944" xr:uid="{00000000-0005-0000-0000-000097040000}"/>
    <cellStyle name="標準 133 2" xfId="1951" xr:uid="{00000000-0005-0000-0000-000098040000}"/>
    <cellStyle name="標準 134" xfId="1946" xr:uid="{00000000-0005-0000-0000-000099040000}"/>
    <cellStyle name="標準 136" xfId="1172" xr:uid="{00000000-0005-0000-0000-00009A040000}"/>
    <cellStyle name="標準 14" xfId="1173" xr:uid="{00000000-0005-0000-0000-00009B040000}"/>
    <cellStyle name="標準 14 2" xfId="1174" xr:uid="{00000000-0005-0000-0000-00009C040000}"/>
    <cellStyle name="標準 14 2 2" xfId="1175" xr:uid="{00000000-0005-0000-0000-00009D040000}"/>
    <cellStyle name="標準 14 2 3" xfId="1176" xr:uid="{00000000-0005-0000-0000-00009E040000}"/>
    <cellStyle name="標準 14 3" xfId="1177" xr:uid="{00000000-0005-0000-0000-00009F040000}"/>
    <cellStyle name="標準 14 4" xfId="1178" xr:uid="{00000000-0005-0000-0000-0000A0040000}"/>
    <cellStyle name="標準 15" xfId="1179" xr:uid="{00000000-0005-0000-0000-0000A1040000}"/>
    <cellStyle name="標準 15 2" xfId="1180" xr:uid="{00000000-0005-0000-0000-0000A2040000}"/>
    <cellStyle name="標準 15 2 2" xfId="1181" xr:uid="{00000000-0005-0000-0000-0000A3040000}"/>
    <cellStyle name="標準 15 2 3" xfId="1182" xr:uid="{00000000-0005-0000-0000-0000A4040000}"/>
    <cellStyle name="標準 15 3" xfId="1183" xr:uid="{00000000-0005-0000-0000-0000A5040000}"/>
    <cellStyle name="標準 15 4" xfId="1184" xr:uid="{00000000-0005-0000-0000-0000A6040000}"/>
    <cellStyle name="標準 15 5" xfId="1185" xr:uid="{00000000-0005-0000-0000-0000A7040000}"/>
    <cellStyle name="標準 15 6" xfId="1186" xr:uid="{00000000-0005-0000-0000-0000A8040000}"/>
    <cellStyle name="標準 16" xfId="1187" xr:uid="{00000000-0005-0000-0000-0000A9040000}"/>
    <cellStyle name="標準 16 2" xfId="1188" xr:uid="{00000000-0005-0000-0000-0000AA040000}"/>
    <cellStyle name="標準 16 2 2" xfId="1189" xr:uid="{00000000-0005-0000-0000-0000AB040000}"/>
    <cellStyle name="標準 16 2 3" xfId="1190" xr:uid="{00000000-0005-0000-0000-0000AC040000}"/>
    <cellStyle name="標準 16 3" xfId="1191" xr:uid="{00000000-0005-0000-0000-0000AD040000}"/>
    <cellStyle name="標準 16 4" xfId="1192" xr:uid="{00000000-0005-0000-0000-0000AE040000}"/>
    <cellStyle name="標準 16 5" xfId="1193" xr:uid="{00000000-0005-0000-0000-0000AF040000}"/>
    <cellStyle name="標準 17" xfId="1194" xr:uid="{00000000-0005-0000-0000-0000B0040000}"/>
    <cellStyle name="標準 17 2" xfId="1195" xr:uid="{00000000-0005-0000-0000-0000B1040000}"/>
    <cellStyle name="標準 17 2 2" xfId="1196" xr:uid="{00000000-0005-0000-0000-0000B2040000}"/>
    <cellStyle name="標準 17 2 3" xfId="1197" xr:uid="{00000000-0005-0000-0000-0000B3040000}"/>
    <cellStyle name="標準 17 3" xfId="1198" xr:uid="{00000000-0005-0000-0000-0000B4040000}"/>
    <cellStyle name="標準 17 4" xfId="1199" xr:uid="{00000000-0005-0000-0000-0000B5040000}"/>
    <cellStyle name="標準 17 5" xfId="1200" xr:uid="{00000000-0005-0000-0000-0000B6040000}"/>
    <cellStyle name="標準 18" xfId="1201" xr:uid="{00000000-0005-0000-0000-0000B7040000}"/>
    <cellStyle name="標準 18 2" xfId="1202" xr:uid="{00000000-0005-0000-0000-0000B8040000}"/>
    <cellStyle name="標準 18 2 2" xfId="1203" xr:uid="{00000000-0005-0000-0000-0000B9040000}"/>
    <cellStyle name="標準 18 2 3" xfId="1204" xr:uid="{00000000-0005-0000-0000-0000BA040000}"/>
    <cellStyle name="標準 18 2 4" xfId="1205" xr:uid="{00000000-0005-0000-0000-0000BB040000}"/>
    <cellStyle name="標準 18 3" xfId="1206" xr:uid="{00000000-0005-0000-0000-0000BC040000}"/>
    <cellStyle name="標準 18 4" xfId="1207" xr:uid="{00000000-0005-0000-0000-0000BD040000}"/>
    <cellStyle name="標準 18 5" xfId="1208" xr:uid="{00000000-0005-0000-0000-0000BE040000}"/>
    <cellStyle name="標準 18 6" xfId="1209" xr:uid="{00000000-0005-0000-0000-0000BF040000}"/>
    <cellStyle name="標準 19" xfId="1210" xr:uid="{00000000-0005-0000-0000-0000C0040000}"/>
    <cellStyle name="標準 19 2" xfId="1211" xr:uid="{00000000-0005-0000-0000-0000C1040000}"/>
    <cellStyle name="標準 19 3" xfId="1212" xr:uid="{00000000-0005-0000-0000-0000C2040000}"/>
    <cellStyle name="標準 2" xfId="9" xr:uid="{00000000-0005-0000-0000-0000C3040000}"/>
    <cellStyle name="標準 2 10" xfId="1213" xr:uid="{00000000-0005-0000-0000-0000C4040000}"/>
    <cellStyle name="標準 2 11" xfId="1214" xr:uid="{00000000-0005-0000-0000-0000C5040000}"/>
    <cellStyle name="標準 2 12" xfId="1215" xr:uid="{00000000-0005-0000-0000-0000C6040000}"/>
    <cellStyle name="標準 2 13" xfId="1216" xr:uid="{00000000-0005-0000-0000-0000C7040000}"/>
    <cellStyle name="標準 2 2" xfId="10" xr:uid="{00000000-0005-0000-0000-0000C8040000}"/>
    <cellStyle name="標準 2 2 2" xfId="1217" xr:uid="{00000000-0005-0000-0000-0000C9040000}"/>
    <cellStyle name="標準 2 2 2 2" xfId="1218" xr:uid="{00000000-0005-0000-0000-0000CA040000}"/>
    <cellStyle name="標準 2 2 2 2 2" xfId="1219" xr:uid="{00000000-0005-0000-0000-0000CB040000}"/>
    <cellStyle name="標準 2 2 2 2 3" xfId="1220" xr:uid="{00000000-0005-0000-0000-0000CC040000}"/>
    <cellStyle name="標準 2 2 2 3" xfId="1221" xr:uid="{00000000-0005-0000-0000-0000CD040000}"/>
    <cellStyle name="標準 2 2 3" xfId="1222" xr:uid="{00000000-0005-0000-0000-0000CE040000}"/>
    <cellStyle name="標準 2 2 3 2" xfId="1223" xr:uid="{00000000-0005-0000-0000-0000CF040000}"/>
    <cellStyle name="標準 2 2 3 3" xfId="1224" xr:uid="{00000000-0005-0000-0000-0000D0040000}"/>
    <cellStyle name="標準 2 2 4" xfId="1225" xr:uid="{00000000-0005-0000-0000-0000D1040000}"/>
    <cellStyle name="標準 2 2 4 2" xfId="1226" xr:uid="{00000000-0005-0000-0000-0000D2040000}"/>
    <cellStyle name="標準 2 2 4 3" xfId="1227" xr:uid="{00000000-0005-0000-0000-0000D3040000}"/>
    <cellStyle name="標準 2 2 5" xfId="1228" xr:uid="{00000000-0005-0000-0000-0000D4040000}"/>
    <cellStyle name="標準 2 2 5 2" xfId="1229" xr:uid="{00000000-0005-0000-0000-0000D5040000}"/>
    <cellStyle name="標準 2 2 5 3" xfId="1230" xr:uid="{00000000-0005-0000-0000-0000D6040000}"/>
    <cellStyle name="標準 2 2 6" xfId="1231" xr:uid="{00000000-0005-0000-0000-0000D7040000}"/>
    <cellStyle name="標準 2 2 6 2" xfId="1232" xr:uid="{00000000-0005-0000-0000-0000D8040000}"/>
    <cellStyle name="標準 2 2 6 3" xfId="1233" xr:uid="{00000000-0005-0000-0000-0000D9040000}"/>
    <cellStyle name="標準 2 2 7" xfId="1234" xr:uid="{00000000-0005-0000-0000-0000DA040000}"/>
    <cellStyle name="標準 2 2 8" xfId="1235" xr:uid="{00000000-0005-0000-0000-0000DB040000}"/>
    <cellStyle name="標準 2 2_(別紙1)参加者テスト仕様書(JPN)_ver1.81" xfId="1236" xr:uid="{00000000-0005-0000-0000-0000DC040000}"/>
    <cellStyle name="標準 2 3" xfId="13" xr:uid="{00000000-0005-0000-0000-0000DD040000}"/>
    <cellStyle name="標準 2 3 2" xfId="1237" xr:uid="{00000000-0005-0000-0000-0000DE040000}"/>
    <cellStyle name="標準 2 3 2 2" xfId="1238" xr:uid="{00000000-0005-0000-0000-0000DF040000}"/>
    <cellStyle name="標準 2 3 3" xfId="1239" xr:uid="{00000000-0005-0000-0000-0000E0040000}"/>
    <cellStyle name="標準 2 3 3 2" xfId="1240" xr:uid="{00000000-0005-0000-0000-0000E1040000}"/>
    <cellStyle name="標準 2 3 3 3" xfId="1241" xr:uid="{00000000-0005-0000-0000-0000E2040000}"/>
    <cellStyle name="標準 2 3 4" xfId="1242" xr:uid="{00000000-0005-0000-0000-0000E3040000}"/>
    <cellStyle name="標準 2 4" xfId="1243" xr:uid="{00000000-0005-0000-0000-0000E4040000}"/>
    <cellStyle name="標準 2 4 2" xfId="1244" xr:uid="{00000000-0005-0000-0000-0000E5040000}"/>
    <cellStyle name="標準 2 4 2 2" xfId="1245" xr:uid="{00000000-0005-0000-0000-0000E6040000}"/>
    <cellStyle name="標準 2 4 3" xfId="1246" xr:uid="{00000000-0005-0000-0000-0000E7040000}"/>
    <cellStyle name="標準 2 5" xfId="1247" xr:uid="{00000000-0005-0000-0000-0000E8040000}"/>
    <cellStyle name="標準 2 5 2" xfId="1248" xr:uid="{00000000-0005-0000-0000-0000E9040000}"/>
    <cellStyle name="標準 2 5 3" xfId="1249" xr:uid="{00000000-0005-0000-0000-0000EA040000}"/>
    <cellStyle name="標準 2 6" xfId="1250" xr:uid="{00000000-0005-0000-0000-0000EB040000}"/>
    <cellStyle name="標準 2 6 2" xfId="1251" xr:uid="{00000000-0005-0000-0000-0000EC040000}"/>
    <cellStyle name="標準 2 6 3" xfId="1252" xr:uid="{00000000-0005-0000-0000-0000ED040000}"/>
    <cellStyle name="標準 2 6 4" xfId="1253" xr:uid="{00000000-0005-0000-0000-0000EE040000}"/>
    <cellStyle name="標準 2 7" xfId="1254" xr:uid="{00000000-0005-0000-0000-0000EF040000}"/>
    <cellStyle name="標準 2 7 2" xfId="1255" xr:uid="{00000000-0005-0000-0000-0000F0040000}"/>
    <cellStyle name="標準 2 8" xfId="1256" xr:uid="{00000000-0005-0000-0000-0000F1040000}"/>
    <cellStyle name="標準 2 8 2" xfId="1257" xr:uid="{00000000-0005-0000-0000-0000F2040000}"/>
    <cellStyle name="標準 2 9" xfId="1258" xr:uid="{00000000-0005-0000-0000-0000F3040000}"/>
    <cellStyle name="標準 2_(別紙1)参加者テスト仕様書(JPN)_ver1.81" xfId="1259" xr:uid="{00000000-0005-0000-0000-0000F4040000}"/>
    <cellStyle name="標準 20" xfId="1260" xr:uid="{00000000-0005-0000-0000-0000F5040000}"/>
    <cellStyle name="標準 20 2" xfId="1261" xr:uid="{00000000-0005-0000-0000-0000F6040000}"/>
    <cellStyle name="標準 20 3" xfId="1262" xr:uid="{00000000-0005-0000-0000-0000F7040000}"/>
    <cellStyle name="標準 20 4" xfId="1263" xr:uid="{00000000-0005-0000-0000-0000F8040000}"/>
    <cellStyle name="標準 20 5" xfId="1264" xr:uid="{00000000-0005-0000-0000-0000F9040000}"/>
    <cellStyle name="標準 21" xfId="1265" xr:uid="{00000000-0005-0000-0000-0000FA040000}"/>
    <cellStyle name="標準 21 2" xfId="1266" xr:uid="{00000000-0005-0000-0000-0000FB040000}"/>
    <cellStyle name="標準 21 2 2" xfId="1267" xr:uid="{00000000-0005-0000-0000-0000FC040000}"/>
    <cellStyle name="標準 21 3" xfId="1268" xr:uid="{00000000-0005-0000-0000-0000FD040000}"/>
    <cellStyle name="標準 21 3 2" xfId="1269" xr:uid="{00000000-0005-0000-0000-0000FE040000}"/>
    <cellStyle name="標準 21 4" xfId="1270" xr:uid="{00000000-0005-0000-0000-0000FF040000}"/>
    <cellStyle name="標準 21 5" xfId="1271" xr:uid="{00000000-0005-0000-0000-000000050000}"/>
    <cellStyle name="標準 22" xfId="1272" xr:uid="{00000000-0005-0000-0000-000001050000}"/>
    <cellStyle name="標準 22 2" xfId="1273" xr:uid="{00000000-0005-0000-0000-000002050000}"/>
    <cellStyle name="標準 22 3" xfId="1274" xr:uid="{00000000-0005-0000-0000-000003050000}"/>
    <cellStyle name="標準 23" xfId="1275" xr:uid="{00000000-0005-0000-0000-000004050000}"/>
    <cellStyle name="標準 23 2" xfId="1276" xr:uid="{00000000-0005-0000-0000-000005050000}"/>
    <cellStyle name="標準 23 3" xfId="1277" xr:uid="{00000000-0005-0000-0000-000006050000}"/>
    <cellStyle name="標準 24" xfId="1278" xr:uid="{00000000-0005-0000-0000-000007050000}"/>
    <cellStyle name="標準 24 2" xfId="1279" xr:uid="{00000000-0005-0000-0000-000008050000}"/>
    <cellStyle name="標準 24 3" xfId="1280" xr:uid="{00000000-0005-0000-0000-000009050000}"/>
    <cellStyle name="標準 25" xfId="1281" xr:uid="{00000000-0005-0000-0000-00000A050000}"/>
    <cellStyle name="標準 26" xfId="1282" xr:uid="{00000000-0005-0000-0000-00000B050000}"/>
    <cellStyle name="標準 27" xfId="1283" xr:uid="{00000000-0005-0000-0000-00000C050000}"/>
    <cellStyle name="標準 28" xfId="1284" xr:uid="{00000000-0005-0000-0000-00000D050000}"/>
    <cellStyle name="標準 29" xfId="1285" xr:uid="{00000000-0005-0000-0000-00000E050000}"/>
    <cellStyle name="標準 3" xfId="11" xr:uid="{00000000-0005-0000-0000-00000F050000}"/>
    <cellStyle name="標準 3 10" xfId="1286" xr:uid="{00000000-0005-0000-0000-000010050000}"/>
    <cellStyle name="標準 3 11" xfId="1287" xr:uid="{00000000-0005-0000-0000-000011050000}"/>
    <cellStyle name="標準 3 2" xfId="1288" xr:uid="{00000000-0005-0000-0000-000012050000}"/>
    <cellStyle name="標準 3 2 2" xfId="1289" xr:uid="{00000000-0005-0000-0000-000013050000}"/>
    <cellStyle name="標準 3 2 2 2" xfId="1290" xr:uid="{00000000-0005-0000-0000-000014050000}"/>
    <cellStyle name="標準 3 2 2 3" xfId="1291" xr:uid="{00000000-0005-0000-0000-000015050000}"/>
    <cellStyle name="標準 3 2 3" xfId="1292" xr:uid="{00000000-0005-0000-0000-000016050000}"/>
    <cellStyle name="標準 3 2 3 2" xfId="1293" xr:uid="{00000000-0005-0000-0000-000017050000}"/>
    <cellStyle name="標準 3 2 3 3" xfId="1294" xr:uid="{00000000-0005-0000-0000-000018050000}"/>
    <cellStyle name="標準 3 2 4" xfId="1295" xr:uid="{00000000-0005-0000-0000-000019050000}"/>
    <cellStyle name="標準 3 2 5" xfId="1296" xr:uid="{00000000-0005-0000-0000-00001A050000}"/>
    <cellStyle name="標準 3 3" xfId="1297" xr:uid="{00000000-0005-0000-0000-00001B050000}"/>
    <cellStyle name="標準 3 4" xfId="1298" xr:uid="{00000000-0005-0000-0000-00001C050000}"/>
    <cellStyle name="標準 3 4 2" xfId="1299" xr:uid="{00000000-0005-0000-0000-00001D050000}"/>
    <cellStyle name="標準 3 4 3" xfId="1300" xr:uid="{00000000-0005-0000-0000-00001E050000}"/>
    <cellStyle name="標準 3 5" xfId="1301" xr:uid="{00000000-0005-0000-0000-00001F050000}"/>
    <cellStyle name="標準 3 5 2" xfId="1302" xr:uid="{00000000-0005-0000-0000-000020050000}"/>
    <cellStyle name="標準 3 5 3" xfId="1303" xr:uid="{00000000-0005-0000-0000-000021050000}"/>
    <cellStyle name="標準 3 6" xfId="1304" xr:uid="{00000000-0005-0000-0000-000022050000}"/>
    <cellStyle name="標準 3 6 2" xfId="1305" xr:uid="{00000000-0005-0000-0000-000023050000}"/>
    <cellStyle name="標準 3 7" xfId="1306" xr:uid="{00000000-0005-0000-0000-000024050000}"/>
    <cellStyle name="標準 3 8" xfId="1307" xr:uid="{00000000-0005-0000-0000-000025050000}"/>
    <cellStyle name="標準 3 9" xfId="1308" xr:uid="{00000000-0005-0000-0000-000026050000}"/>
    <cellStyle name="標準 3_【Quick取得データ配信ツール(仮)】課題管理表（EUC）_20121210" xfId="1309" xr:uid="{00000000-0005-0000-0000-000027050000}"/>
    <cellStyle name="標準 30" xfId="1310" xr:uid="{00000000-0005-0000-0000-000028050000}"/>
    <cellStyle name="標準 31" xfId="1311" xr:uid="{00000000-0005-0000-0000-000029050000}"/>
    <cellStyle name="標準 31 2" xfId="1312" xr:uid="{00000000-0005-0000-0000-00002A050000}"/>
    <cellStyle name="標準 31 3" xfId="1313" xr:uid="{00000000-0005-0000-0000-00002B050000}"/>
    <cellStyle name="標準 32" xfId="1314" xr:uid="{00000000-0005-0000-0000-00002C050000}"/>
    <cellStyle name="標準 32 2" xfId="1315" xr:uid="{00000000-0005-0000-0000-00002D050000}"/>
    <cellStyle name="標準 32 3" xfId="1316" xr:uid="{00000000-0005-0000-0000-00002E050000}"/>
    <cellStyle name="標準 33" xfId="1317" xr:uid="{00000000-0005-0000-0000-00002F050000}"/>
    <cellStyle name="標準 33 2" xfId="1318" xr:uid="{00000000-0005-0000-0000-000030050000}"/>
    <cellStyle name="標準 33 3" xfId="1319" xr:uid="{00000000-0005-0000-0000-000031050000}"/>
    <cellStyle name="標準 34" xfId="1320" xr:uid="{00000000-0005-0000-0000-000032050000}"/>
    <cellStyle name="標準 34 2" xfId="1321" xr:uid="{00000000-0005-0000-0000-000033050000}"/>
    <cellStyle name="標準 34 3" xfId="1322" xr:uid="{00000000-0005-0000-0000-000034050000}"/>
    <cellStyle name="標準 35" xfId="1323" xr:uid="{00000000-0005-0000-0000-000035050000}"/>
    <cellStyle name="標準 35 2" xfId="1324" xr:uid="{00000000-0005-0000-0000-000036050000}"/>
    <cellStyle name="標準 35 3" xfId="1325" xr:uid="{00000000-0005-0000-0000-000037050000}"/>
    <cellStyle name="標準 36" xfId="1326" xr:uid="{00000000-0005-0000-0000-000038050000}"/>
    <cellStyle name="標準 36 2" xfId="1327" xr:uid="{00000000-0005-0000-0000-000039050000}"/>
    <cellStyle name="標準 36 3" xfId="1328" xr:uid="{00000000-0005-0000-0000-00003A050000}"/>
    <cellStyle name="標準 37" xfId="1329" xr:uid="{00000000-0005-0000-0000-00003B050000}"/>
    <cellStyle name="標準 37 2" xfId="1330" xr:uid="{00000000-0005-0000-0000-00003C050000}"/>
    <cellStyle name="標準 37 3" xfId="1331" xr:uid="{00000000-0005-0000-0000-00003D050000}"/>
    <cellStyle name="標準 38" xfId="1332" xr:uid="{00000000-0005-0000-0000-00003E050000}"/>
    <cellStyle name="標準 39" xfId="1333" xr:uid="{00000000-0005-0000-0000-00003F050000}"/>
    <cellStyle name="標準 39 2" xfId="1334" xr:uid="{00000000-0005-0000-0000-000040050000}"/>
    <cellStyle name="標準 39 3" xfId="1335" xr:uid="{00000000-0005-0000-0000-000041050000}"/>
    <cellStyle name="標準 4" xfId="16" xr:uid="{00000000-0005-0000-0000-000042050000}"/>
    <cellStyle name="標準 4 2" xfId="1336" xr:uid="{00000000-0005-0000-0000-000043050000}"/>
    <cellStyle name="標準 4 2 2" xfId="1337" xr:uid="{00000000-0005-0000-0000-000044050000}"/>
    <cellStyle name="標準 4 2 2 2" xfId="1338" xr:uid="{00000000-0005-0000-0000-000045050000}"/>
    <cellStyle name="標準 4 2 2 3" xfId="1339" xr:uid="{00000000-0005-0000-0000-000046050000}"/>
    <cellStyle name="標準 4 2 3" xfId="1340" xr:uid="{00000000-0005-0000-0000-000047050000}"/>
    <cellStyle name="標準 4 3" xfId="1341" xr:uid="{00000000-0005-0000-0000-000048050000}"/>
    <cellStyle name="標準 4 3 2" xfId="1342" xr:uid="{00000000-0005-0000-0000-000049050000}"/>
    <cellStyle name="標準 4 3 3" xfId="1343" xr:uid="{00000000-0005-0000-0000-00004A050000}"/>
    <cellStyle name="標準 4 4" xfId="1344" xr:uid="{00000000-0005-0000-0000-00004B050000}"/>
    <cellStyle name="標準 4 4 2" xfId="1345" xr:uid="{00000000-0005-0000-0000-00004C050000}"/>
    <cellStyle name="標準 4 4 3" xfId="1346" xr:uid="{00000000-0005-0000-0000-00004D050000}"/>
    <cellStyle name="標準 4 5" xfId="1347" xr:uid="{00000000-0005-0000-0000-00004E050000}"/>
    <cellStyle name="標準 4 6" xfId="1348" xr:uid="{00000000-0005-0000-0000-00004F050000}"/>
    <cellStyle name="標準 4 7" xfId="1942" xr:uid="{00000000-0005-0000-0000-000050050000}"/>
    <cellStyle name="標準 4 7 2" xfId="1949" xr:uid="{00000000-0005-0000-0000-000051050000}"/>
    <cellStyle name="標準 4 8" xfId="1947" xr:uid="{00000000-0005-0000-0000-000052050000}"/>
    <cellStyle name="標準 4_20121011__1_F⇒O_【証拠金１本化】課題管理（清算）" xfId="1349" xr:uid="{00000000-0005-0000-0000-000053050000}"/>
    <cellStyle name="標準 40" xfId="1350" xr:uid="{00000000-0005-0000-0000-000054050000}"/>
    <cellStyle name="標準 41" xfId="1351" xr:uid="{00000000-0005-0000-0000-000055050000}"/>
    <cellStyle name="標準 42" xfId="1352" xr:uid="{00000000-0005-0000-0000-000056050000}"/>
    <cellStyle name="標準 43" xfId="1353" xr:uid="{00000000-0005-0000-0000-000057050000}"/>
    <cellStyle name="標準 44" xfId="1354" xr:uid="{00000000-0005-0000-0000-000058050000}"/>
    <cellStyle name="標準 45" xfId="1355" xr:uid="{00000000-0005-0000-0000-000059050000}"/>
    <cellStyle name="標準 46" xfId="1356" xr:uid="{00000000-0005-0000-0000-00005A050000}"/>
    <cellStyle name="標準 47" xfId="1357" xr:uid="{00000000-0005-0000-0000-00005B050000}"/>
    <cellStyle name="標準 48" xfId="1358" xr:uid="{00000000-0005-0000-0000-00005C050000}"/>
    <cellStyle name="標準 49" xfId="1359" xr:uid="{00000000-0005-0000-0000-00005D050000}"/>
    <cellStyle name="標準 5" xfId="1360" xr:uid="{00000000-0005-0000-0000-00005E050000}"/>
    <cellStyle name="標準 5 2" xfId="1361" xr:uid="{00000000-0005-0000-0000-00005F050000}"/>
    <cellStyle name="標準 5 2 2" xfId="1362" xr:uid="{00000000-0005-0000-0000-000060050000}"/>
    <cellStyle name="標準 5 2 2 2" xfId="15" xr:uid="{00000000-0005-0000-0000-000061050000}"/>
    <cellStyle name="標準 5 2 2 3" xfId="1363" xr:uid="{00000000-0005-0000-0000-000062050000}"/>
    <cellStyle name="標準 5 2 3" xfId="1364" xr:uid="{00000000-0005-0000-0000-000063050000}"/>
    <cellStyle name="標準 5 2 3 2" xfId="1365" xr:uid="{00000000-0005-0000-0000-000064050000}"/>
    <cellStyle name="標準 5 2 3 3" xfId="1366" xr:uid="{00000000-0005-0000-0000-000065050000}"/>
    <cellStyle name="標準 5 3" xfId="1367" xr:uid="{00000000-0005-0000-0000-000066050000}"/>
    <cellStyle name="標準 5 4" xfId="1368" xr:uid="{00000000-0005-0000-0000-000067050000}"/>
    <cellStyle name="標準 5 4 2" xfId="1369" xr:uid="{00000000-0005-0000-0000-000068050000}"/>
    <cellStyle name="標準 5_バックアップセンタ_切替テストスケジュール_20120406~10" xfId="1370" xr:uid="{00000000-0005-0000-0000-000069050000}"/>
    <cellStyle name="標準 50" xfId="1371" xr:uid="{00000000-0005-0000-0000-00006A050000}"/>
    <cellStyle name="標準 51" xfId="1372" xr:uid="{00000000-0005-0000-0000-00006B050000}"/>
    <cellStyle name="標準 52" xfId="1373" xr:uid="{00000000-0005-0000-0000-00006C050000}"/>
    <cellStyle name="標準 53" xfId="1374" xr:uid="{00000000-0005-0000-0000-00006D050000}"/>
    <cellStyle name="標準 54" xfId="1375" xr:uid="{00000000-0005-0000-0000-00006E050000}"/>
    <cellStyle name="標準 55" xfId="1376" xr:uid="{00000000-0005-0000-0000-00006F050000}"/>
    <cellStyle name="標準 56" xfId="1377" xr:uid="{00000000-0005-0000-0000-000070050000}"/>
    <cellStyle name="標準 57" xfId="1378" xr:uid="{00000000-0005-0000-0000-000071050000}"/>
    <cellStyle name="標準 58" xfId="1379" xr:uid="{00000000-0005-0000-0000-000072050000}"/>
    <cellStyle name="標準 59" xfId="1380" xr:uid="{00000000-0005-0000-0000-000073050000}"/>
    <cellStyle name="標準 6" xfId="1381" xr:uid="{00000000-0005-0000-0000-000074050000}"/>
    <cellStyle name="標準 6 2" xfId="1382" xr:uid="{00000000-0005-0000-0000-000075050000}"/>
    <cellStyle name="標準 6 2 2" xfId="1383" xr:uid="{00000000-0005-0000-0000-000076050000}"/>
    <cellStyle name="標準 6 2 3" xfId="1384" xr:uid="{00000000-0005-0000-0000-000077050000}"/>
    <cellStyle name="標準 6 2 4" xfId="1385" xr:uid="{00000000-0005-0000-0000-000078050000}"/>
    <cellStyle name="標準 6 3" xfId="1386" xr:uid="{00000000-0005-0000-0000-000079050000}"/>
    <cellStyle name="標準 6_バックアップセンタ_切替テストスケジュール_20120406~10" xfId="1387" xr:uid="{00000000-0005-0000-0000-00007A050000}"/>
    <cellStyle name="標準 60" xfId="1388" xr:uid="{00000000-0005-0000-0000-00007B050000}"/>
    <cellStyle name="標準 61" xfId="1389" xr:uid="{00000000-0005-0000-0000-00007C050000}"/>
    <cellStyle name="標準 62" xfId="1390" xr:uid="{00000000-0005-0000-0000-00007D050000}"/>
    <cellStyle name="標準 63" xfId="1391" xr:uid="{00000000-0005-0000-0000-00007E050000}"/>
    <cellStyle name="標準 64" xfId="1392" xr:uid="{00000000-0005-0000-0000-00007F050000}"/>
    <cellStyle name="標準 65" xfId="1393" xr:uid="{00000000-0005-0000-0000-000080050000}"/>
    <cellStyle name="標準 66" xfId="1394" xr:uid="{00000000-0005-0000-0000-000081050000}"/>
    <cellStyle name="標準 67" xfId="1395" xr:uid="{00000000-0005-0000-0000-000082050000}"/>
    <cellStyle name="標準 68" xfId="1396" xr:uid="{00000000-0005-0000-0000-000083050000}"/>
    <cellStyle name="標準 69" xfId="1397" xr:uid="{00000000-0005-0000-0000-000084050000}"/>
    <cellStyle name="標準 69 2" xfId="1398" xr:uid="{00000000-0005-0000-0000-000085050000}"/>
    <cellStyle name="標準 69 2 2" xfId="1399" xr:uid="{00000000-0005-0000-0000-000086050000}"/>
    <cellStyle name="標準 69 2 2 2" xfId="1400" xr:uid="{00000000-0005-0000-0000-000087050000}"/>
    <cellStyle name="標準 69 2 2 3" xfId="1401" xr:uid="{00000000-0005-0000-0000-000088050000}"/>
    <cellStyle name="標準 69 2 2 4" xfId="1402" xr:uid="{00000000-0005-0000-0000-000089050000}"/>
    <cellStyle name="標準 69 2 3" xfId="1403" xr:uid="{00000000-0005-0000-0000-00008A050000}"/>
    <cellStyle name="標準 69 2 4" xfId="1404" xr:uid="{00000000-0005-0000-0000-00008B050000}"/>
    <cellStyle name="標準 69 2 5" xfId="1405" xr:uid="{00000000-0005-0000-0000-00008C050000}"/>
    <cellStyle name="標準 69 3" xfId="1406" xr:uid="{00000000-0005-0000-0000-00008D050000}"/>
    <cellStyle name="標準 69 3 2" xfId="1407" xr:uid="{00000000-0005-0000-0000-00008E050000}"/>
    <cellStyle name="標準 69 3 3" xfId="1408" xr:uid="{00000000-0005-0000-0000-00008F050000}"/>
    <cellStyle name="標準 69 3 4" xfId="1409" xr:uid="{00000000-0005-0000-0000-000090050000}"/>
    <cellStyle name="標準 69 4" xfId="1410" xr:uid="{00000000-0005-0000-0000-000091050000}"/>
    <cellStyle name="標準 69 5" xfId="1411" xr:uid="{00000000-0005-0000-0000-000092050000}"/>
    <cellStyle name="標準 69 6" xfId="1412" xr:uid="{00000000-0005-0000-0000-000093050000}"/>
    <cellStyle name="標準 69 7" xfId="1413" xr:uid="{00000000-0005-0000-0000-000094050000}"/>
    <cellStyle name="標準 69 8" xfId="1414" xr:uid="{00000000-0005-0000-0000-000095050000}"/>
    <cellStyle name="標準 7" xfId="1415" xr:uid="{00000000-0005-0000-0000-000096050000}"/>
    <cellStyle name="標準 7 2" xfId="1416" xr:uid="{00000000-0005-0000-0000-000097050000}"/>
    <cellStyle name="標準 7 2 2" xfId="1417" xr:uid="{00000000-0005-0000-0000-000098050000}"/>
    <cellStyle name="標準 7 2 3" xfId="1418" xr:uid="{00000000-0005-0000-0000-000099050000}"/>
    <cellStyle name="標準 7 3" xfId="1419" xr:uid="{00000000-0005-0000-0000-00009A050000}"/>
    <cellStyle name="標準 7 3 2" xfId="1420" xr:uid="{00000000-0005-0000-0000-00009B050000}"/>
    <cellStyle name="標準 7 3 3" xfId="1421" xr:uid="{00000000-0005-0000-0000-00009C050000}"/>
    <cellStyle name="標準 7 4" xfId="1422" xr:uid="{00000000-0005-0000-0000-00009D050000}"/>
    <cellStyle name="標準 7 4 2" xfId="1423" xr:uid="{00000000-0005-0000-0000-00009E050000}"/>
    <cellStyle name="標準 7 4 3" xfId="1424" xr:uid="{00000000-0005-0000-0000-00009F050000}"/>
    <cellStyle name="標準 7 5" xfId="1425" xr:uid="{00000000-0005-0000-0000-0000A0050000}"/>
    <cellStyle name="標準 70" xfId="1426" xr:uid="{00000000-0005-0000-0000-0000A1050000}"/>
    <cellStyle name="標準 70 2" xfId="1427" xr:uid="{00000000-0005-0000-0000-0000A2050000}"/>
    <cellStyle name="標準 70 2 2" xfId="1428" xr:uid="{00000000-0005-0000-0000-0000A3050000}"/>
    <cellStyle name="標準 70 2 2 2" xfId="1429" xr:uid="{00000000-0005-0000-0000-0000A4050000}"/>
    <cellStyle name="標準 70 2 2 3" xfId="1430" xr:uid="{00000000-0005-0000-0000-0000A5050000}"/>
    <cellStyle name="標準 70 2 2 4" xfId="1431" xr:uid="{00000000-0005-0000-0000-0000A6050000}"/>
    <cellStyle name="標準 70 2 3" xfId="1432" xr:uid="{00000000-0005-0000-0000-0000A7050000}"/>
    <cellStyle name="標準 70 2 4" xfId="1433" xr:uid="{00000000-0005-0000-0000-0000A8050000}"/>
    <cellStyle name="標準 70 2 5" xfId="1434" xr:uid="{00000000-0005-0000-0000-0000A9050000}"/>
    <cellStyle name="標準 70 3" xfId="1435" xr:uid="{00000000-0005-0000-0000-0000AA050000}"/>
    <cellStyle name="標準 70 3 2" xfId="1436" xr:uid="{00000000-0005-0000-0000-0000AB050000}"/>
    <cellStyle name="標準 70 3 3" xfId="1437" xr:uid="{00000000-0005-0000-0000-0000AC050000}"/>
    <cellStyle name="標準 70 3 4" xfId="1438" xr:uid="{00000000-0005-0000-0000-0000AD050000}"/>
    <cellStyle name="標準 70 4" xfId="1439" xr:uid="{00000000-0005-0000-0000-0000AE050000}"/>
    <cellStyle name="標準 70 5" xfId="1440" xr:uid="{00000000-0005-0000-0000-0000AF050000}"/>
    <cellStyle name="標準 70 6" xfId="1441" xr:uid="{00000000-0005-0000-0000-0000B0050000}"/>
    <cellStyle name="標準 70 7" xfId="1442" xr:uid="{00000000-0005-0000-0000-0000B1050000}"/>
    <cellStyle name="標準 70 8" xfId="1443" xr:uid="{00000000-0005-0000-0000-0000B2050000}"/>
    <cellStyle name="標準 71" xfId="1444" xr:uid="{00000000-0005-0000-0000-0000B3050000}"/>
    <cellStyle name="標準 71 2" xfId="1445" xr:uid="{00000000-0005-0000-0000-0000B4050000}"/>
    <cellStyle name="標準 71 2 2" xfId="1446" xr:uid="{00000000-0005-0000-0000-0000B5050000}"/>
    <cellStyle name="標準 71 2 2 2" xfId="1447" xr:uid="{00000000-0005-0000-0000-0000B6050000}"/>
    <cellStyle name="標準 71 2 2 3" xfId="1448" xr:uid="{00000000-0005-0000-0000-0000B7050000}"/>
    <cellStyle name="標準 71 2 2 4" xfId="1449" xr:uid="{00000000-0005-0000-0000-0000B8050000}"/>
    <cellStyle name="標準 71 2 3" xfId="1450" xr:uid="{00000000-0005-0000-0000-0000B9050000}"/>
    <cellStyle name="標準 71 2 4" xfId="1451" xr:uid="{00000000-0005-0000-0000-0000BA050000}"/>
    <cellStyle name="標準 71 2 5" xfId="1452" xr:uid="{00000000-0005-0000-0000-0000BB050000}"/>
    <cellStyle name="標準 71 3" xfId="1453" xr:uid="{00000000-0005-0000-0000-0000BC050000}"/>
    <cellStyle name="標準 71 3 2" xfId="1454" xr:uid="{00000000-0005-0000-0000-0000BD050000}"/>
    <cellStyle name="標準 71 3 3" xfId="1455" xr:uid="{00000000-0005-0000-0000-0000BE050000}"/>
    <cellStyle name="標準 71 3 4" xfId="1456" xr:uid="{00000000-0005-0000-0000-0000BF050000}"/>
    <cellStyle name="標準 71 4" xfId="1457" xr:uid="{00000000-0005-0000-0000-0000C0050000}"/>
    <cellStyle name="標準 71 5" xfId="1458" xr:uid="{00000000-0005-0000-0000-0000C1050000}"/>
    <cellStyle name="標準 71 6" xfId="1459" xr:uid="{00000000-0005-0000-0000-0000C2050000}"/>
    <cellStyle name="標準 71 7" xfId="1460" xr:uid="{00000000-0005-0000-0000-0000C3050000}"/>
    <cellStyle name="標準 71 8" xfId="1461" xr:uid="{00000000-0005-0000-0000-0000C4050000}"/>
    <cellStyle name="標準 72" xfId="1462" xr:uid="{00000000-0005-0000-0000-0000C5050000}"/>
    <cellStyle name="標準 72 2" xfId="1463" xr:uid="{00000000-0005-0000-0000-0000C6050000}"/>
    <cellStyle name="標準 72 2 2" xfId="1464" xr:uid="{00000000-0005-0000-0000-0000C7050000}"/>
    <cellStyle name="標準 72 2 2 2" xfId="1465" xr:uid="{00000000-0005-0000-0000-0000C8050000}"/>
    <cellStyle name="標準 72 2 2 3" xfId="1466" xr:uid="{00000000-0005-0000-0000-0000C9050000}"/>
    <cellStyle name="標準 72 2 2 4" xfId="1467" xr:uid="{00000000-0005-0000-0000-0000CA050000}"/>
    <cellStyle name="標準 72 2 3" xfId="1468" xr:uid="{00000000-0005-0000-0000-0000CB050000}"/>
    <cellStyle name="標準 72 2 4" xfId="1469" xr:uid="{00000000-0005-0000-0000-0000CC050000}"/>
    <cellStyle name="標準 72 2 5" xfId="1470" xr:uid="{00000000-0005-0000-0000-0000CD050000}"/>
    <cellStyle name="標準 72 3" xfId="1471" xr:uid="{00000000-0005-0000-0000-0000CE050000}"/>
    <cellStyle name="標準 72 3 2" xfId="1472" xr:uid="{00000000-0005-0000-0000-0000CF050000}"/>
    <cellStyle name="標準 72 3 3" xfId="1473" xr:uid="{00000000-0005-0000-0000-0000D0050000}"/>
    <cellStyle name="標準 72 3 4" xfId="1474" xr:uid="{00000000-0005-0000-0000-0000D1050000}"/>
    <cellStyle name="標準 72 4" xfId="1475" xr:uid="{00000000-0005-0000-0000-0000D2050000}"/>
    <cellStyle name="標準 72 5" xfId="1476" xr:uid="{00000000-0005-0000-0000-0000D3050000}"/>
    <cellStyle name="標準 72 6" xfId="1477" xr:uid="{00000000-0005-0000-0000-0000D4050000}"/>
    <cellStyle name="標準 72 7" xfId="1478" xr:uid="{00000000-0005-0000-0000-0000D5050000}"/>
    <cellStyle name="標準 72 8" xfId="1479" xr:uid="{00000000-0005-0000-0000-0000D6050000}"/>
    <cellStyle name="標準 73" xfId="1480" xr:uid="{00000000-0005-0000-0000-0000D7050000}"/>
    <cellStyle name="標準 73 2" xfId="1481" xr:uid="{00000000-0005-0000-0000-0000D8050000}"/>
    <cellStyle name="標準 73 2 2" xfId="1482" xr:uid="{00000000-0005-0000-0000-0000D9050000}"/>
    <cellStyle name="標準 73 2 2 2" xfId="1483" xr:uid="{00000000-0005-0000-0000-0000DA050000}"/>
    <cellStyle name="標準 73 2 2 3" xfId="1484" xr:uid="{00000000-0005-0000-0000-0000DB050000}"/>
    <cellStyle name="標準 73 2 2 4" xfId="1485" xr:uid="{00000000-0005-0000-0000-0000DC050000}"/>
    <cellStyle name="標準 73 2 3" xfId="1486" xr:uid="{00000000-0005-0000-0000-0000DD050000}"/>
    <cellStyle name="標準 73 2 4" xfId="1487" xr:uid="{00000000-0005-0000-0000-0000DE050000}"/>
    <cellStyle name="標準 73 2 5" xfId="1488" xr:uid="{00000000-0005-0000-0000-0000DF050000}"/>
    <cellStyle name="標準 73 3" xfId="1489" xr:uid="{00000000-0005-0000-0000-0000E0050000}"/>
    <cellStyle name="標準 73 3 2" xfId="1490" xr:uid="{00000000-0005-0000-0000-0000E1050000}"/>
    <cellStyle name="標準 73 3 3" xfId="1491" xr:uid="{00000000-0005-0000-0000-0000E2050000}"/>
    <cellStyle name="標準 73 3 4" xfId="1492" xr:uid="{00000000-0005-0000-0000-0000E3050000}"/>
    <cellStyle name="標準 73 4" xfId="1493" xr:uid="{00000000-0005-0000-0000-0000E4050000}"/>
    <cellStyle name="標準 73 5" xfId="1494" xr:uid="{00000000-0005-0000-0000-0000E5050000}"/>
    <cellStyle name="標準 73 6" xfId="1495" xr:uid="{00000000-0005-0000-0000-0000E6050000}"/>
    <cellStyle name="標準 74" xfId="1496" xr:uid="{00000000-0005-0000-0000-0000E7050000}"/>
    <cellStyle name="標準 74 2" xfId="1497" xr:uid="{00000000-0005-0000-0000-0000E8050000}"/>
    <cellStyle name="標準 74 2 2" xfId="1498" xr:uid="{00000000-0005-0000-0000-0000E9050000}"/>
    <cellStyle name="標準 74 2 2 2" xfId="1499" xr:uid="{00000000-0005-0000-0000-0000EA050000}"/>
    <cellStyle name="標準 74 2 2 3" xfId="1500" xr:uid="{00000000-0005-0000-0000-0000EB050000}"/>
    <cellStyle name="標準 74 2 2 4" xfId="1501" xr:uid="{00000000-0005-0000-0000-0000EC050000}"/>
    <cellStyle name="標準 74 2 3" xfId="1502" xr:uid="{00000000-0005-0000-0000-0000ED050000}"/>
    <cellStyle name="標準 74 2 4" xfId="1503" xr:uid="{00000000-0005-0000-0000-0000EE050000}"/>
    <cellStyle name="標準 74 2 5" xfId="1504" xr:uid="{00000000-0005-0000-0000-0000EF050000}"/>
    <cellStyle name="標準 74 3" xfId="1505" xr:uid="{00000000-0005-0000-0000-0000F0050000}"/>
    <cellStyle name="標準 74 3 2" xfId="1506" xr:uid="{00000000-0005-0000-0000-0000F1050000}"/>
    <cellStyle name="標準 74 3 3" xfId="1507" xr:uid="{00000000-0005-0000-0000-0000F2050000}"/>
    <cellStyle name="標準 74 3 4" xfId="1508" xr:uid="{00000000-0005-0000-0000-0000F3050000}"/>
    <cellStyle name="標準 74 4" xfId="1509" xr:uid="{00000000-0005-0000-0000-0000F4050000}"/>
    <cellStyle name="標準 74 5" xfId="1510" xr:uid="{00000000-0005-0000-0000-0000F5050000}"/>
    <cellStyle name="標準 74 6" xfId="1511" xr:uid="{00000000-0005-0000-0000-0000F6050000}"/>
    <cellStyle name="標準 75" xfId="1512" xr:uid="{00000000-0005-0000-0000-0000F7050000}"/>
    <cellStyle name="標準 75 2" xfId="1513" xr:uid="{00000000-0005-0000-0000-0000F8050000}"/>
    <cellStyle name="標準 75 2 2" xfId="1514" xr:uid="{00000000-0005-0000-0000-0000F9050000}"/>
    <cellStyle name="標準 75 2 2 2" xfId="1515" xr:uid="{00000000-0005-0000-0000-0000FA050000}"/>
    <cellStyle name="標準 75 2 2 3" xfId="1516" xr:uid="{00000000-0005-0000-0000-0000FB050000}"/>
    <cellStyle name="標準 75 2 2 4" xfId="1517" xr:uid="{00000000-0005-0000-0000-0000FC050000}"/>
    <cellStyle name="標準 75 2 3" xfId="1518" xr:uid="{00000000-0005-0000-0000-0000FD050000}"/>
    <cellStyle name="標準 75 2 4" xfId="1519" xr:uid="{00000000-0005-0000-0000-0000FE050000}"/>
    <cellStyle name="標準 75 2 5" xfId="1520" xr:uid="{00000000-0005-0000-0000-0000FF050000}"/>
    <cellStyle name="標準 75 3" xfId="1521" xr:uid="{00000000-0005-0000-0000-000000060000}"/>
    <cellStyle name="標準 75 3 2" xfId="1522" xr:uid="{00000000-0005-0000-0000-000001060000}"/>
    <cellStyle name="標準 75 3 3" xfId="1523" xr:uid="{00000000-0005-0000-0000-000002060000}"/>
    <cellStyle name="標準 75 3 4" xfId="1524" xr:uid="{00000000-0005-0000-0000-000003060000}"/>
    <cellStyle name="標準 75 4" xfId="1525" xr:uid="{00000000-0005-0000-0000-000004060000}"/>
    <cellStyle name="標準 75 5" xfId="1526" xr:uid="{00000000-0005-0000-0000-000005060000}"/>
    <cellStyle name="標準 75 6" xfId="1527" xr:uid="{00000000-0005-0000-0000-000006060000}"/>
    <cellStyle name="標準 76" xfId="1528" xr:uid="{00000000-0005-0000-0000-000007060000}"/>
    <cellStyle name="標準 76 2" xfId="1529" xr:uid="{00000000-0005-0000-0000-000008060000}"/>
    <cellStyle name="標準 76 2 2" xfId="1530" xr:uid="{00000000-0005-0000-0000-000009060000}"/>
    <cellStyle name="標準 76 2 2 2" xfId="1531" xr:uid="{00000000-0005-0000-0000-00000A060000}"/>
    <cellStyle name="標準 76 2 2 3" xfId="1532" xr:uid="{00000000-0005-0000-0000-00000B060000}"/>
    <cellStyle name="標準 76 2 2 4" xfId="1533" xr:uid="{00000000-0005-0000-0000-00000C060000}"/>
    <cellStyle name="標準 76 2 3" xfId="1534" xr:uid="{00000000-0005-0000-0000-00000D060000}"/>
    <cellStyle name="標準 76 2 4" xfId="1535" xr:uid="{00000000-0005-0000-0000-00000E060000}"/>
    <cellStyle name="標準 76 2 5" xfId="1536" xr:uid="{00000000-0005-0000-0000-00000F060000}"/>
    <cellStyle name="標準 76 3" xfId="1537" xr:uid="{00000000-0005-0000-0000-000010060000}"/>
    <cellStyle name="標準 76 3 2" xfId="1538" xr:uid="{00000000-0005-0000-0000-000011060000}"/>
    <cellStyle name="標準 76 3 3" xfId="1539" xr:uid="{00000000-0005-0000-0000-000012060000}"/>
    <cellStyle name="標準 76 3 4" xfId="1540" xr:uid="{00000000-0005-0000-0000-000013060000}"/>
    <cellStyle name="標準 76 4" xfId="1541" xr:uid="{00000000-0005-0000-0000-000014060000}"/>
    <cellStyle name="標準 76 5" xfId="1542" xr:uid="{00000000-0005-0000-0000-000015060000}"/>
    <cellStyle name="標準 76 6" xfId="1543" xr:uid="{00000000-0005-0000-0000-000016060000}"/>
    <cellStyle name="標準 77" xfId="1544" xr:uid="{00000000-0005-0000-0000-000017060000}"/>
    <cellStyle name="標準 77 2" xfId="1545" xr:uid="{00000000-0005-0000-0000-000018060000}"/>
    <cellStyle name="標準 77 2 2" xfId="1546" xr:uid="{00000000-0005-0000-0000-000019060000}"/>
    <cellStyle name="標準 77 2 2 2" xfId="1547" xr:uid="{00000000-0005-0000-0000-00001A060000}"/>
    <cellStyle name="標準 77 2 2 3" xfId="1548" xr:uid="{00000000-0005-0000-0000-00001B060000}"/>
    <cellStyle name="標準 77 2 2 4" xfId="1549" xr:uid="{00000000-0005-0000-0000-00001C060000}"/>
    <cellStyle name="標準 77 2 3" xfId="1550" xr:uid="{00000000-0005-0000-0000-00001D060000}"/>
    <cellStyle name="標準 77 2 4" xfId="1551" xr:uid="{00000000-0005-0000-0000-00001E060000}"/>
    <cellStyle name="標準 77 2 5" xfId="1552" xr:uid="{00000000-0005-0000-0000-00001F060000}"/>
    <cellStyle name="標準 77 3" xfId="1553" xr:uid="{00000000-0005-0000-0000-000020060000}"/>
    <cellStyle name="標準 77 3 2" xfId="1554" xr:uid="{00000000-0005-0000-0000-000021060000}"/>
    <cellStyle name="標準 77 3 3" xfId="1555" xr:uid="{00000000-0005-0000-0000-000022060000}"/>
    <cellStyle name="標準 77 3 4" xfId="1556" xr:uid="{00000000-0005-0000-0000-000023060000}"/>
    <cellStyle name="標準 77 4" xfId="1557" xr:uid="{00000000-0005-0000-0000-000024060000}"/>
    <cellStyle name="標準 77 5" xfId="1558" xr:uid="{00000000-0005-0000-0000-000025060000}"/>
    <cellStyle name="標準 77 6" xfId="1559" xr:uid="{00000000-0005-0000-0000-000026060000}"/>
    <cellStyle name="標準 78" xfId="1560" xr:uid="{00000000-0005-0000-0000-000027060000}"/>
    <cellStyle name="標準 78 2" xfId="1561" xr:uid="{00000000-0005-0000-0000-000028060000}"/>
    <cellStyle name="標準 78 2 2" xfId="1562" xr:uid="{00000000-0005-0000-0000-000029060000}"/>
    <cellStyle name="標準 78 2 2 2" xfId="1563" xr:uid="{00000000-0005-0000-0000-00002A060000}"/>
    <cellStyle name="標準 78 2 2 3" xfId="1564" xr:uid="{00000000-0005-0000-0000-00002B060000}"/>
    <cellStyle name="標準 78 2 2 4" xfId="1565" xr:uid="{00000000-0005-0000-0000-00002C060000}"/>
    <cellStyle name="標準 78 2 3" xfId="1566" xr:uid="{00000000-0005-0000-0000-00002D060000}"/>
    <cellStyle name="標準 78 2 4" xfId="1567" xr:uid="{00000000-0005-0000-0000-00002E060000}"/>
    <cellStyle name="標準 78 2 5" xfId="1568" xr:uid="{00000000-0005-0000-0000-00002F060000}"/>
    <cellStyle name="標準 78 3" xfId="1569" xr:uid="{00000000-0005-0000-0000-000030060000}"/>
    <cellStyle name="標準 78 3 2" xfId="1570" xr:uid="{00000000-0005-0000-0000-000031060000}"/>
    <cellStyle name="標準 78 3 3" xfId="1571" xr:uid="{00000000-0005-0000-0000-000032060000}"/>
    <cellStyle name="標準 78 3 4" xfId="1572" xr:uid="{00000000-0005-0000-0000-000033060000}"/>
    <cellStyle name="標準 78 4" xfId="1573" xr:uid="{00000000-0005-0000-0000-000034060000}"/>
    <cellStyle name="標準 78 5" xfId="1574" xr:uid="{00000000-0005-0000-0000-000035060000}"/>
    <cellStyle name="標準 78 6" xfId="1575" xr:uid="{00000000-0005-0000-0000-000036060000}"/>
    <cellStyle name="標準 79" xfId="1576" xr:uid="{00000000-0005-0000-0000-000037060000}"/>
    <cellStyle name="標準 79 2" xfId="1577" xr:uid="{00000000-0005-0000-0000-000038060000}"/>
    <cellStyle name="標準 79 2 2" xfId="1578" xr:uid="{00000000-0005-0000-0000-000039060000}"/>
    <cellStyle name="標準 79 2 2 2" xfId="1579" xr:uid="{00000000-0005-0000-0000-00003A060000}"/>
    <cellStyle name="標準 79 2 2 3" xfId="1580" xr:uid="{00000000-0005-0000-0000-00003B060000}"/>
    <cellStyle name="標準 79 2 2 4" xfId="1581" xr:uid="{00000000-0005-0000-0000-00003C060000}"/>
    <cellStyle name="標準 79 2 3" xfId="1582" xr:uid="{00000000-0005-0000-0000-00003D060000}"/>
    <cellStyle name="標準 79 2 4" xfId="1583" xr:uid="{00000000-0005-0000-0000-00003E060000}"/>
    <cellStyle name="標準 79 2 5" xfId="1584" xr:uid="{00000000-0005-0000-0000-00003F060000}"/>
    <cellStyle name="標準 79 3" xfId="1585" xr:uid="{00000000-0005-0000-0000-000040060000}"/>
    <cellStyle name="標準 79 3 2" xfId="1586" xr:uid="{00000000-0005-0000-0000-000041060000}"/>
    <cellStyle name="標準 79 3 3" xfId="1587" xr:uid="{00000000-0005-0000-0000-000042060000}"/>
    <cellStyle name="標準 79 3 4" xfId="1588" xr:uid="{00000000-0005-0000-0000-000043060000}"/>
    <cellStyle name="標準 79 4" xfId="1589" xr:uid="{00000000-0005-0000-0000-000044060000}"/>
    <cellStyle name="標準 79 5" xfId="1590" xr:uid="{00000000-0005-0000-0000-000045060000}"/>
    <cellStyle name="標準 79 6" xfId="1591" xr:uid="{00000000-0005-0000-0000-000046060000}"/>
    <cellStyle name="標準 8" xfId="1592" xr:uid="{00000000-0005-0000-0000-000047060000}"/>
    <cellStyle name="標準 8 2" xfId="1593" xr:uid="{00000000-0005-0000-0000-000048060000}"/>
    <cellStyle name="標準 8 3" xfId="1594" xr:uid="{00000000-0005-0000-0000-000049060000}"/>
    <cellStyle name="標準 8 4" xfId="1595" xr:uid="{00000000-0005-0000-0000-00004A060000}"/>
    <cellStyle name="標準 8 5" xfId="1596" xr:uid="{00000000-0005-0000-0000-00004B060000}"/>
    <cellStyle name="標準 8 6" xfId="1597" xr:uid="{00000000-0005-0000-0000-00004C060000}"/>
    <cellStyle name="標準 80" xfId="1598" xr:uid="{00000000-0005-0000-0000-00004D060000}"/>
    <cellStyle name="標準 80 2" xfId="1599" xr:uid="{00000000-0005-0000-0000-00004E060000}"/>
    <cellStyle name="標準 80 2 2" xfId="1600" xr:uid="{00000000-0005-0000-0000-00004F060000}"/>
    <cellStyle name="標準 80 2 2 2" xfId="1601" xr:uid="{00000000-0005-0000-0000-000050060000}"/>
    <cellStyle name="標準 80 2 2 3" xfId="1602" xr:uid="{00000000-0005-0000-0000-000051060000}"/>
    <cellStyle name="標準 80 2 2 4" xfId="1603" xr:uid="{00000000-0005-0000-0000-000052060000}"/>
    <cellStyle name="標準 80 2 3" xfId="1604" xr:uid="{00000000-0005-0000-0000-000053060000}"/>
    <cellStyle name="標準 80 2 4" xfId="1605" xr:uid="{00000000-0005-0000-0000-000054060000}"/>
    <cellStyle name="標準 80 2 5" xfId="1606" xr:uid="{00000000-0005-0000-0000-000055060000}"/>
    <cellStyle name="標準 80 3" xfId="1607" xr:uid="{00000000-0005-0000-0000-000056060000}"/>
    <cellStyle name="標準 80 3 2" xfId="1608" xr:uid="{00000000-0005-0000-0000-000057060000}"/>
    <cellStyle name="標準 80 3 3" xfId="1609" xr:uid="{00000000-0005-0000-0000-000058060000}"/>
    <cellStyle name="標準 80 3 4" xfId="1610" xr:uid="{00000000-0005-0000-0000-000059060000}"/>
    <cellStyle name="標準 80 4" xfId="1611" xr:uid="{00000000-0005-0000-0000-00005A060000}"/>
    <cellStyle name="標準 80 5" xfId="1612" xr:uid="{00000000-0005-0000-0000-00005B060000}"/>
    <cellStyle name="標準 80 6" xfId="1613" xr:uid="{00000000-0005-0000-0000-00005C060000}"/>
    <cellStyle name="標準 81" xfId="1614" xr:uid="{00000000-0005-0000-0000-00005D060000}"/>
    <cellStyle name="標準 81 2" xfId="1615" xr:uid="{00000000-0005-0000-0000-00005E060000}"/>
    <cellStyle name="標準 81 2 2" xfId="1616" xr:uid="{00000000-0005-0000-0000-00005F060000}"/>
    <cellStyle name="標準 81 2 2 2" xfId="1617" xr:uid="{00000000-0005-0000-0000-000060060000}"/>
    <cellStyle name="標準 81 2 2 3" xfId="1618" xr:uid="{00000000-0005-0000-0000-000061060000}"/>
    <cellStyle name="標準 81 2 2 4" xfId="1619" xr:uid="{00000000-0005-0000-0000-000062060000}"/>
    <cellStyle name="標準 81 2 3" xfId="1620" xr:uid="{00000000-0005-0000-0000-000063060000}"/>
    <cellStyle name="標準 81 2 4" xfId="1621" xr:uid="{00000000-0005-0000-0000-000064060000}"/>
    <cellStyle name="標準 81 2 5" xfId="1622" xr:uid="{00000000-0005-0000-0000-000065060000}"/>
    <cellStyle name="標準 81 3" xfId="1623" xr:uid="{00000000-0005-0000-0000-000066060000}"/>
    <cellStyle name="標準 81 3 2" xfId="1624" xr:uid="{00000000-0005-0000-0000-000067060000}"/>
    <cellStyle name="標準 81 3 3" xfId="1625" xr:uid="{00000000-0005-0000-0000-000068060000}"/>
    <cellStyle name="標準 81 3 4" xfId="1626" xr:uid="{00000000-0005-0000-0000-000069060000}"/>
    <cellStyle name="標準 81 4" xfId="1627" xr:uid="{00000000-0005-0000-0000-00006A060000}"/>
    <cellStyle name="標準 81 5" xfId="1628" xr:uid="{00000000-0005-0000-0000-00006B060000}"/>
    <cellStyle name="標準 81 6" xfId="1629" xr:uid="{00000000-0005-0000-0000-00006C060000}"/>
    <cellStyle name="標準 82" xfId="1630" xr:uid="{00000000-0005-0000-0000-00006D060000}"/>
    <cellStyle name="標準 82 2" xfId="1631" xr:uid="{00000000-0005-0000-0000-00006E060000}"/>
    <cellStyle name="標準 82 2 2" xfId="1632" xr:uid="{00000000-0005-0000-0000-00006F060000}"/>
    <cellStyle name="標準 82 2 2 2" xfId="1633" xr:uid="{00000000-0005-0000-0000-000070060000}"/>
    <cellStyle name="標準 82 2 2 3" xfId="1634" xr:uid="{00000000-0005-0000-0000-000071060000}"/>
    <cellStyle name="標準 82 2 2 4" xfId="1635" xr:uid="{00000000-0005-0000-0000-000072060000}"/>
    <cellStyle name="標準 82 2 3" xfId="1636" xr:uid="{00000000-0005-0000-0000-000073060000}"/>
    <cellStyle name="標準 82 2 4" xfId="1637" xr:uid="{00000000-0005-0000-0000-000074060000}"/>
    <cellStyle name="標準 82 2 5" xfId="1638" xr:uid="{00000000-0005-0000-0000-000075060000}"/>
    <cellStyle name="標準 82 3" xfId="1639" xr:uid="{00000000-0005-0000-0000-000076060000}"/>
    <cellStyle name="標準 82 3 2" xfId="1640" xr:uid="{00000000-0005-0000-0000-000077060000}"/>
    <cellStyle name="標準 82 3 3" xfId="1641" xr:uid="{00000000-0005-0000-0000-000078060000}"/>
    <cellStyle name="標準 82 3 4" xfId="1642" xr:uid="{00000000-0005-0000-0000-000079060000}"/>
    <cellStyle name="標準 82 4" xfId="1643" xr:uid="{00000000-0005-0000-0000-00007A060000}"/>
    <cellStyle name="標準 82 5" xfId="1644" xr:uid="{00000000-0005-0000-0000-00007B060000}"/>
    <cellStyle name="標準 82 6" xfId="1645" xr:uid="{00000000-0005-0000-0000-00007C060000}"/>
    <cellStyle name="標準 83" xfId="1646" xr:uid="{00000000-0005-0000-0000-00007D060000}"/>
    <cellStyle name="標準 83 2" xfId="1647" xr:uid="{00000000-0005-0000-0000-00007E060000}"/>
    <cellStyle name="標準 83 2 2" xfId="1648" xr:uid="{00000000-0005-0000-0000-00007F060000}"/>
    <cellStyle name="標準 83 2 2 2" xfId="1649" xr:uid="{00000000-0005-0000-0000-000080060000}"/>
    <cellStyle name="標準 83 2 2 3" xfId="1650" xr:uid="{00000000-0005-0000-0000-000081060000}"/>
    <cellStyle name="標準 83 2 2 4" xfId="1651" xr:uid="{00000000-0005-0000-0000-000082060000}"/>
    <cellStyle name="標準 83 2 3" xfId="1652" xr:uid="{00000000-0005-0000-0000-000083060000}"/>
    <cellStyle name="標準 83 2 4" xfId="1653" xr:uid="{00000000-0005-0000-0000-000084060000}"/>
    <cellStyle name="標準 83 2 5" xfId="1654" xr:uid="{00000000-0005-0000-0000-000085060000}"/>
    <cellStyle name="標準 83 3" xfId="1655" xr:uid="{00000000-0005-0000-0000-000086060000}"/>
    <cellStyle name="標準 83 3 2" xfId="1656" xr:uid="{00000000-0005-0000-0000-000087060000}"/>
    <cellStyle name="標準 83 3 3" xfId="1657" xr:uid="{00000000-0005-0000-0000-000088060000}"/>
    <cellStyle name="標準 83 3 4" xfId="1658" xr:uid="{00000000-0005-0000-0000-000089060000}"/>
    <cellStyle name="標準 83 4" xfId="1659" xr:uid="{00000000-0005-0000-0000-00008A060000}"/>
    <cellStyle name="標準 83 5" xfId="1660" xr:uid="{00000000-0005-0000-0000-00008B060000}"/>
    <cellStyle name="標準 83 6" xfId="1661" xr:uid="{00000000-0005-0000-0000-00008C060000}"/>
    <cellStyle name="標準 84" xfId="1662" xr:uid="{00000000-0005-0000-0000-00008D060000}"/>
    <cellStyle name="標準 84 2" xfId="1663" xr:uid="{00000000-0005-0000-0000-00008E060000}"/>
    <cellStyle name="標準 84 2 2" xfId="1664" xr:uid="{00000000-0005-0000-0000-00008F060000}"/>
    <cellStyle name="標準 84 2 2 2" xfId="1665" xr:uid="{00000000-0005-0000-0000-000090060000}"/>
    <cellStyle name="標準 84 2 2 3" xfId="1666" xr:uid="{00000000-0005-0000-0000-000091060000}"/>
    <cellStyle name="標準 84 2 2 4" xfId="1667" xr:uid="{00000000-0005-0000-0000-000092060000}"/>
    <cellStyle name="標準 84 2 3" xfId="1668" xr:uid="{00000000-0005-0000-0000-000093060000}"/>
    <cellStyle name="標準 84 2 4" xfId="1669" xr:uid="{00000000-0005-0000-0000-000094060000}"/>
    <cellStyle name="標準 84 2 5" xfId="1670" xr:uid="{00000000-0005-0000-0000-000095060000}"/>
    <cellStyle name="標準 84 3" xfId="1671" xr:uid="{00000000-0005-0000-0000-000096060000}"/>
    <cellStyle name="標準 84 3 2" xfId="1672" xr:uid="{00000000-0005-0000-0000-000097060000}"/>
    <cellStyle name="標準 84 3 3" xfId="1673" xr:uid="{00000000-0005-0000-0000-000098060000}"/>
    <cellStyle name="標準 84 3 4" xfId="1674" xr:uid="{00000000-0005-0000-0000-000099060000}"/>
    <cellStyle name="標準 84 4" xfId="1675" xr:uid="{00000000-0005-0000-0000-00009A060000}"/>
    <cellStyle name="標準 84 5" xfId="1676" xr:uid="{00000000-0005-0000-0000-00009B060000}"/>
    <cellStyle name="標準 84 6" xfId="1677" xr:uid="{00000000-0005-0000-0000-00009C060000}"/>
    <cellStyle name="標準 85" xfId="1678" xr:uid="{00000000-0005-0000-0000-00009D060000}"/>
    <cellStyle name="標準 85 2" xfId="1679" xr:uid="{00000000-0005-0000-0000-00009E060000}"/>
    <cellStyle name="標準 85 2 2" xfId="1680" xr:uid="{00000000-0005-0000-0000-00009F060000}"/>
    <cellStyle name="標準 85 2 2 2" xfId="1681" xr:uid="{00000000-0005-0000-0000-0000A0060000}"/>
    <cellStyle name="標準 85 2 2 3" xfId="1682" xr:uid="{00000000-0005-0000-0000-0000A1060000}"/>
    <cellStyle name="標準 85 2 2 4" xfId="1683" xr:uid="{00000000-0005-0000-0000-0000A2060000}"/>
    <cellStyle name="標準 85 2 3" xfId="1684" xr:uid="{00000000-0005-0000-0000-0000A3060000}"/>
    <cellStyle name="標準 85 2 4" xfId="1685" xr:uid="{00000000-0005-0000-0000-0000A4060000}"/>
    <cellStyle name="標準 85 2 5" xfId="1686" xr:uid="{00000000-0005-0000-0000-0000A5060000}"/>
    <cellStyle name="標準 85 3" xfId="1687" xr:uid="{00000000-0005-0000-0000-0000A6060000}"/>
    <cellStyle name="標準 85 3 2" xfId="1688" xr:uid="{00000000-0005-0000-0000-0000A7060000}"/>
    <cellStyle name="標準 85 3 3" xfId="1689" xr:uid="{00000000-0005-0000-0000-0000A8060000}"/>
    <cellStyle name="標準 85 3 4" xfId="1690" xr:uid="{00000000-0005-0000-0000-0000A9060000}"/>
    <cellStyle name="標準 85 4" xfId="1691" xr:uid="{00000000-0005-0000-0000-0000AA060000}"/>
    <cellStyle name="標準 85 5" xfId="1692" xr:uid="{00000000-0005-0000-0000-0000AB060000}"/>
    <cellStyle name="標準 85 6" xfId="1693" xr:uid="{00000000-0005-0000-0000-0000AC060000}"/>
    <cellStyle name="標準 86" xfId="1694" xr:uid="{00000000-0005-0000-0000-0000AD060000}"/>
    <cellStyle name="標準 86 2" xfId="1695" xr:uid="{00000000-0005-0000-0000-0000AE060000}"/>
    <cellStyle name="標準 86 2 2" xfId="1696" xr:uid="{00000000-0005-0000-0000-0000AF060000}"/>
    <cellStyle name="標準 86 2 2 2" xfId="1697" xr:uid="{00000000-0005-0000-0000-0000B0060000}"/>
    <cellStyle name="標準 86 2 2 3" xfId="1698" xr:uid="{00000000-0005-0000-0000-0000B1060000}"/>
    <cellStyle name="標準 86 2 2 4" xfId="1699" xr:uid="{00000000-0005-0000-0000-0000B2060000}"/>
    <cellStyle name="標準 86 2 3" xfId="1700" xr:uid="{00000000-0005-0000-0000-0000B3060000}"/>
    <cellStyle name="標準 86 2 4" xfId="1701" xr:uid="{00000000-0005-0000-0000-0000B4060000}"/>
    <cellStyle name="標準 86 2 5" xfId="1702" xr:uid="{00000000-0005-0000-0000-0000B5060000}"/>
    <cellStyle name="標準 86 3" xfId="1703" xr:uid="{00000000-0005-0000-0000-0000B6060000}"/>
    <cellStyle name="標準 86 3 2" xfId="1704" xr:uid="{00000000-0005-0000-0000-0000B7060000}"/>
    <cellStyle name="標準 86 3 3" xfId="1705" xr:uid="{00000000-0005-0000-0000-0000B8060000}"/>
    <cellStyle name="標準 86 3 4" xfId="1706" xr:uid="{00000000-0005-0000-0000-0000B9060000}"/>
    <cellStyle name="標準 86 4" xfId="1707" xr:uid="{00000000-0005-0000-0000-0000BA060000}"/>
    <cellStyle name="標準 86 5" xfId="1708" xr:uid="{00000000-0005-0000-0000-0000BB060000}"/>
    <cellStyle name="標準 86 6" xfId="1709" xr:uid="{00000000-0005-0000-0000-0000BC060000}"/>
    <cellStyle name="標準 87" xfId="1710" xr:uid="{00000000-0005-0000-0000-0000BD060000}"/>
    <cellStyle name="標準 87 2" xfId="1711" xr:uid="{00000000-0005-0000-0000-0000BE060000}"/>
    <cellStyle name="標準 87 2 2" xfId="1712" xr:uid="{00000000-0005-0000-0000-0000BF060000}"/>
    <cellStyle name="標準 87 2 2 2" xfId="1713" xr:uid="{00000000-0005-0000-0000-0000C0060000}"/>
    <cellStyle name="標準 87 2 2 3" xfId="1714" xr:uid="{00000000-0005-0000-0000-0000C1060000}"/>
    <cellStyle name="標準 87 2 2 4" xfId="1715" xr:uid="{00000000-0005-0000-0000-0000C2060000}"/>
    <cellStyle name="標準 87 2 3" xfId="1716" xr:uid="{00000000-0005-0000-0000-0000C3060000}"/>
    <cellStyle name="標準 87 2 4" xfId="1717" xr:uid="{00000000-0005-0000-0000-0000C4060000}"/>
    <cellStyle name="標準 87 2 5" xfId="1718" xr:uid="{00000000-0005-0000-0000-0000C5060000}"/>
    <cellStyle name="標準 87 3" xfId="1719" xr:uid="{00000000-0005-0000-0000-0000C6060000}"/>
    <cellStyle name="標準 87 3 2" xfId="1720" xr:uid="{00000000-0005-0000-0000-0000C7060000}"/>
    <cellStyle name="標準 87 3 3" xfId="1721" xr:uid="{00000000-0005-0000-0000-0000C8060000}"/>
    <cellStyle name="標準 87 3 4" xfId="1722" xr:uid="{00000000-0005-0000-0000-0000C9060000}"/>
    <cellStyle name="標準 87 4" xfId="1723" xr:uid="{00000000-0005-0000-0000-0000CA060000}"/>
    <cellStyle name="標準 87 5" xfId="1724" xr:uid="{00000000-0005-0000-0000-0000CB060000}"/>
    <cellStyle name="標準 87 6" xfId="1725" xr:uid="{00000000-0005-0000-0000-0000CC060000}"/>
    <cellStyle name="標準 88" xfId="1726" xr:uid="{00000000-0005-0000-0000-0000CD060000}"/>
    <cellStyle name="標準 88 2" xfId="1727" xr:uid="{00000000-0005-0000-0000-0000CE060000}"/>
    <cellStyle name="標準 88 2 2" xfId="1728" xr:uid="{00000000-0005-0000-0000-0000CF060000}"/>
    <cellStyle name="標準 88 2 2 2" xfId="1729" xr:uid="{00000000-0005-0000-0000-0000D0060000}"/>
    <cellStyle name="標準 88 2 2 3" xfId="1730" xr:uid="{00000000-0005-0000-0000-0000D1060000}"/>
    <cellStyle name="標準 88 2 2 4" xfId="1731" xr:uid="{00000000-0005-0000-0000-0000D2060000}"/>
    <cellStyle name="標準 88 2 3" xfId="1732" xr:uid="{00000000-0005-0000-0000-0000D3060000}"/>
    <cellStyle name="標準 88 2 4" xfId="1733" xr:uid="{00000000-0005-0000-0000-0000D4060000}"/>
    <cellStyle name="標準 88 2 5" xfId="1734" xr:uid="{00000000-0005-0000-0000-0000D5060000}"/>
    <cellStyle name="標準 88 3" xfId="1735" xr:uid="{00000000-0005-0000-0000-0000D6060000}"/>
    <cellStyle name="標準 88 3 2" xfId="1736" xr:uid="{00000000-0005-0000-0000-0000D7060000}"/>
    <cellStyle name="標準 88 3 3" xfId="1737" xr:uid="{00000000-0005-0000-0000-0000D8060000}"/>
    <cellStyle name="標準 88 3 4" xfId="1738" xr:uid="{00000000-0005-0000-0000-0000D9060000}"/>
    <cellStyle name="標準 88 4" xfId="1739" xr:uid="{00000000-0005-0000-0000-0000DA060000}"/>
    <cellStyle name="標準 88 5" xfId="1740" xr:uid="{00000000-0005-0000-0000-0000DB060000}"/>
    <cellStyle name="標準 88 6" xfId="1741" xr:uid="{00000000-0005-0000-0000-0000DC060000}"/>
    <cellStyle name="標準 89" xfId="1742" xr:uid="{00000000-0005-0000-0000-0000DD060000}"/>
    <cellStyle name="標準 89 2" xfId="1743" xr:uid="{00000000-0005-0000-0000-0000DE060000}"/>
    <cellStyle name="標準 89 2 2" xfId="1744" xr:uid="{00000000-0005-0000-0000-0000DF060000}"/>
    <cellStyle name="標準 89 2 2 2" xfId="1745" xr:uid="{00000000-0005-0000-0000-0000E0060000}"/>
    <cellStyle name="標準 89 2 2 3" xfId="1746" xr:uid="{00000000-0005-0000-0000-0000E1060000}"/>
    <cellStyle name="標準 89 2 2 4" xfId="1747" xr:uid="{00000000-0005-0000-0000-0000E2060000}"/>
    <cellStyle name="標準 89 2 3" xfId="1748" xr:uid="{00000000-0005-0000-0000-0000E3060000}"/>
    <cellStyle name="標準 89 2 4" xfId="1749" xr:uid="{00000000-0005-0000-0000-0000E4060000}"/>
    <cellStyle name="標準 89 2 5" xfId="1750" xr:uid="{00000000-0005-0000-0000-0000E5060000}"/>
    <cellStyle name="標準 89 3" xfId="1751" xr:uid="{00000000-0005-0000-0000-0000E6060000}"/>
    <cellStyle name="標準 89 3 2" xfId="1752" xr:uid="{00000000-0005-0000-0000-0000E7060000}"/>
    <cellStyle name="標準 89 3 3" xfId="1753" xr:uid="{00000000-0005-0000-0000-0000E8060000}"/>
    <cellStyle name="標準 89 3 4" xfId="1754" xr:uid="{00000000-0005-0000-0000-0000E9060000}"/>
    <cellStyle name="標準 89 4" xfId="1755" xr:uid="{00000000-0005-0000-0000-0000EA060000}"/>
    <cellStyle name="標準 89 5" xfId="1756" xr:uid="{00000000-0005-0000-0000-0000EB060000}"/>
    <cellStyle name="標準 89 6" xfId="1757" xr:uid="{00000000-0005-0000-0000-0000EC060000}"/>
    <cellStyle name="標準 9" xfId="1758" xr:uid="{00000000-0005-0000-0000-0000ED060000}"/>
    <cellStyle name="標準 9 2" xfId="1759" xr:uid="{00000000-0005-0000-0000-0000EE060000}"/>
    <cellStyle name="標準 9 3" xfId="1760" xr:uid="{00000000-0005-0000-0000-0000EF060000}"/>
    <cellStyle name="標準 90" xfId="1761" xr:uid="{00000000-0005-0000-0000-0000F0060000}"/>
    <cellStyle name="標準 90 2" xfId="1762" xr:uid="{00000000-0005-0000-0000-0000F1060000}"/>
    <cellStyle name="標準 90 2 2" xfId="1763" xr:uid="{00000000-0005-0000-0000-0000F2060000}"/>
    <cellStyle name="標準 90 2 2 2" xfId="1764" xr:uid="{00000000-0005-0000-0000-0000F3060000}"/>
    <cellStyle name="標準 90 2 2 3" xfId="1765" xr:uid="{00000000-0005-0000-0000-0000F4060000}"/>
    <cellStyle name="標準 90 2 2 4" xfId="1766" xr:uid="{00000000-0005-0000-0000-0000F5060000}"/>
    <cellStyle name="標準 90 2 3" xfId="1767" xr:uid="{00000000-0005-0000-0000-0000F6060000}"/>
    <cellStyle name="標準 90 2 4" xfId="1768" xr:uid="{00000000-0005-0000-0000-0000F7060000}"/>
    <cellStyle name="標準 90 2 5" xfId="1769" xr:uid="{00000000-0005-0000-0000-0000F8060000}"/>
    <cellStyle name="標準 90 3" xfId="1770" xr:uid="{00000000-0005-0000-0000-0000F9060000}"/>
    <cellStyle name="標準 90 3 2" xfId="1771" xr:uid="{00000000-0005-0000-0000-0000FA060000}"/>
    <cellStyle name="標準 90 3 3" xfId="1772" xr:uid="{00000000-0005-0000-0000-0000FB060000}"/>
    <cellStyle name="標準 90 3 4" xfId="1773" xr:uid="{00000000-0005-0000-0000-0000FC060000}"/>
    <cellStyle name="標準 90 4" xfId="1774" xr:uid="{00000000-0005-0000-0000-0000FD060000}"/>
    <cellStyle name="標準 90 5" xfId="1775" xr:uid="{00000000-0005-0000-0000-0000FE060000}"/>
    <cellStyle name="標準 90 6" xfId="1776" xr:uid="{00000000-0005-0000-0000-0000FF060000}"/>
    <cellStyle name="標準 91" xfId="1777" xr:uid="{00000000-0005-0000-0000-000000070000}"/>
    <cellStyle name="標準 91 2" xfId="1778" xr:uid="{00000000-0005-0000-0000-000001070000}"/>
    <cellStyle name="標準 91 2 2" xfId="1779" xr:uid="{00000000-0005-0000-0000-000002070000}"/>
    <cellStyle name="標準 91 2 2 2" xfId="1780" xr:uid="{00000000-0005-0000-0000-000003070000}"/>
    <cellStyle name="標準 91 2 2 3" xfId="1781" xr:uid="{00000000-0005-0000-0000-000004070000}"/>
    <cellStyle name="標準 91 2 2 4" xfId="1782" xr:uid="{00000000-0005-0000-0000-000005070000}"/>
    <cellStyle name="標準 91 2 3" xfId="1783" xr:uid="{00000000-0005-0000-0000-000006070000}"/>
    <cellStyle name="標準 91 2 4" xfId="1784" xr:uid="{00000000-0005-0000-0000-000007070000}"/>
    <cellStyle name="標準 91 2 5" xfId="1785" xr:uid="{00000000-0005-0000-0000-000008070000}"/>
    <cellStyle name="標準 91 3" xfId="1786" xr:uid="{00000000-0005-0000-0000-000009070000}"/>
    <cellStyle name="標準 91 3 2" xfId="1787" xr:uid="{00000000-0005-0000-0000-00000A070000}"/>
    <cellStyle name="標準 91 3 3" xfId="1788" xr:uid="{00000000-0005-0000-0000-00000B070000}"/>
    <cellStyle name="標準 91 3 4" xfId="1789" xr:uid="{00000000-0005-0000-0000-00000C070000}"/>
    <cellStyle name="標準 91 4" xfId="1790" xr:uid="{00000000-0005-0000-0000-00000D070000}"/>
    <cellStyle name="標準 91 5" xfId="1791" xr:uid="{00000000-0005-0000-0000-00000E070000}"/>
    <cellStyle name="標準 91 6" xfId="1792" xr:uid="{00000000-0005-0000-0000-00000F070000}"/>
    <cellStyle name="標準 92" xfId="1793" xr:uid="{00000000-0005-0000-0000-000010070000}"/>
    <cellStyle name="標準 92 2" xfId="1794" xr:uid="{00000000-0005-0000-0000-000011070000}"/>
    <cellStyle name="標準 92 2 2" xfId="1795" xr:uid="{00000000-0005-0000-0000-000012070000}"/>
    <cellStyle name="標準 92 2 2 2" xfId="1796" xr:uid="{00000000-0005-0000-0000-000013070000}"/>
    <cellStyle name="標準 92 2 2 3" xfId="1797" xr:uid="{00000000-0005-0000-0000-000014070000}"/>
    <cellStyle name="標準 92 2 2 4" xfId="1798" xr:uid="{00000000-0005-0000-0000-000015070000}"/>
    <cellStyle name="標準 92 2 3" xfId="1799" xr:uid="{00000000-0005-0000-0000-000016070000}"/>
    <cellStyle name="標準 92 2 4" xfId="1800" xr:uid="{00000000-0005-0000-0000-000017070000}"/>
    <cellStyle name="標準 92 2 5" xfId="1801" xr:uid="{00000000-0005-0000-0000-000018070000}"/>
    <cellStyle name="標準 92 3" xfId="1802" xr:uid="{00000000-0005-0000-0000-000019070000}"/>
    <cellStyle name="標準 92 3 2" xfId="1803" xr:uid="{00000000-0005-0000-0000-00001A070000}"/>
    <cellStyle name="標準 92 3 3" xfId="1804" xr:uid="{00000000-0005-0000-0000-00001B070000}"/>
    <cellStyle name="標準 92 3 4" xfId="1805" xr:uid="{00000000-0005-0000-0000-00001C070000}"/>
    <cellStyle name="標準 92 4" xfId="1806" xr:uid="{00000000-0005-0000-0000-00001D070000}"/>
    <cellStyle name="標準 92 5" xfId="1807" xr:uid="{00000000-0005-0000-0000-00001E070000}"/>
    <cellStyle name="標準 92 6" xfId="1808" xr:uid="{00000000-0005-0000-0000-00001F070000}"/>
    <cellStyle name="標準 93" xfId="1809" xr:uid="{00000000-0005-0000-0000-000020070000}"/>
    <cellStyle name="標準 93 2" xfId="1810" xr:uid="{00000000-0005-0000-0000-000021070000}"/>
    <cellStyle name="標準 93 2 2" xfId="1811" xr:uid="{00000000-0005-0000-0000-000022070000}"/>
    <cellStyle name="標準 93 2 2 2" xfId="1812" xr:uid="{00000000-0005-0000-0000-000023070000}"/>
    <cellStyle name="標準 93 2 2 3" xfId="1813" xr:uid="{00000000-0005-0000-0000-000024070000}"/>
    <cellStyle name="標準 93 2 2 4" xfId="1814" xr:uid="{00000000-0005-0000-0000-000025070000}"/>
    <cellStyle name="標準 93 2 3" xfId="1815" xr:uid="{00000000-0005-0000-0000-000026070000}"/>
    <cellStyle name="標準 93 2 4" xfId="1816" xr:uid="{00000000-0005-0000-0000-000027070000}"/>
    <cellStyle name="標準 93 2 5" xfId="1817" xr:uid="{00000000-0005-0000-0000-000028070000}"/>
    <cellStyle name="標準 93 3" xfId="1818" xr:uid="{00000000-0005-0000-0000-000029070000}"/>
    <cellStyle name="標準 93 3 2" xfId="1819" xr:uid="{00000000-0005-0000-0000-00002A070000}"/>
    <cellStyle name="標準 93 3 3" xfId="1820" xr:uid="{00000000-0005-0000-0000-00002B070000}"/>
    <cellStyle name="標準 93 3 4" xfId="1821" xr:uid="{00000000-0005-0000-0000-00002C070000}"/>
    <cellStyle name="標準 93 4" xfId="1822" xr:uid="{00000000-0005-0000-0000-00002D070000}"/>
    <cellStyle name="標準 93 5" xfId="1823" xr:uid="{00000000-0005-0000-0000-00002E070000}"/>
    <cellStyle name="標準 93 6" xfId="1824" xr:uid="{00000000-0005-0000-0000-00002F070000}"/>
    <cellStyle name="標準 94" xfId="1825" xr:uid="{00000000-0005-0000-0000-000030070000}"/>
    <cellStyle name="標準 94 2" xfId="1826" xr:uid="{00000000-0005-0000-0000-000031070000}"/>
    <cellStyle name="標準 94 2 2" xfId="1827" xr:uid="{00000000-0005-0000-0000-000032070000}"/>
    <cellStyle name="標準 94 2 2 2" xfId="1828" xr:uid="{00000000-0005-0000-0000-000033070000}"/>
    <cellStyle name="標準 94 2 2 3" xfId="1829" xr:uid="{00000000-0005-0000-0000-000034070000}"/>
    <cellStyle name="標準 94 2 2 4" xfId="1830" xr:uid="{00000000-0005-0000-0000-000035070000}"/>
    <cellStyle name="標準 94 2 3" xfId="1831" xr:uid="{00000000-0005-0000-0000-000036070000}"/>
    <cellStyle name="標準 94 2 4" xfId="1832" xr:uid="{00000000-0005-0000-0000-000037070000}"/>
    <cellStyle name="標準 94 2 5" xfId="1833" xr:uid="{00000000-0005-0000-0000-000038070000}"/>
    <cellStyle name="標準 94 3" xfId="1834" xr:uid="{00000000-0005-0000-0000-000039070000}"/>
    <cellStyle name="標準 94 3 2" xfId="1835" xr:uid="{00000000-0005-0000-0000-00003A070000}"/>
    <cellStyle name="標準 94 3 3" xfId="1836" xr:uid="{00000000-0005-0000-0000-00003B070000}"/>
    <cellStyle name="標準 94 3 4" xfId="1837" xr:uid="{00000000-0005-0000-0000-00003C070000}"/>
    <cellStyle name="標準 94 4" xfId="1838" xr:uid="{00000000-0005-0000-0000-00003D070000}"/>
    <cellStyle name="標準 94 5" xfId="1839" xr:uid="{00000000-0005-0000-0000-00003E070000}"/>
    <cellStyle name="標準 94 6" xfId="1840" xr:uid="{00000000-0005-0000-0000-00003F070000}"/>
    <cellStyle name="標準 95" xfId="1841" xr:uid="{00000000-0005-0000-0000-000040070000}"/>
    <cellStyle name="標準 95 2" xfId="1842" xr:uid="{00000000-0005-0000-0000-000041070000}"/>
    <cellStyle name="標準 95 2 2" xfId="1843" xr:uid="{00000000-0005-0000-0000-000042070000}"/>
    <cellStyle name="標準 95 2 2 2" xfId="1844" xr:uid="{00000000-0005-0000-0000-000043070000}"/>
    <cellStyle name="標準 95 2 2 3" xfId="1845" xr:uid="{00000000-0005-0000-0000-000044070000}"/>
    <cellStyle name="標準 95 2 2 4" xfId="1846" xr:uid="{00000000-0005-0000-0000-000045070000}"/>
    <cellStyle name="標準 95 2 3" xfId="1847" xr:uid="{00000000-0005-0000-0000-000046070000}"/>
    <cellStyle name="標準 95 2 4" xfId="1848" xr:uid="{00000000-0005-0000-0000-000047070000}"/>
    <cellStyle name="標準 95 2 5" xfId="1849" xr:uid="{00000000-0005-0000-0000-000048070000}"/>
    <cellStyle name="標準 95 3" xfId="1850" xr:uid="{00000000-0005-0000-0000-000049070000}"/>
    <cellStyle name="標準 95 3 2" xfId="1851" xr:uid="{00000000-0005-0000-0000-00004A070000}"/>
    <cellStyle name="標準 95 3 3" xfId="1852" xr:uid="{00000000-0005-0000-0000-00004B070000}"/>
    <cellStyle name="標準 95 3 4" xfId="1853" xr:uid="{00000000-0005-0000-0000-00004C070000}"/>
    <cellStyle name="標準 95 4" xfId="1854" xr:uid="{00000000-0005-0000-0000-00004D070000}"/>
    <cellStyle name="標準 95 5" xfId="1855" xr:uid="{00000000-0005-0000-0000-00004E070000}"/>
    <cellStyle name="標準 95 6" xfId="1856" xr:uid="{00000000-0005-0000-0000-00004F070000}"/>
    <cellStyle name="標準 96" xfId="1857" xr:uid="{00000000-0005-0000-0000-000050070000}"/>
    <cellStyle name="標準 96 2" xfId="1858" xr:uid="{00000000-0005-0000-0000-000051070000}"/>
    <cellStyle name="標準 96 2 2" xfId="1859" xr:uid="{00000000-0005-0000-0000-000052070000}"/>
    <cellStyle name="標準 96 2 2 2" xfId="1860" xr:uid="{00000000-0005-0000-0000-000053070000}"/>
    <cellStyle name="標準 96 2 2 3" xfId="1861" xr:uid="{00000000-0005-0000-0000-000054070000}"/>
    <cellStyle name="標準 96 2 2 4" xfId="1862" xr:uid="{00000000-0005-0000-0000-000055070000}"/>
    <cellStyle name="標準 96 2 3" xfId="1863" xr:uid="{00000000-0005-0000-0000-000056070000}"/>
    <cellStyle name="標準 96 2 4" xfId="1864" xr:uid="{00000000-0005-0000-0000-000057070000}"/>
    <cellStyle name="標準 96 2 5" xfId="1865" xr:uid="{00000000-0005-0000-0000-000058070000}"/>
    <cellStyle name="標準 96 3" xfId="1866" xr:uid="{00000000-0005-0000-0000-000059070000}"/>
    <cellStyle name="標準 96 3 2" xfId="1867" xr:uid="{00000000-0005-0000-0000-00005A070000}"/>
    <cellStyle name="標準 96 3 3" xfId="1868" xr:uid="{00000000-0005-0000-0000-00005B070000}"/>
    <cellStyle name="標準 96 3 4" xfId="1869" xr:uid="{00000000-0005-0000-0000-00005C070000}"/>
    <cellStyle name="標準 96 4" xfId="1870" xr:uid="{00000000-0005-0000-0000-00005D070000}"/>
    <cellStyle name="標準 96 5" xfId="1871" xr:uid="{00000000-0005-0000-0000-00005E070000}"/>
    <cellStyle name="標準 96 6" xfId="1872" xr:uid="{00000000-0005-0000-0000-00005F070000}"/>
    <cellStyle name="標準 97" xfId="1873" xr:uid="{00000000-0005-0000-0000-000060070000}"/>
    <cellStyle name="標準 97 2" xfId="1874" xr:uid="{00000000-0005-0000-0000-000061070000}"/>
    <cellStyle name="標準 97 2 2" xfId="1875" xr:uid="{00000000-0005-0000-0000-000062070000}"/>
    <cellStyle name="標準 97 2 2 2" xfId="1876" xr:uid="{00000000-0005-0000-0000-000063070000}"/>
    <cellStyle name="標準 97 2 2 3" xfId="1877" xr:uid="{00000000-0005-0000-0000-000064070000}"/>
    <cellStyle name="標準 97 2 2 4" xfId="1878" xr:uid="{00000000-0005-0000-0000-000065070000}"/>
    <cellStyle name="標準 97 2 3" xfId="1879" xr:uid="{00000000-0005-0000-0000-000066070000}"/>
    <cellStyle name="標準 97 2 4" xfId="1880" xr:uid="{00000000-0005-0000-0000-000067070000}"/>
    <cellStyle name="標準 97 2 5" xfId="1881" xr:uid="{00000000-0005-0000-0000-000068070000}"/>
    <cellStyle name="標準 97 3" xfId="1882" xr:uid="{00000000-0005-0000-0000-000069070000}"/>
    <cellStyle name="標準 97 3 2" xfId="1883" xr:uid="{00000000-0005-0000-0000-00006A070000}"/>
    <cellStyle name="標準 97 3 3" xfId="1884" xr:uid="{00000000-0005-0000-0000-00006B070000}"/>
    <cellStyle name="標準 97 3 4" xfId="1885" xr:uid="{00000000-0005-0000-0000-00006C070000}"/>
    <cellStyle name="標準 97 4" xfId="1886" xr:uid="{00000000-0005-0000-0000-00006D070000}"/>
    <cellStyle name="標準 97 5" xfId="1887" xr:uid="{00000000-0005-0000-0000-00006E070000}"/>
    <cellStyle name="標準 97 6" xfId="1888" xr:uid="{00000000-0005-0000-0000-00006F070000}"/>
    <cellStyle name="標準 98" xfId="1889" xr:uid="{00000000-0005-0000-0000-000070070000}"/>
    <cellStyle name="標準 98 2" xfId="1890" xr:uid="{00000000-0005-0000-0000-000071070000}"/>
    <cellStyle name="標準 98 2 2" xfId="1891" xr:uid="{00000000-0005-0000-0000-000072070000}"/>
    <cellStyle name="標準 98 2 2 2" xfId="1892" xr:uid="{00000000-0005-0000-0000-000073070000}"/>
    <cellStyle name="標準 98 2 2 3" xfId="1893" xr:uid="{00000000-0005-0000-0000-000074070000}"/>
    <cellStyle name="標準 98 2 2 4" xfId="1894" xr:uid="{00000000-0005-0000-0000-000075070000}"/>
    <cellStyle name="標準 98 2 3" xfId="1895" xr:uid="{00000000-0005-0000-0000-000076070000}"/>
    <cellStyle name="標準 98 2 4" xfId="1896" xr:uid="{00000000-0005-0000-0000-000077070000}"/>
    <cellStyle name="標準 98 2 5" xfId="1897" xr:uid="{00000000-0005-0000-0000-000078070000}"/>
    <cellStyle name="標準 98 3" xfId="1898" xr:uid="{00000000-0005-0000-0000-000079070000}"/>
    <cellStyle name="標準 98 3 2" xfId="1899" xr:uid="{00000000-0005-0000-0000-00007A070000}"/>
    <cellStyle name="標準 98 3 3" xfId="1900" xr:uid="{00000000-0005-0000-0000-00007B070000}"/>
    <cellStyle name="標準 98 3 4" xfId="1901" xr:uid="{00000000-0005-0000-0000-00007C070000}"/>
    <cellStyle name="標準 98 4" xfId="1902" xr:uid="{00000000-0005-0000-0000-00007D070000}"/>
    <cellStyle name="標準 98 5" xfId="1903" xr:uid="{00000000-0005-0000-0000-00007E070000}"/>
    <cellStyle name="標準 98 6" xfId="1904" xr:uid="{00000000-0005-0000-0000-00007F070000}"/>
    <cellStyle name="標準 99" xfId="1905" xr:uid="{00000000-0005-0000-0000-000080070000}"/>
    <cellStyle name="標準 99 2" xfId="1906" xr:uid="{00000000-0005-0000-0000-000081070000}"/>
    <cellStyle name="標準 99 2 2" xfId="1907" xr:uid="{00000000-0005-0000-0000-000082070000}"/>
    <cellStyle name="標準 99 2 2 2" xfId="1908" xr:uid="{00000000-0005-0000-0000-000083070000}"/>
    <cellStyle name="標準 99 2 2 3" xfId="1909" xr:uid="{00000000-0005-0000-0000-000084070000}"/>
    <cellStyle name="標準 99 2 2 4" xfId="1910" xr:uid="{00000000-0005-0000-0000-000085070000}"/>
    <cellStyle name="標準 99 2 3" xfId="1911" xr:uid="{00000000-0005-0000-0000-000086070000}"/>
    <cellStyle name="標準 99 2 4" xfId="1912" xr:uid="{00000000-0005-0000-0000-000087070000}"/>
    <cellStyle name="標準 99 2 5" xfId="1913" xr:uid="{00000000-0005-0000-0000-000088070000}"/>
    <cellStyle name="標準 99 3" xfId="1914" xr:uid="{00000000-0005-0000-0000-000089070000}"/>
    <cellStyle name="標準 99 3 2" xfId="1915" xr:uid="{00000000-0005-0000-0000-00008A070000}"/>
    <cellStyle name="標準 99 3 3" xfId="1916" xr:uid="{00000000-0005-0000-0000-00008B070000}"/>
    <cellStyle name="標準 99 3 4" xfId="1917" xr:uid="{00000000-0005-0000-0000-00008C070000}"/>
    <cellStyle name="標準 99 4" xfId="1918" xr:uid="{00000000-0005-0000-0000-00008D070000}"/>
    <cellStyle name="標準 99 5" xfId="1919" xr:uid="{00000000-0005-0000-0000-00008E070000}"/>
    <cellStyle name="標準 99 6" xfId="1920" xr:uid="{00000000-0005-0000-0000-00008F070000}"/>
    <cellStyle name="標準１" xfId="1921" xr:uid="{00000000-0005-0000-0000-000090070000}"/>
    <cellStyle name="標準10" xfId="1922" xr:uid="{00000000-0005-0000-0000-000091070000}"/>
    <cellStyle name="標準12" xfId="1923" xr:uid="{00000000-0005-0000-0000-000092070000}"/>
    <cellStyle name="文字列" xfId="1924" xr:uid="{00000000-0005-0000-0000-000093070000}"/>
    <cellStyle name="未定義" xfId="12" xr:uid="{00000000-0005-0000-0000-000094070000}"/>
    <cellStyle name="未定義 2" xfId="1925" xr:uid="{00000000-0005-0000-0000-000095070000}"/>
    <cellStyle name="未定義 3" xfId="1926" xr:uid="{00000000-0005-0000-0000-000096070000}"/>
    <cellStyle name="未定義_030_上場有価証券総括表_詳細設計書_府令改正対応" xfId="1927" xr:uid="{00000000-0005-0000-0000-000097070000}"/>
    <cellStyle name="良い 2" xfId="1928" xr:uid="{00000000-0005-0000-0000-000098070000}"/>
    <cellStyle name="良い 3" xfId="1929" xr:uid="{00000000-0005-0000-0000-000099070000}"/>
    <cellStyle name="良い 4" xfId="1930" xr:uid="{00000000-0005-0000-0000-00009A070000}"/>
    <cellStyle name="良い 5" xfId="1931" xr:uid="{00000000-0005-0000-0000-00009B070000}"/>
    <cellStyle name="良い 6" xfId="1932" xr:uid="{00000000-0005-0000-0000-00009C070000}"/>
    <cellStyle name="良い 7" xfId="1933" xr:uid="{00000000-0005-0000-0000-00009D070000}"/>
    <cellStyle name="良い 8" xfId="1934" xr:uid="{00000000-0005-0000-0000-00009E070000}"/>
    <cellStyle name="良い 9" xfId="1935" xr:uid="{00000000-0005-0000-0000-00009F070000}"/>
    <cellStyle name="표준_4.3.1_取引処理（取引処理制御１－１）" xfId="1936" xr:uid="{00000000-0005-0000-0000-0000A0070000}"/>
  </cellStyles>
  <dxfs count="0"/>
  <tableStyles count="0" defaultTableStyle="TableStyleMedium2" defaultPivotStyle="PivotStyleLight16"/>
  <colors>
    <mruColors>
      <color rgb="FFFF00FF"/>
      <color rgb="FFFFEBFF"/>
      <color rgb="FFCCFFCC"/>
      <color rgb="FF99FF99"/>
      <color rgb="FF66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28576</xdr:colOff>
      <xdr:row>0</xdr:row>
      <xdr:rowOff>28575</xdr:rowOff>
    </xdr:from>
    <xdr:ext cx="9486900" cy="333376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F03A94E-CDA6-4FD9-8515-9C2991C5F841}"/>
            </a:ext>
          </a:extLst>
        </xdr:cNvPr>
        <xdr:cNvSpPr/>
      </xdr:nvSpPr>
      <xdr:spPr>
        <a:xfrm>
          <a:off x="20231101" y="28575"/>
          <a:ext cx="9486900" cy="3333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36000" tIns="0" rIns="0" bIns="0" rtlCol="0" anchor="ctr">
          <a:noAutofit/>
        </a:bodyPr>
        <a:lstStyle/>
        <a:p>
          <a:pPr algn="l"/>
          <a:r>
            <a:rPr kumimoji="1" lang="en-US" altLang="ja-JP" sz="800" kern="0" spc="0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800" kern="0" spc="0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建玉現在高は月末現在。ただし、*印は限月到来銘柄の最終建玉高。商品先物（現物先物取引）の最終建玉高は「本受渡高」を意味する。</a:t>
          </a:r>
        </a:p>
        <a:p>
          <a:pPr algn="l"/>
          <a:r>
            <a:rPr kumimoji="1" lang="en-US" altLang="ja-JP" sz="800" kern="0" spc="0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Open interest is as of end of month. * is a final position of the contract month. The final position for Commodity futures (physically-delivered futures) means "Basic Delivery Volume".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5">
            <a:lumMod val="20000"/>
            <a:lumOff val="80000"/>
          </a:schemeClr>
        </a:solidFill>
        <a:ln>
          <a:solidFill>
            <a:schemeClr val="accent5">
              <a:lumMod val="50000"/>
            </a:schemeClr>
          </a:solidFill>
        </a:ln>
      </a:spPr>
      <a:bodyPr vertOverflow="clip" horzOverflow="clip" rtlCol="0" anchor="t"/>
      <a:lstStyle>
        <a:defPPr algn="l">
          <a:defRPr kumimoji="1" sz="10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D270"/>
  <sheetViews>
    <sheetView showGridLines="0" tabSelected="1" view="pageBreakPreview" zoomScaleNormal="100" zoomScaleSheetLayoutView="100" workbookViewId="0">
      <pane ySplit="6" topLeftCell="A7" activePane="bottomLeft" state="frozen"/>
      <selection pane="bottomLeft" activeCell="A7" sqref="A7"/>
    </sheetView>
  </sheetViews>
  <sheetFormatPr defaultRowHeight="13.5"/>
  <cols>
    <col min="1" max="1" customWidth="true" style="20" width="10.625" collapsed="false"/>
    <col min="2" max="2" bestFit="true" customWidth="true" style="20" width="25.75" collapsed="false"/>
    <col min="3" max="3" bestFit="true" customWidth="true" style="20" width="34.5" collapsed="false"/>
    <col min="4" max="4" bestFit="true" customWidth="true" style="20" width="10.25" collapsed="false"/>
    <col min="5" max="5" customWidth="true" style="20" width="10.25" collapsed="false"/>
    <col min="6" max="6" bestFit="true" customWidth="true" style="20" width="10.25" collapsed="false"/>
    <col min="7" max="7" customWidth="true" style="20" width="10.25" collapsed="false"/>
    <col min="8" max="8" customWidth="true" style="20" width="5.25" collapsed="false"/>
    <col min="9" max="9" customWidth="true" style="20" width="15.25" collapsed="false"/>
    <col min="10" max="10" customWidth="true" style="20" width="5.25" collapsed="false"/>
    <col min="11" max="11" customWidth="true" style="20" width="15.25" collapsed="false"/>
    <col min="12" max="12" customWidth="true" style="20" width="5.25" collapsed="false"/>
    <col min="13" max="13" customWidth="true" style="20" width="15.25" collapsed="false"/>
    <col min="14" max="14" customWidth="true" style="20" width="5.25" collapsed="false"/>
    <col min="15" max="15" customWidth="true" style="20" width="15.25" collapsed="false"/>
    <col min="16" max="16" customWidth="true" style="20" width="5.25" collapsed="false"/>
    <col min="17" max="17" customWidth="true" style="20" width="15.25" collapsed="false"/>
    <col min="18" max="18" customWidth="true" style="20" width="5.25" collapsed="false"/>
    <col min="19" max="20" customWidth="true" style="20" width="15.25" collapsed="false"/>
    <col min="21" max="23" customWidth="true" style="20" width="15.0" collapsed="false"/>
    <col min="24" max="26" customWidth="true" style="20" width="21.25" collapsed="false"/>
    <col min="27" max="27" bestFit="true" customWidth="true" style="20" width="2.375" collapsed="false"/>
    <col min="28" max="28" customWidth="true" style="20" width="15.25" collapsed="false"/>
    <col min="29" max="29" customWidth="true" style="20" width="17.625" collapsed="false"/>
    <col min="30" max="30" bestFit="true" customWidth="true" style="20" width="7.0" collapsed="false"/>
    <col min="31" max="16384" style="8" width="9.0" collapsed="false"/>
  </cols>
  <sheetData>
    <row r="1" spans="1:30" s="1" customFormat="1" ht="30" customHeight="1">
      <c r="A1" s="49" t="s">
        <v>20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2"/>
      <c r="M1" s="2"/>
      <c r="N1" s="2"/>
      <c r="O1" s="2"/>
      <c r="P1" s="2"/>
      <c r="Q1" s="2"/>
      <c r="R1" s="2"/>
      <c r="S1" s="2"/>
      <c r="T1" s="2"/>
      <c r="U1" s="2"/>
      <c r="V1" s="4"/>
      <c r="W1" s="4"/>
      <c r="X1" s="4"/>
      <c r="Y1" s="5"/>
      <c r="Z1" s="5"/>
      <c r="AA1" s="5"/>
      <c r="AB1" s="5"/>
      <c r="AC1" s="5"/>
      <c r="AD1" s="6"/>
    </row>
    <row r="2" spans="1:30" s="1" customFormat="1" ht="30" customHeight="1">
      <c r="A2" s="51" t="s">
        <v>21</v>
      </c>
      <c r="B2" s="52"/>
      <c r="C2" s="52"/>
      <c r="D2" s="21"/>
      <c r="E2" s="22"/>
      <c r="F2" s="23"/>
      <c r="G2" s="22"/>
      <c r="H2" s="22"/>
      <c r="I2" s="22"/>
      <c r="J2" s="31"/>
      <c r="K2" s="31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3"/>
      <c r="Y2" s="24"/>
      <c r="Z2" s="25" t="s">
        <v>28</v>
      </c>
      <c r="AA2" s="53" t="n">
        <f>DATE(LEFT(A7,4),RIGHT(A7,2)+1,1)-1</f>
        <v>46203.0</v>
      </c>
      <c r="AB2" s="53"/>
      <c r="AC2" s="26"/>
      <c r="AD2" s="27" t="s">
        <v>29</v>
      </c>
    </row>
    <row r="3" spans="1:30" s="1" customFormat="1" ht="14.1" customHeight="1">
      <c r="A3" s="54" t="s">
        <v>0</v>
      </c>
      <c r="B3" s="36" t="s">
        <v>7</v>
      </c>
      <c r="C3" s="36" t="s">
        <v>19</v>
      </c>
      <c r="D3" s="38" t="s">
        <v>1</v>
      </c>
      <c r="E3" s="56" t="s">
        <v>5</v>
      </c>
      <c r="F3" s="57"/>
      <c r="G3" s="38" t="s">
        <v>30</v>
      </c>
      <c r="H3" s="61" t="s">
        <v>18</v>
      </c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38" t="s">
        <v>31</v>
      </c>
      <c r="U3" s="63" t="s">
        <v>17</v>
      </c>
      <c r="V3" s="64"/>
      <c r="W3" s="65"/>
      <c r="X3" s="63" t="s">
        <v>16</v>
      </c>
      <c r="Y3" s="64"/>
      <c r="Z3" s="65"/>
      <c r="AA3" s="58" t="s">
        <v>32</v>
      </c>
      <c r="AB3" s="59"/>
      <c r="AC3" s="36" t="s">
        <v>22</v>
      </c>
      <c r="AD3" s="39" t="s">
        <v>33</v>
      </c>
    </row>
    <row r="4" spans="1:30" s="1" customFormat="1" ht="9" customHeight="1">
      <c r="A4" s="55"/>
      <c r="B4" s="37"/>
      <c r="C4" s="37"/>
      <c r="D4" s="48"/>
      <c r="E4" s="58"/>
      <c r="F4" s="59"/>
      <c r="G4" s="48"/>
      <c r="H4" s="41" t="s">
        <v>6</v>
      </c>
      <c r="I4" s="43" t="s">
        <v>34</v>
      </c>
      <c r="J4" s="41" t="s">
        <v>6</v>
      </c>
      <c r="K4" s="45" t="s">
        <v>35</v>
      </c>
      <c r="L4" s="47" t="s">
        <v>2</v>
      </c>
      <c r="M4" s="47"/>
      <c r="N4" s="41" t="s">
        <v>6</v>
      </c>
      <c r="O4" s="45" t="s">
        <v>36</v>
      </c>
      <c r="P4" s="47" t="s">
        <v>2</v>
      </c>
      <c r="Q4" s="47"/>
      <c r="R4" s="41" t="s">
        <v>6</v>
      </c>
      <c r="S4" s="43" t="s">
        <v>37</v>
      </c>
      <c r="T4" s="48"/>
      <c r="U4" s="38" t="s">
        <v>3</v>
      </c>
      <c r="V4" s="48" t="s">
        <v>38</v>
      </c>
      <c r="W4" s="48" t="s">
        <v>24</v>
      </c>
      <c r="X4" s="38" t="s">
        <v>3</v>
      </c>
      <c r="Y4" s="48" t="s">
        <v>39</v>
      </c>
      <c r="Z4" s="48" t="s">
        <v>26</v>
      </c>
      <c r="AA4" s="58"/>
      <c r="AB4" s="59"/>
      <c r="AC4" s="37"/>
      <c r="AD4" s="40"/>
    </row>
    <row r="5" spans="1:30" s="1" customFormat="1" ht="27" customHeight="1">
      <c r="A5" s="55"/>
      <c r="B5" s="37"/>
      <c r="C5" s="37"/>
      <c r="D5" s="48"/>
      <c r="E5" s="60"/>
      <c r="F5" s="44"/>
      <c r="G5" s="48"/>
      <c r="H5" s="42"/>
      <c r="I5" s="44"/>
      <c r="J5" s="42"/>
      <c r="K5" s="46"/>
      <c r="L5" s="28" t="s">
        <v>15</v>
      </c>
      <c r="M5" s="7" t="s">
        <v>40</v>
      </c>
      <c r="N5" s="42"/>
      <c r="O5" s="46"/>
      <c r="P5" s="28" t="s">
        <v>15</v>
      </c>
      <c r="Q5" s="7" t="s">
        <v>40</v>
      </c>
      <c r="R5" s="42"/>
      <c r="S5" s="44"/>
      <c r="T5" s="48"/>
      <c r="U5" s="38"/>
      <c r="V5" s="48"/>
      <c r="W5" s="48"/>
      <c r="X5" s="38"/>
      <c r="Y5" s="48"/>
      <c r="Z5" s="48"/>
      <c r="AA5" s="58"/>
      <c r="AB5" s="44"/>
      <c r="AC5" s="38"/>
      <c r="AD5" s="40"/>
    </row>
    <row r="6" spans="1:30" s="1" customFormat="1" ht="36" customHeight="1">
      <c r="A6" s="33" t="s">
        <v>14</v>
      </c>
      <c r="B6" s="38"/>
      <c r="C6" s="38"/>
      <c r="D6" s="30" t="s">
        <v>4</v>
      </c>
      <c r="E6" s="34" t="s">
        <v>13</v>
      </c>
      <c r="F6" s="35"/>
      <c r="G6" s="30" t="s">
        <v>41</v>
      </c>
      <c r="H6" s="28" t="s">
        <v>12</v>
      </c>
      <c r="I6" s="32" t="s">
        <v>42</v>
      </c>
      <c r="J6" s="28" t="s">
        <v>12</v>
      </c>
      <c r="K6" s="7" t="s">
        <v>43</v>
      </c>
      <c r="L6" s="28" t="s">
        <v>12</v>
      </c>
      <c r="M6" s="7" t="s">
        <v>44</v>
      </c>
      <c r="N6" s="28" t="s">
        <v>12</v>
      </c>
      <c r="O6" s="7" t="s">
        <v>45</v>
      </c>
      <c r="P6" s="28" t="s">
        <v>12</v>
      </c>
      <c r="Q6" s="7" t="s">
        <v>44</v>
      </c>
      <c r="R6" s="28" t="s">
        <v>12</v>
      </c>
      <c r="S6" s="7" t="s">
        <v>46</v>
      </c>
      <c r="T6" s="30" t="s">
        <v>47</v>
      </c>
      <c r="U6" s="30" t="s">
        <v>11</v>
      </c>
      <c r="V6" s="30" t="s">
        <v>48</v>
      </c>
      <c r="W6" s="30" t="s">
        <v>25</v>
      </c>
      <c r="X6" s="30" t="s">
        <v>10</v>
      </c>
      <c r="Y6" s="30" t="s">
        <v>44</v>
      </c>
      <c r="Z6" s="30" t="s">
        <v>27</v>
      </c>
      <c r="AA6" s="34" t="s">
        <v>9</v>
      </c>
      <c r="AB6" s="35"/>
      <c r="AC6" s="7" t="s">
        <v>23</v>
      </c>
      <c r="AD6" s="29" t="s">
        <v>8</v>
      </c>
    </row>
    <row r="7" spans="1:30">
      <c r="A7" s="9" t="s">
        <v>49</v>
      </c>
      <c r="B7" s="10" t="s">
        <v>50</v>
      </c>
      <c r="C7" s="10" t="s">
        <v>51</v>
      </c>
      <c r="D7" s="10" t="s">
        <v>52</v>
      </c>
      <c r="E7" s="11" t="s">
        <v>53</v>
      </c>
      <c r="F7" s="11" t="s">
        <v>54</v>
      </c>
      <c r="G7" s="12" t="n">
        <v>50.0</v>
      </c>
      <c r="H7" s="13"/>
      <c r="I7" s="14" t="s">
        <v>55</v>
      </c>
      <c r="J7" s="13"/>
      <c r="K7" s="14" t="s">
        <v>55</v>
      </c>
      <c r="L7" s="13"/>
      <c r="M7" s="14"/>
      <c r="N7" s="13"/>
      <c r="O7" s="14" t="s">
        <v>55</v>
      </c>
      <c r="P7" s="13"/>
      <c r="Q7" s="14"/>
      <c r="R7" s="13"/>
      <c r="S7" s="14" t="s">
        <v>55</v>
      </c>
      <c r="T7" s="15" t="n">
        <f>99052.63</f>
        <v>99052.63</v>
      </c>
      <c r="U7" s="16" t="str">
        <f>"－"</f>
        <v>－</v>
      </c>
      <c r="V7" s="16"/>
      <c r="W7" s="16"/>
      <c r="X7" s="16" t="str">
        <f>"－"</f>
        <v>－</v>
      </c>
      <c r="Y7" s="16"/>
      <c r="Z7" s="17"/>
      <c r="AA7" s="13" t="s">
        <v>56</v>
      </c>
      <c r="AB7" s="18" t="str">
        <f>"－"</f>
        <v>－</v>
      </c>
      <c r="AC7" s="18" t="str">
        <f>"－"</f>
        <v>－</v>
      </c>
      <c r="AD7" s="19" t="str">
        <f>"－"</f>
        <v>－</v>
      </c>
    </row>
    <row r="8">
      <c r="A8" s="9" t="s">
        <v>49</v>
      </c>
      <c r="B8" s="10" t="s">
        <v>50</v>
      </c>
      <c r="C8" s="10" t="s">
        <v>51</v>
      </c>
      <c r="D8" s="10" t="s">
        <v>57</v>
      </c>
      <c r="E8" s="11" t="s">
        <v>58</v>
      </c>
      <c r="F8" s="11" t="s">
        <v>59</v>
      </c>
      <c r="G8" s="12" t="n">
        <v>50.0</v>
      </c>
      <c r="H8" s="13"/>
      <c r="I8" s="14" t="s">
        <v>55</v>
      </c>
      <c r="J8" s="13"/>
      <c r="K8" s="14" t="s">
        <v>55</v>
      </c>
      <c r="L8" s="13"/>
      <c r="M8" s="14"/>
      <c r="N8" s="13"/>
      <c r="O8" s="14" t="s">
        <v>55</v>
      </c>
      <c r="P8" s="13"/>
      <c r="Q8" s="14"/>
      <c r="R8" s="13"/>
      <c r="S8" s="14" t="s">
        <v>55</v>
      </c>
      <c r="T8" s="15" t="n">
        <f>98772.73</f>
        <v>98772.73</v>
      </c>
      <c r="U8" s="16" t="str">
        <f>"－"</f>
        <v>－</v>
      </c>
      <c r="V8" s="16"/>
      <c r="W8" s="16"/>
      <c r="X8" s="16" t="str">
        <f>"－"</f>
        <v>－</v>
      </c>
      <c r="Y8" s="16"/>
      <c r="Z8" s="17"/>
      <c r="AA8" s="13"/>
      <c r="AB8" s="18" t="str">
        <f>"－"</f>
        <v>－</v>
      </c>
      <c r="AC8" s="18" t="str">
        <f>"－"</f>
        <v>－</v>
      </c>
      <c r="AD8" s="19" t="str">
        <f>"－"</f>
        <v>－</v>
      </c>
    </row>
    <row r="9">
      <c r="A9" s="9" t="s">
        <v>49</v>
      </c>
      <c r="B9" s="10" t="s">
        <v>50</v>
      </c>
      <c r="C9" s="10" t="s">
        <v>51</v>
      </c>
      <c r="D9" s="10" t="s">
        <v>60</v>
      </c>
      <c r="E9" s="11" t="s">
        <v>61</v>
      </c>
      <c r="F9" s="11" t="s">
        <v>62</v>
      </c>
      <c r="G9" s="12" t="n">
        <v>50.0</v>
      </c>
      <c r="H9" s="13"/>
      <c r="I9" s="14" t="s">
        <v>55</v>
      </c>
      <c r="J9" s="13"/>
      <c r="K9" s="14" t="s">
        <v>55</v>
      </c>
      <c r="L9" s="13"/>
      <c r="M9" s="14"/>
      <c r="N9" s="13"/>
      <c r="O9" s="14" t="s">
        <v>55</v>
      </c>
      <c r="P9" s="13"/>
      <c r="Q9" s="14"/>
      <c r="R9" s="13"/>
      <c r="S9" s="14" t="s">
        <v>55</v>
      </c>
      <c r="T9" s="15" t="n">
        <f>98772.73</f>
        <v>98772.73</v>
      </c>
      <c r="U9" s="16" t="str">
        <f>"－"</f>
        <v>－</v>
      </c>
      <c r="V9" s="16"/>
      <c r="W9" s="16"/>
      <c r="X9" s="16" t="str">
        <f>"－"</f>
        <v>－</v>
      </c>
      <c r="Y9" s="16"/>
      <c r="Z9" s="17"/>
      <c r="AA9" s="13"/>
      <c r="AB9" s="18" t="str">
        <f>"－"</f>
        <v>－</v>
      </c>
      <c r="AC9" s="18" t="str">
        <f>"－"</f>
        <v>－</v>
      </c>
      <c r="AD9" s="19" t="str">
        <f>"－"</f>
        <v>－</v>
      </c>
    </row>
    <row r="10">
      <c r="A10" s="9" t="s">
        <v>49</v>
      </c>
      <c r="B10" s="10" t="s">
        <v>50</v>
      </c>
      <c r="C10" s="10" t="s">
        <v>51</v>
      </c>
      <c r="D10" s="10" t="s">
        <v>63</v>
      </c>
      <c r="E10" s="11" t="s">
        <v>64</v>
      </c>
      <c r="F10" s="11" t="s">
        <v>65</v>
      </c>
      <c r="G10" s="12" t="n">
        <v>50.0</v>
      </c>
      <c r="H10" s="13"/>
      <c r="I10" s="14" t="s">
        <v>55</v>
      </c>
      <c r="J10" s="13"/>
      <c r="K10" s="14" t="s">
        <v>55</v>
      </c>
      <c r="L10" s="13"/>
      <c r="M10" s="14"/>
      <c r="N10" s="13"/>
      <c r="O10" s="14" t="s">
        <v>55</v>
      </c>
      <c r="P10" s="13"/>
      <c r="Q10" s="14"/>
      <c r="R10" s="13"/>
      <c r="S10" s="14" t="s">
        <v>55</v>
      </c>
      <c r="T10" s="15" t="n">
        <f>98772.73</f>
        <v>98772.73</v>
      </c>
      <c r="U10" s="16" t="str">
        <f>"－"</f>
        <v>－</v>
      </c>
      <c r="V10" s="16"/>
      <c r="W10" s="16"/>
      <c r="X10" s="16" t="str">
        <f>"－"</f>
        <v>－</v>
      </c>
      <c r="Y10" s="16"/>
      <c r="Z10" s="17"/>
      <c r="AA10" s="13"/>
      <c r="AB10" s="18" t="str">
        <f>"－"</f>
        <v>－</v>
      </c>
      <c r="AC10" s="18" t="str">
        <f>"－"</f>
        <v>－</v>
      </c>
      <c r="AD10" s="19" t="str">
        <f>"－"</f>
        <v>－</v>
      </c>
    </row>
    <row r="11">
      <c r="A11" s="9" t="s">
        <v>49</v>
      </c>
      <c r="B11" s="10" t="s">
        <v>50</v>
      </c>
      <c r="C11" s="10" t="s">
        <v>51</v>
      </c>
      <c r="D11" s="10" t="s">
        <v>66</v>
      </c>
      <c r="E11" s="11" t="s">
        <v>67</v>
      </c>
      <c r="F11" s="11" t="s">
        <v>68</v>
      </c>
      <c r="G11" s="12" t="n">
        <v>50.0</v>
      </c>
      <c r="H11" s="13"/>
      <c r="I11" s="14" t="s">
        <v>55</v>
      </c>
      <c r="J11" s="13"/>
      <c r="K11" s="14" t="s">
        <v>55</v>
      </c>
      <c r="L11" s="13"/>
      <c r="M11" s="14"/>
      <c r="N11" s="13"/>
      <c r="O11" s="14" t="s">
        <v>55</v>
      </c>
      <c r="P11" s="13"/>
      <c r="Q11" s="14"/>
      <c r="R11" s="13"/>
      <c r="S11" s="14" t="s">
        <v>55</v>
      </c>
      <c r="T11" s="15" t="n">
        <f>98772.73</f>
        <v>98772.73</v>
      </c>
      <c r="U11" s="16" t="str">
        <f>"－"</f>
        <v>－</v>
      </c>
      <c r="V11" s="16"/>
      <c r="W11" s="16"/>
      <c r="X11" s="16" t="str">
        <f>"－"</f>
        <v>－</v>
      </c>
      <c r="Y11" s="16"/>
      <c r="Z11" s="17"/>
      <c r="AA11" s="13"/>
      <c r="AB11" s="18" t="str">
        <f>"－"</f>
        <v>－</v>
      </c>
      <c r="AC11" s="18" t="str">
        <f>"－"</f>
        <v>－</v>
      </c>
      <c r="AD11" s="19" t="str">
        <f>"－"</f>
        <v>－</v>
      </c>
    </row>
    <row r="12">
      <c r="A12" s="9" t="s">
        <v>49</v>
      </c>
      <c r="B12" s="10" t="s">
        <v>50</v>
      </c>
      <c r="C12" s="10" t="s">
        <v>51</v>
      </c>
      <c r="D12" s="10" t="s">
        <v>69</v>
      </c>
      <c r="E12" s="11" t="s">
        <v>70</v>
      </c>
      <c r="F12" s="11" t="s">
        <v>71</v>
      </c>
      <c r="G12" s="12" t="n">
        <v>50.0</v>
      </c>
      <c r="H12" s="13"/>
      <c r="I12" s="14" t="s">
        <v>55</v>
      </c>
      <c r="J12" s="13"/>
      <c r="K12" s="14" t="s">
        <v>55</v>
      </c>
      <c r="L12" s="13"/>
      <c r="M12" s="14"/>
      <c r="N12" s="13"/>
      <c r="O12" s="14" t="s">
        <v>55</v>
      </c>
      <c r="P12" s="13"/>
      <c r="Q12" s="14"/>
      <c r="R12" s="13"/>
      <c r="S12" s="14" t="s">
        <v>55</v>
      </c>
      <c r="T12" s="15" t="n">
        <f>98772.73</f>
        <v>98772.73</v>
      </c>
      <c r="U12" s="16" t="str">
        <f>"－"</f>
        <v>－</v>
      </c>
      <c r="V12" s="16"/>
      <c r="W12" s="16"/>
      <c r="X12" s="16" t="str">
        <f>"－"</f>
        <v>－</v>
      </c>
      <c r="Y12" s="16"/>
      <c r="Z12" s="17"/>
      <c r="AA12" s="13"/>
      <c r="AB12" s="18" t="str">
        <f>"－"</f>
        <v>－</v>
      </c>
      <c r="AC12" s="18" t="str">
        <f>"－"</f>
        <v>－</v>
      </c>
      <c r="AD12" s="19" t="str">
        <f>"－"</f>
        <v>－</v>
      </c>
    </row>
    <row r="13">
      <c r="A13" s="9" t="s">
        <v>49</v>
      </c>
      <c r="B13" s="10" t="s">
        <v>50</v>
      </c>
      <c r="C13" s="10" t="s">
        <v>51</v>
      </c>
      <c r="D13" s="10" t="s">
        <v>72</v>
      </c>
      <c r="E13" s="11" t="s">
        <v>73</v>
      </c>
      <c r="F13" s="11" t="s">
        <v>74</v>
      </c>
      <c r="G13" s="12" t="n">
        <v>50.0</v>
      </c>
      <c r="H13" s="13"/>
      <c r="I13" s="14" t="s">
        <v>55</v>
      </c>
      <c r="J13" s="13"/>
      <c r="K13" s="14" t="s">
        <v>55</v>
      </c>
      <c r="L13" s="13"/>
      <c r="M13" s="14"/>
      <c r="N13" s="13"/>
      <c r="O13" s="14" t="s">
        <v>55</v>
      </c>
      <c r="P13" s="13"/>
      <c r="Q13" s="14"/>
      <c r="R13" s="13"/>
      <c r="S13" s="14" t="s">
        <v>55</v>
      </c>
      <c r="T13" s="15" t="n">
        <f>97000</f>
        <v>97000.0</v>
      </c>
      <c r="U13" s="16" t="str">
        <f>"－"</f>
        <v>－</v>
      </c>
      <c r="V13" s="16"/>
      <c r="W13" s="16"/>
      <c r="X13" s="16" t="str">
        <f>"－"</f>
        <v>－</v>
      </c>
      <c r="Y13" s="16"/>
      <c r="Z13" s="17"/>
      <c r="AA13" s="13"/>
      <c r="AB13" s="18" t="str">
        <f>"－"</f>
        <v>－</v>
      </c>
      <c r="AC13" s="18" t="str">
        <f>"－"</f>
        <v>－</v>
      </c>
      <c r="AD13" s="19" t="str">
        <f>"－"</f>
        <v>－</v>
      </c>
    </row>
    <row r="14">
      <c r="A14" s="9" t="s">
        <v>49</v>
      </c>
      <c r="B14" s="10" t="s">
        <v>75</v>
      </c>
      <c r="C14" s="10" t="s">
        <v>76</v>
      </c>
      <c r="D14" s="10" t="s">
        <v>52</v>
      </c>
      <c r="E14" s="11" t="s">
        <v>53</v>
      </c>
      <c r="F14" s="11" t="s">
        <v>54</v>
      </c>
      <c r="G14" s="12" t="n">
        <v>50.0</v>
      </c>
      <c r="H14" s="13"/>
      <c r="I14" s="14" t="s">
        <v>55</v>
      </c>
      <c r="J14" s="13"/>
      <c r="K14" s="14" t="s">
        <v>55</v>
      </c>
      <c r="L14" s="13"/>
      <c r="M14" s="14"/>
      <c r="N14" s="13"/>
      <c r="O14" s="14" t="s">
        <v>55</v>
      </c>
      <c r="P14" s="13"/>
      <c r="Q14" s="14"/>
      <c r="R14" s="13"/>
      <c r="S14" s="14" t="s">
        <v>55</v>
      </c>
      <c r="T14" s="15" t="n">
        <f>109000</f>
        <v>109000.0</v>
      </c>
      <c r="U14" s="16" t="str">
        <f>"－"</f>
        <v>－</v>
      </c>
      <c r="V14" s="16"/>
      <c r="W14" s="16"/>
      <c r="X14" s="16" t="str">
        <f>"－"</f>
        <v>－</v>
      </c>
      <c r="Y14" s="16"/>
      <c r="Z14" s="17"/>
      <c r="AA14" s="13" t="s">
        <v>56</v>
      </c>
      <c r="AB14" s="18" t="str">
        <f>"－"</f>
        <v>－</v>
      </c>
      <c r="AC14" s="18" t="str">
        <f>"－"</f>
        <v>－</v>
      </c>
      <c r="AD14" s="19" t="str">
        <f>"－"</f>
        <v>－</v>
      </c>
    </row>
    <row r="15">
      <c r="A15" s="9" t="s">
        <v>49</v>
      </c>
      <c r="B15" s="10" t="s">
        <v>75</v>
      </c>
      <c r="C15" s="10" t="s">
        <v>76</v>
      </c>
      <c r="D15" s="10" t="s">
        <v>57</v>
      </c>
      <c r="E15" s="11" t="s">
        <v>58</v>
      </c>
      <c r="F15" s="11" t="s">
        <v>59</v>
      </c>
      <c r="G15" s="12" t="n">
        <v>50.0</v>
      </c>
      <c r="H15" s="13"/>
      <c r="I15" s="14" t="s">
        <v>55</v>
      </c>
      <c r="J15" s="13"/>
      <c r="K15" s="14" t="s">
        <v>55</v>
      </c>
      <c r="L15" s="13"/>
      <c r="M15" s="14"/>
      <c r="N15" s="13"/>
      <c r="O15" s="14" t="s">
        <v>55</v>
      </c>
      <c r="P15" s="13"/>
      <c r="Q15" s="14"/>
      <c r="R15" s="13"/>
      <c r="S15" s="14" t="s">
        <v>55</v>
      </c>
      <c r="T15" s="15" t="n">
        <f>108863.64</f>
        <v>108863.64</v>
      </c>
      <c r="U15" s="16" t="str">
        <f>"－"</f>
        <v>－</v>
      </c>
      <c r="V15" s="16"/>
      <c r="W15" s="16"/>
      <c r="X15" s="16" t="str">
        <f>"－"</f>
        <v>－</v>
      </c>
      <c r="Y15" s="16"/>
      <c r="Z15" s="17"/>
      <c r="AA15" s="13"/>
      <c r="AB15" s="18" t="str">
        <f>"－"</f>
        <v>－</v>
      </c>
      <c r="AC15" s="18" t="str">
        <f>"－"</f>
        <v>－</v>
      </c>
      <c r="AD15" s="19" t="str">
        <f>"－"</f>
        <v>－</v>
      </c>
    </row>
    <row r="16">
      <c r="A16" s="9" t="s">
        <v>49</v>
      </c>
      <c r="B16" s="10" t="s">
        <v>75</v>
      </c>
      <c r="C16" s="10" t="s">
        <v>76</v>
      </c>
      <c r="D16" s="10" t="s">
        <v>60</v>
      </c>
      <c r="E16" s="11" t="s">
        <v>61</v>
      </c>
      <c r="F16" s="11" t="s">
        <v>62</v>
      </c>
      <c r="G16" s="12" t="n">
        <v>50.0</v>
      </c>
      <c r="H16" s="13"/>
      <c r="I16" s="14" t="s">
        <v>55</v>
      </c>
      <c r="J16" s="13"/>
      <c r="K16" s="14" t="s">
        <v>55</v>
      </c>
      <c r="L16" s="13"/>
      <c r="M16" s="14"/>
      <c r="N16" s="13"/>
      <c r="O16" s="14" t="s">
        <v>55</v>
      </c>
      <c r="P16" s="13"/>
      <c r="Q16" s="14"/>
      <c r="R16" s="13"/>
      <c r="S16" s="14" t="s">
        <v>55</v>
      </c>
      <c r="T16" s="15" t="n">
        <f>108863.64</f>
        <v>108863.64</v>
      </c>
      <c r="U16" s="16" t="str">
        <f>"－"</f>
        <v>－</v>
      </c>
      <c r="V16" s="16"/>
      <c r="W16" s="16"/>
      <c r="X16" s="16" t="str">
        <f>"－"</f>
        <v>－</v>
      </c>
      <c r="Y16" s="16"/>
      <c r="Z16" s="17"/>
      <c r="AA16" s="13"/>
      <c r="AB16" s="18" t="str">
        <f>"－"</f>
        <v>－</v>
      </c>
      <c r="AC16" s="18" t="str">
        <f>"－"</f>
        <v>－</v>
      </c>
      <c r="AD16" s="19" t="str">
        <f>"－"</f>
        <v>－</v>
      </c>
    </row>
    <row r="17">
      <c r="A17" s="9" t="s">
        <v>49</v>
      </c>
      <c r="B17" s="10" t="s">
        <v>75</v>
      </c>
      <c r="C17" s="10" t="s">
        <v>76</v>
      </c>
      <c r="D17" s="10" t="s">
        <v>63</v>
      </c>
      <c r="E17" s="11" t="s">
        <v>64</v>
      </c>
      <c r="F17" s="11" t="s">
        <v>65</v>
      </c>
      <c r="G17" s="12" t="n">
        <v>50.0</v>
      </c>
      <c r="H17" s="13"/>
      <c r="I17" s="14" t="s">
        <v>55</v>
      </c>
      <c r="J17" s="13"/>
      <c r="K17" s="14" t="s">
        <v>55</v>
      </c>
      <c r="L17" s="13"/>
      <c r="M17" s="14"/>
      <c r="N17" s="13"/>
      <c r="O17" s="14" t="s">
        <v>55</v>
      </c>
      <c r="P17" s="13"/>
      <c r="Q17" s="14"/>
      <c r="R17" s="13"/>
      <c r="S17" s="14" t="s">
        <v>55</v>
      </c>
      <c r="T17" s="15" t="n">
        <f>108863.64</f>
        <v>108863.64</v>
      </c>
      <c r="U17" s="16" t="str">
        <f>"－"</f>
        <v>－</v>
      </c>
      <c r="V17" s="16"/>
      <c r="W17" s="16"/>
      <c r="X17" s="16" t="str">
        <f>"－"</f>
        <v>－</v>
      </c>
      <c r="Y17" s="16"/>
      <c r="Z17" s="17"/>
      <c r="AA17" s="13"/>
      <c r="AB17" s="18" t="str">
        <f>"－"</f>
        <v>－</v>
      </c>
      <c r="AC17" s="18" t="str">
        <f>"－"</f>
        <v>－</v>
      </c>
      <c r="AD17" s="19" t="str">
        <f>"－"</f>
        <v>－</v>
      </c>
    </row>
    <row r="18">
      <c r="A18" s="9" t="s">
        <v>49</v>
      </c>
      <c r="B18" s="10" t="s">
        <v>75</v>
      </c>
      <c r="C18" s="10" t="s">
        <v>76</v>
      </c>
      <c r="D18" s="10" t="s">
        <v>66</v>
      </c>
      <c r="E18" s="11" t="s">
        <v>67</v>
      </c>
      <c r="F18" s="11" t="s">
        <v>68</v>
      </c>
      <c r="G18" s="12" t="n">
        <v>50.0</v>
      </c>
      <c r="H18" s="13"/>
      <c r="I18" s="14" t="s">
        <v>55</v>
      </c>
      <c r="J18" s="13"/>
      <c r="K18" s="14" t="s">
        <v>55</v>
      </c>
      <c r="L18" s="13"/>
      <c r="M18" s="14"/>
      <c r="N18" s="13"/>
      <c r="O18" s="14" t="s">
        <v>55</v>
      </c>
      <c r="P18" s="13"/>
      <c r="Q18" s="14"/>
      <c r="R18" s="13"/>
      <c r="S18" s="14" t="s">
        <v>55</v>
      </c>
      <c r="T18" s="15" t="n">
        <f>108863.64</f>
        <v>108863.64</v>
      </c>
      <c r="U18" s="16" t="str">
        <f>"－"</f>
        <v>－</v>
      </c>
      <c r="V18" s="16"/>
      <c r="W18" s="16"/>
      <c r="X18" s="16" t="str">
        <f>"－"</f>
        <v>－</v>
      </c>
      <c r="Y18" s="16"/>
      <c r="Z18" s="17"/>
      <c r="AA18" s="13"/>
      <c r="AB18" s="18" t="str">
        <f>"－"</f>
        <v>－</v>
      </c>
      <c r="AC18" s="18" t="str">
        <f>"－"</f>
        <v>－</v>
      </c>
      <c r="AD18" s="19" t="str">
        <f>"－"</f>
        <v>－</v>
      </c>
    </row>
    <row r="19">
      <c r="A19" s="9" t="s">
        <v>49</v>
      </c>
      <c r="B19" s="10" t="s">
        <v>75</v>
      </c>
      <c r="C19" s="10" t="s">
        <v>76</v>
      </c>
      <c r="D19" s="10" t="s">
        <v>69</v>
      </c>
      <c r="E19" s="11" t="s">
        <v>70</v>
      </c>
      <c r="F19" s="11" t="s">
        <v>71</v>
      </c>
      <c r="G19" s="12" t="n">
        <v>50.0</v>
      </c>
      <c r="H19" s="13"/>
      <c r="I19" s="14" t="s">
        <v>55</v>
      </c>
      <c r="J19" s="13"/>
      <c r="K19" s="14" t="s">
        <v>55</v>
      </c>
      <c r="L19" s="13"/>
      <c r="M19" s="14"/>
      <c r="N19" s="13"/>
      <c r="O19" s="14" t="s">
        <v>55</v>
      </c>
      <c r="P19" s="13"/>
      <c r="Q19" s="14"/>
      <c r="R19" s="13"/>
      <c r="S19" s="14" t="s">
        <v>55</v>
      </c>
      <c r="T19" s="15" t="n">
        <f>108863.64</f>
        <v>108863.64</v>
      </c>
      <c r="U19" s="16" t="str">
        <f>"－"</f>
        <v>－</v>
      </c>
      <c r="V19" s="16"/>
      <c r="W19" s="16"/>
      <c r="X19" s="16" t="str">
        <f>"－"</f>
        <v>－</v>
      </c>
      <c r="Y19" s="16"/>
      <c r="Z19" s="17"/>
      <c r="AA19" s="13"/>
      <c r="AB19" s="18" t="str">
        <f>"－"</f>
        <v>－</v>
      </c>
      <c r="AC19" s="18" t="str">
        <f>"－"</f>
        <v>－</v>
      </c>
      <c r="AD19" s="19" t="str">
        <f>"－"</f>
        <v>－</v>
      </c>
    </row>
    <row r="20">
      <c r="A20" s="9" t="s">
        <v>49</v>
      </c>
      <c r="B20" s="10" t="s">
        <v>75</v>
      </c>
      <c r="C20" s="10" t="s">
        <v>76</v>
      </c>
      <c r="D20" s="10" t="s">
        <v>72</v>
      </c>
      <c r="E20" s="11" t="s">
        <v>73</v>
      </c>
      <c r="F20" s="11" t="s">
        <v>74</v>
      </c>
      <c r="G20" s="12" t="n">
        <v>50.0</v>
      </c>
      <c r="H20" s="13"/>
      <c r="I20" s="14" t="s">
        <v>55</v>
      </c>
      <c r="J20" s="13"/>
      <c r="K20" s="14" t="s">
        <v>55</v>
      </c>
      <c r="L20" s="13"/>
      <c r="M20" s="14"/>
      <c r="N20" s="13"/>
      <c r="O20" s="14" t="s">
        <v>55</v>
      </c>
      <c r="P20" s="13"/>
      <c r="Q20" s="14"/>
      <c r="R20" s="13"/>
      <c r="S20" s="14" t="s">
        <v>55</v>
      </c>
      <c r="T20" s="15" t="n">
        <f>108000</f>
        <v>108000.0</v>
      </c>
      <c r="U20" s="16" t="str">
        <f>"－"</f>
        <v>－</v>
      </c>
      <c r="V20" s="16"/>
      <c r="W20" s="16"/>
      <c r="X20" s="16" t="str">
        <f>"－"</f>
        <v>－</v>
      </c>
      <c r="Y20" s="16"/>
      <c r="Z20" s="17"/>
      <c r="AA20" s="13"/>
      <c r="AB20" s="18" t="str">
        <f>"－"</f>
        <v>－</v>
      </c>
      <c r="AC20" s="18" t="str">
        <f>"－"</f>
        <v>－</v>
      </c>
      <c r="AD20" s="19" t="str">
        <f>"－"</f>
        <v>－</v>
      </c>
    </row>
    <row r="21">
      <c r="A21" s="9" t="s">
        <v>49</v>
      </c>
      <c r="B21" s="10" t="s">
        <v>77</v>
      </c>
      <c r="C21" s="10" t="s">
        <v>78</v>
      </c>
      <c r="D21" s="10" t="s">
        <v>52</v>
      </c>
      <c r="E21" s="11" t="s">
        <v>53</v>
      </c>
      <c r="F21" s="11" t="s">
        <v>54</v>
      </c>
      <c r="G21" s="12" t="n">
        <v>50.0</v>
      </c>
      <c r="H21" s="13"/>
      <c r="I21" s="14" t="s">
        <v>55</v>
      </c>
      <c r="J21" s="13"/>
      <c r="K21" s="14" t="s">
        <v>55</v>
      </c>
      <c r="L21" s="13"/>
      <c r="M21" s="14"/>
      <c r="N21" s="13"/>
      <c r="O21" s="14" t="s">
        <v>55</v>
      </c>
      <c r="P21" s="13"/>
      <c r="Q21" s="14"/>
      <c r="R21" s="13"/>
      <c r="S21" s="14" t="s">
        <v>55</v>
      </c>
      <c r="T21" s="15" t="n">
        <f>106394.74</f>
        <v>106394.74</v>
      </c>
      <c r="U21" s="16" t="str">
        <f>"－"</f>
        <v>－</v>
      </c>
      <c r="V21" s="16"/>
      <c r="W21" s="16"/>
      <c r="X21" s="16" t="str">
        <f>"－"</f>
        <v>－</v>
      </c>
      <c r="Y21" s="16"/>
      <c r="Z21" s="17"/>
      <c r="AA21" s="13" t="s">
        <v>56</v>
      </c>
      <c r="AB21" s="18" t="str">
        <f>"－"</f>
        <v>－</v>
      </c>
      <c r="AC21" s="18" t="str">
        <f>"－"</f>
        <v>－</v>
      </c>
      <c r="AD21" s="19" t="str">
        <f>"－"</f>
        <v>－</v>
      </c>
    </row>
    <row r="22">
      <c r="A22" s="9" t="s">
        <v>49</v>
      </c>
      <c r="B22" s="10" t="s">
        <v>77</v>
      </c>
      <c r="C22" s="10" t="s">
        <v>78</v>
      </c>
      <c r="D22" s="10" t="s">
        <v>57</v>
      </c>
      <c r="E22" s="11" t="s">
        <v>58</v>
      </c>
      <c r="F22" s="11" t="s">
        <v>59</v>
      </c>
      <c r="G22" s="12" t="n">
        <v>50.0</v>
      </c>
      <c r="H22" s="13"/>
      <c r="I22" s="14" t="s">
        <v>55</v>
      </c>
      <c r="J22" s="13"/>
      <c r="K22" s="14" t="s">
        <v>55</v>
      </c>
      <c r="L22" s="13"/>
      <c r="M22" s="14"/>
      <c r="N22" s="13"/>
      <c r="O22" s="14" t="s">
        <v>55</v>
      </c>
      <c r="P22" s="13"/>
      <c r="Q22" s="14"/>
      <c r="R22" s="13"/>
      <c r="S22" s="14" t="s">
        <v>55</v>
      </c>
      <c r="T22" s="15" t="n">
        <f>105513.64</f>
        <v>105513.64</v>
      </c>
      <c r="U22" s="16" t="str">
        <f>"－"</f>
        <v>－</v>
      </c>
      <c r="V22" s="16"/>
      <c r="W22" s="16"/>
      <c r="X22" s="16" t="str">
        <f>"－"</f>
        <v>－</v>
      </c>
      <c r="Y22" s="16"/>
      <c r="Z22" s="17"/>
      <c r="AA22" s="13"/>
      <c r="AB22" s="18" t="str">
        <f>"－"</f>
        <v>－</v>
      </c>
      <c r="AC22" s="18" t="str">
        <f>"－"</f>
        <v>－</v>
      </c>
      <c r="AD22" s="19" t="str">
        <f>"－"</f>
        <v>－</v>
      </c>
    </row>
    <row r="23">
      <c r="A23" s="9" t="s">
        <v>49</v>
      </c>
      <c r="B23" s="10" t="s">
        <v>77</v>
      </c>
      <c r="C23" s="10" t="s">
        <v>78</v>
      </c>
      <c r="D23" s="10" t="s">
        <v>60</v>
      </c>
      <c r="E23" s="11" t="s">
        <v>61</v>
      </c>
      <c r="F23" s="11" t="s">
        <v>62</v>
      </c>
      <c r="G23" s="12" t="n">
        <v>50.0</v>
      </c>
      <c r="H23" s="13"/>
      <c r="I23" s="14" t="s">
        <v>55</v>
      </c>
      <c r="J23" s="13"/>
      <c r="K23" s="14" t="s">
        <v>55</v>
      </c>
      <c r="L23" s="13"/>
      <c r="M23" s="14"/>
      <c r="N23" s="13"/>
      <c r="O23" s="14" t="s">
        <v>55</v>
      </c>
      <c r="P23" s="13"/>
      <c r="Q23" s="14"/>
      <c r="R23" s="13"/>
      <c r="S23" s="14" t="s">
        <v>55</v>
      </c>
      <c r="T23" s="15" t="n">
        <f>104704.55</f>
        <v>104704.55</v>
      </c>
      <c r="U23" s="16" t="str">
        <f>"－"</f>
        <v>－</v>
      </c>
      <c r="V23" s="16"/>
      <c r="W23" s="16"/>
      <c r="X23" s="16" t="str">
        <f>"－"</f>
        <v>－</v>
      </c>
      <c r="Y23" s="16"/>
      <c r="Z23" s="17"/>
      <c r="AA23" s="13"/>
      <c r="AB23" s="18" t="str">
        <f>"－"</f>
        <v>－</v>
      </c>
      <c r="AC23" s="18" t="str">
        <f>"－"</f>
        <v>－</v>
      </c>
      <c r="AD23" s="19" t="str">
        <f>"－"</f>
        <v>－</v>
      </c>
    </row>
    <row r="24">
      <c r="A24" s="9" t="s">
        <v>49</v>
      </c>
      <c r="B24" s="10" t="s">
        <v>77</v>
      </c>
      <c r="C24" s="10" t="s">
        <v>78</v>
      </c>
      <c r="D24" s="10" t="s">
        <v>63</v>
      </c>
      <c r="E24" s="11" t="s">
        <v>64</v>
      </c>
      <c r="F24" s="11" t="s">
        <v>65</v>
      </c>
      <c r="G24" s="12" t="n">
        <v>50.0</v>
      </c>
      <c r="H24" s="13"/>
      <c r="I24" s="14" t="s">
        <v>55</v>
      </c>
      <c r="J24" s="13"/>
      <c r="K24" s="14" t="s">
        <v>55</v>
      </c>
      <c r="L24" s="13"/>
      <c r="M24" s="14"/>
      <c r="N24" s="13"/>
      <c r="O24" s="14" t="s">
        <v>55</v>
      </c>
      <c r="P24" s="13"/>
      <c r="Q24" s="14"/>
      <c r="R24" s="13"/>
      <c r="S24" s="14" t="s">
        <v>55</v>
      </c>
      <c r="T24" s="15" t="n">
        <f>103895.45</f>
        <v>103895.45</v>
      </c>
      <c r="U24" s="16" t="str">
        <f>"－"</f>
        <v>－</v>
      </c>
      <c r="V24" s="16"/>
      <c r="W24" s="16"/>
      <c r="X24" s="16" t="str">
        <f>"－"</f>
        <v>－</v>
      </c>
      <c r="Y24" s="16"/>
      <c r="Z24" s="17"/>
      <c r="AA24" s="13"/>
      <c r="AB24" s="18" t="str">
        <f>"－"</f>
        <v>－</v>
      </c>
      <c r="AC24" s="18" t="str">
        <f>"－"</f>
        <v>－</v>
      </c>
      <c r="AD24" s="19" t="str">
        <f>"－"</f>
        <v>－</v>
      </c>
    </row>
    <row r="25">
      <c r="A25" s="9" t="s">
        <v>49</v>
      </c>
      <c r="B25" s="10" t="s">
        <v>77</v>
      </c>
      <c r="C25" s="10" t="s">
        <v>78</v>
      </c>
      <c r="D25" s="10" t="s">
        <v>66</v>
      </c>
      <c r="E25" s="11" t="s">
        <v>67</v>
      </c>
      <c r="F25" s="11" t="s">
        <v>68</v>
      </c>
      <c r="G25" s="12" t="n">
        <v>50.0</v>
      </c>
      <c r="H25" s="13"/>
      <c r="I25" s="14" t="s">
        <v>55</v>
      </c>
      <c r="J25" s="13"/>
      <c r="K25" s="14" t="s">
        <v>55</v>
      </c>
      <c r="L25" s="13"/>
      <c r="M25" s="14"/>
      <c r="N25" s="13"/>
      <c r="O25" s="14" t="s">
        <v>55</v>
      </c>
      <c r="P25" s="13"/>
      <c r="Q25" s="14"/>
      <c r="R25" s="13"/>
      <c r="S25" s="14" t="s">
        <v>55</v>
      </c>
      <c r="T25" s="15" t="n">
        <f>103086.36</f>
        <v>103086.36</v>
      </c>
      <c r="U25" s="16" t="str">
        <f>"－"</f>
        <v>－</v>
      </c>
      <c r="V25" s="16"/>
      <c r="W25" s="16"/>
      <c r="X25" s="16" t="str">
        <f>"－"</f>
        <v>－</v>
      </c>
      <c r="Y25" s="16"/>
      <c r="Z25" s="17"/>
      <c r="AA25" s="13"/>
      <c r="AB25" s="18" t="str">
        <f>"－"</f>
        <v>－</v>
      </c>
      <c r="AC25" s="18" t="str">
        <f>"－"</f>
        <v>－</v>
      </c>
      <c r="AD25" s="19" t="str">
        <f>"－"</f>
        <v>－</v>
      </c>
    </row>
    <row r="26">
      <c r="A26" s="9" t="s">
        <v>49</v>
      </c>
      <c r="B26" s="10" t="s">
        <v>77</v>
      </c>
      <c r="C26" s="10" t="s">
        <v>78</v>
      </c>
      <c r="D26" s="10" t="s">
        <v>69</v>
      </c>
      <c r="E26" s="11" t="s">
        <v>70</v>
      </c>
      <c r="F26" s="11" t="s">
        <v>71</v>
      </c>
      <c r="G26" s="12" t="n">
        <v>50.0</v>
      </c>
      <c r="H26" s="13"/>
      <c r="I26" s="14" t="s">
        <v>55</v>
      </c>
      <c r="J26" s="13"/>
      <c r="K26" s="14" t="s">
        <v>55</v>
      </c>
      <c r="L26" s="13"/>
      <c r="M26" s="14"/>
      <c r="N26" s="13"/>
      <c r="O26" s="14" t="s">
        <v>55</v>
      </c>
      <c r="P26" s="13"/>
      <c r="Q26" s="14"/>
      <c r="R26" s="13"/>
      <c r="S26" s="14" t="s">
        <v>55</v>
      </c>
      <c r="T26" s="15" t="n">
        <f>102245.45</f>
        <v>102245.45</v>
      </c>
      <c r="U26" s="16" t="str">
        <f>"－"</f>
        <v>－</v>
      </c>
      <c r="V26" s="16"/>
      <c r="W26" s="16"/>
      <c r="X26" s="16" t="str">
        <f>"－"</f>
        <v>－</v>
      </c>
      <c r="Y26" s="16"/>
      <c r="Z26" s="17"/>
      <c r="AA26" s="13"/>
      <c r="AB26" s="18" t="str">
        <f>"－"</f>
        <v>－</v>
      </c>
      <c r="AC26" s="18" t="str">
        <f>"－"</f>
        <v>－</v>
      </c>
      <c r="AD26" s="19" t="str">
        <f>"－"</f>
        <v>－</v>
      </c>
    </row>
    <row r="27">
      <c r="A27" s="9" t="s">
        <v>49</v>
      </c>
      <c r="B27" s="10" t="s">
        <v>77</v>
      </c>
      <c r="C27" s="10" t="s">
        <v>78</v>
      </c>
      <c r="D27" s="10" t="s">
        <v>72</v>
      </c>
      <c r="E27" s="11" t="s">
        <v>73</v>
      </c>
      <c r="F27" s="11" t="s">
        <v>74</v>
      </c>
      <c r="G27" s="12" t="n">
        <v>50.0</v>
      </c>
      <c r="H27" s="13"/>
      <c r="I27" s="14" t="s">
        <v>55</v>
      </c>
      <c r="J27" s="13"/>
      <c r="K27" s="14" t="s">
        <v>55</v>
      </c>
      <c r="L27" s="13"/>
      <c r="M27" s="14"/>
      <c r="N27" s="13"/>
      <c r="O27" s="14" t="s">
        <v>55</v>
      </c>
      <c r="P27" s="13"/>
      <c r="Q27" s="14"/>
      <c r="R27" s="13"/>
      <c r="S27" s="14" t="s">
        <v>55</v>
      </c>
      <c r="T27" s="15" t="n">
        <f>101833.33</f>
        <v>101833.33</v>
      </c>
      <c r="U27" s="16" t="str">
        <f>"－"</f>
        <v>－</v>
      </c>
      <c r="V27" s="16"/>
      <c r="W27" s="16"/>
      <c r="X27" s="16" t="str">
        <f>"－"</f>
        <v>－</v>
      </c>
      <c r="Y27" s="16"/>
      <c r="Z27" s="17"/>
      <c r="AA27" s="13"/>
      <c r="AB27" s="18" t="str">
        <f>"－"</f>
        <v>－</v>
      </c>
      <c r="AC27" s="18" t="str">
        <f>"－"</f>
        <v>－</v>
      </c>
      <c r="AD27" s="19" t="str">
        <f>"－"</f>
        <v>－</v>
      </c>
    </row>
    <row r="28">
      <c r="A28" s="9" t="s">
        <v>49</v>
      </c>
      <c r="B28" s="10" t="s">
        <v>79</v>
      </c>
      <c r="C28" s="10" t="s">
        <v>80</v>
      </c>
      <c r="D28" s="10" t="s">
        <v>49</v>
      </c>
      <c r="E28" s="11" t="s">
        <v>81</v>
      </c>
      <c r="F28" s="11" t="s">
        <v>82</v>
      </c>
      <c r="G28" s="12" t="n">
        <v>50.0</v>
      </c>
      <c r="H28" s="13" t="s">
        <v>83</v>
      </c>
      <c r="I28" s="14" t="s">
        <v>84</v>
      </c>
      <c r="J28" s="13" t="s">
        <v>85</v>
      </c>
      <c r="K28" s="14" t="s">
        <v>86</v>
      </c>
      <c r="L28" s="13"/>
      <c r="M28" s="14"/>
      <c r="N28" s="13" t="s">
        <v>87</v>
      </c>
      <c r="O28" s="14" t="s">
        <v>88</v>
      </c>
      <c r="P28" s="13"/>
      <c r="Q28" s="14"/>
      <c r="R28" s="13" t="s">
        <v>87</v>
      </c>
      <c r="S28" s="14" t="s">
        <v>89</v>
      </c>
      <c r="T28" s="15" t="n">
        <f>86388.64</f>
        <v>86388.64</v>
      </c>
      <c r="U28" s="16" t="n">
        <f>52</f>
        <v>52.0</v>
      </c>
      <c r="V28" s="16"/>
      <c r="W28" s="16" t="n">
        <v>4.0</v>
      </c>
      <c r="X28" s="16" t="n">
        <f>222140500</f>
        <v>2.221405E8</v>
      </c>
      <c r="Y28" s="16"/>
      <c r="Z28" s="17" t="n">
        <v>1.6107E7</v>
      </c>
      <c r="AA28" s="13" t="s">
        <v>56</v>
      </c>
      <c r="AB28" s="18" t="n">
        <f>684</f>
        <v>684.0</v>
      </c>
      <c r="AC28" s="18" t="str">
        <f>"－"</f>
        <v>－</v>
      </c>
      <c r="AD28" s="19" t="n">
        <f>11</f>
        <v>11.0</v>
      </c>
    </row>
    <row r="29">
      <c r="A29" s="9" t="s">
        <v>49</v>
      </c>
      <c r="B29" s="10" t="s">
        <v>79</v>
      </c>
      <c r="C29" s="10" t="s">
        <v>80</v>
      </c>
      <c r="D29" s="10" t="s">
        <v>52</v>
      </c>
      <c r="E29" s="11" t="s">
        <v>90</v>
      </c>
      <c r="F29" s="11" t="s">
        <v>91</v>
      </c>
      <c r="G29" s="12" t="n">
        <v>50.0</v>
      </c>
      <c r="H29" s="13" t="s">
        <v>83</v>
      </c>
      <c r="I29" s="14" t="s">
        <v>92</v>
      </c>
      <c r="J29" s="13" t="s">
        <v>93</v>
      </c>
      <c r="K29" s="14" t="s">
        <v>94</v>
      </c>
      <c r="L29" s="13" t="s">
        <v>95</v>
      </c>
      <c r="M29" s="14" t="s">
        <v>96</v>
      </c>
      <c r="N29" s="13" t="s">
        <v>87</v>
      </c>
      <c r="O29" s="14" t="s">
        <v>97</v>
      </c>
      <c r="P29" s="13" t="s">
        <v>98</v>
      </c>
      <c r="Q29" s="14" t="s">
        <v>99</v>
      </c>
      <c r="R29" s="13" t="s">
        <v>100</v>
      </c>
      <c r="S29" s="14" t="s">
        <v>101</v>
      </c>
      <c r="T29" s="15" t="n">
        <f>78888.64</f>
        <v>78888.64</v>
      </c>
      <c r="U29" s="16" t="n">
        <f>680</f>
        <v>680.0</v>
      </c>
      <c r="V29" s="16" t="n">
        <v>8.0</v>
      </c>
      <c r="W29" s="16" t="n">
        <v>389.0</v>
      </c>
      <c r="X29" s="16" t="n">
        <f>2652660500</f>
        <v>2.6526605E9</v>
      </c>
      <c r="Y29" s="16" t="n">
        <v>3.5778E7</v>
      </c>
      <c r="Z29" s="17" t="n">
        <v>1.527804E9</v>
      </c>
      <c r="AA29" s="13"/>
      <c r="AB29" s="18" t="n">
        <f>1606</f>
        <v>1606.0</v>
      </c>
      <c r="AC29" s="18" t="str">
        <f>"－"</f>
        <v>－</v>
      </c>
      <c r="AD29" s="19" t="n">
        <f>22</f>
        <v>22.0</v>
      </c>
    </row>
    <row r="30">
      <c r="A30" s="9" t="s">
        <v>49</v>
      </c>
      <c r="B30" s="10" t="s">
        <v>79</v>
      </c>
      <c r="C30" s="10" t="s">
        <v>80</v>
      </c>
      <c r="D30" s="10" t="s">
        <v>57</v>
      </c>
      <c r="E30" s="11" t="s">
        <v>102</v>
      </c>
      <c r="F30" s="11" t="s">
        <v>103</v>
      </c>
      <c r="G30" s="12" t="n">
        <v>50.0</v>
      </c>
      <c r="H30" s="13" t="s">
        <v>83</v>
      </c>
      <c r="I30" s="14" t="s">
        <v>104</v>
      </c>
      <c r="J30" s="13" t="s">
        <v>95</v>
      </c>
      <c r="K30" s="14" t="s">
        <v>105</v>
      </c>
      <c r="L30" s="13"/>
      <c r="M30" s="14"/>
      <c r="N30" s="13" t="s">
        <v>87</v>
      </c>
      <c r="O30" s="14" t="s">
        <v>106</v>
      </c>
      <c r="P30" s="13"/>
      <c r="Q30" s="14"/>
      <c r="R30" s="13" t="s">
        <v>100</v>
      </c>
      <c r="S30" s="14" t="s">
        <v>107</v>
      </c>
      <c r="T30" s="15" t="n">
        <f>78173.64</f>
        <v>78173.64</v>
      </c>
      <c r="U30" s="16" t="n">
        <f>841</f>
        <v>841.0</v>
      </c>
      <c r="V30" s="16"/>
      <c r="W30" s="16" t="n">
        <v>627.0</v>
      </c>
      <c r="X30" s="16" t="n">
        <f>3193523000</f>
        <v>3.193523E9</v>
      </c>
      <c r="Y30" s="16"/>
      <c r="Z30" s="17" t="n">
        <v>2.394909E9</v>
      </c>
      <c r="AA30" s="13"/>
      <c r="AB30" s="18" t="n">
        <f>2494</f>
        <v>2494.0</v>
      </c>
      <c r="AC30" s="18" t="str">
        <f>"－"</f>
        <v>－</v>
      </c>
      <c r="AD30" s="19" t="n">
        <f>22</f>
        <v>22.0</v>
      </c>
    </row>
    <row r="31">
      <c r="A31" s="9" t="s">
        <v>49</v>
      </c>
      <c r="B31" s="10" t="s">
        <v>79</v>
      </c>
      <c r="C31" s="10" t="s">
        <v>80</v>
      </c>
      <c r="D31" s="10" t="s">
        <v>60</v>
      </c>
      <c r="E31" s="11" t="s">
        <v>108</v>
      </c>
      <c r="F31" s="11" t="s">
        <v>109</v>
      </c>
      <c r="G31" s="12" t="n">
        <v>50.0</v>
      </c>
      <c r="H31" s="13" t="s">
        <v>83</v>
      </c>
      <c r="I31" s="14" t="s">
        <v>110</v>
      </c>
      <c r="J31" s="13" t="s">
        <v>95</v>
      </c>
      <c r="K31" s="14" t="s">
        <v>111</v>
      </c>
      <c r="L31" s="13" t="s">
        <v>100</v>
      </c>
      <c r="M31" s="14" t="s">
        <v>112</v>
      </c>
      <c r="N31" s="13" t="s">
        <v>87</v>
      </c>
      <c r="O31" s="14" t="s">
        <v>113</v>
      </c>
      <c r="P31" s="13" t="s">
        <v>100</v>
      </c>
      <c r="Q31" s="14" t="s">
        <v>112</v>
      </c>
      <c r="R31" s="13" t="s">
        <v>100</v>
      </c>
      <c r="S31" s="14" t="s">
        <v>114</v>
      </c>
      <c r="T31" s="15" t="n">
        <f>77574.09</f>
        <v>77574.09</v>
      </c>
      <c r="U31" s="16" t="n">
        <f>3777</f>
        <v>3777.0</v>
      </c>
      <c r="V31" s="16" t="n">
        <v>1.0</v>
      </c>
      <c r="W31" s="16" t="n">
        <v>1333.0</v>
      </c>
      <c r="X31" s="16" t="n">
        <f>15014338000</f>
        <v>1.5014338E10</v>
      </c>
      <c r="Y31" s="16" t="n">
        <v>3546500.0</v>
      </c>
      <c r="Z31" s="17" t="n">
        <v>5.2987965E9</v>
      </c>
      <c r="AA31" s="13"/>
      <c r="AB31" s="18" t="n">
        <f>815</f>
        <v>815.0</v>
      </c>
      <c r="AC31" s="18" t="str">
        <f>"－"</f>
        <v>－</v>
      </c>
      <c r="AD31" s="19" t="n">
        <f>22</f>
        <v>22.0</v>
      </c>
    </row>
    <row r="32">
      <c r="A32" s="9" t="s">
        <v>49</v>
      </c>
      <c r="B32" s="10" t="s">
        <v>79</v>
      </c>
      <c r="C32" s="10" t="s">
        <v>80</v>
      </c>
      <c r="D32" s="10" t="s">
        <v>63</v>
      </c>
      <c r="E32" s="11" t="s">
        <v>115</v>
      </c>
      <c r="F32" s="11" t="s">
        <v>116</v>
      </c>
      <c r="G32" s="12" t="n">
        <v>50.0</v>
      </c>
      <c r="H32" s="13" t="s">
        <v>83</v>
      </c>
      <c r="I32" s="14" t="s">
        <v>117</v>
      </c>
      <c r="J32" s="13" t="s">
        <v>93</v>
      </c>
      <c r="K32" s="14" t="s">
        <v>118</v>
      </c>
      <c r="L32" s="13" t="s">
        <v>119</v>
      </c>
      <c r="M32" s="14" t="s">
        <v>120</v>
      </c>
      <c r="N32" s="13" t="s">
        <v>87</v>
      </c>
      <c r="O32" s="14" t="s">
        <v>121</v>
      </c>
      <c r="P32" s="13" t="s">
        <v>122</v>
      </c>
      <c r="Q32" s="14" t="s">
        <v>123</v>
      </c>
      <c r="R32" s="13" t="s">
        <v>100</v>
      </c>
      <c r="S32" s="14" t="s">
        <v>124</v>
      </c>
      <c r="T32" s="15" t="n">
        <f>76918.18</f>
        <v>76918.18</v>
      </c>
      <c r="U32" s="16" t="n">
        <f>22386</f>
        <v>22386.0</v>
      </c>
      <c r="V32" s="16" t="n">
        <v>31.0</v>
      </c>
      <c r="W32" s="16" t="n">
        <v>4032.0</v>
      </c>
      <c r="X32" s="16" t="n">
        <f>90133556500</f>
        <v>9.01335565E10</v>
      </c>
      <c r="Y32" s="16" t="n">
        <v>1.22118E8</v>
      </c>
      <c r="Z32" s="17" t="n">
        <v>1.6206438E10</v>
      </c>
      <c r="AA32" s="13"/>
      <c r="AB32" s="18" t="n">
        <f>2063</f>
        <v>2063.0</v>
      </c>
      <c r="AC32" s="18" t="str">
        <f>"－"</f>
        <v>－</v>
      </c>
      <c r="AD32" s="19" t="n">
        <f>22</f>
        <v>22.0</v>
      </c>
    </row>
    <row r="33">
      <c r="A33" s="9" t="s">
        <v>49</v>
      </c>
      <c r="B33" s="10" t="s">
        <v>79</v>
      </c>
      <c r="C33" s="10" t="s">
        <v>80</v>
      </c>
      <c r="D33" s="10" t="s">
        <v>66</v>
      </c>
      <c r="E33" s="11" t="s">
        <v>125</v>
      </c>
      <c r="F33" s="11" t="s">
        <v>126</v>
      </c>
      <c r="G33" s="12" t="n">
        <v>50.0</v>
      </c>
      <c r="H33" s="13" t="s">
        <v>83</v>
      </c>
      <c r="I33" s="14" t="s">
        <v>127</v>
      </c>
      <c r="J33" s="13" t="s">
        <v>93</v>
      </c>
      <c r="K33" s="14" t="s">
        <v>128</v>
      </c>
      <c r="L33" s="13" t="s">
        <v>129</v>
      </c>
      <c r="M33" s="14" t="s">
        <v>130</v>
      </c>
      <c r="N33" s="13" t="s">
        <v>87</v>
      </c>
      <c r="O33" s="14" t="s">
        <v>131</v>
      </c>
      <c r="P33" s="13" t="s">
        <v>132</v>
      </c>
      <c r="Q33" s="14" t="s">
        <v>133</v>
      </c>
      <c r="R33" s="13" t="s">
        <v>100</v>
      </c>
      <c r="S33" s="14" t="s">
        <v>134</v>
      </c>
      <c r="T33" s="15" t="n">
        <f>76262.73</f>
        <v>76262.73</v>
      </c>
      <c r="U33" s="16" t="n">
        <f>34436</f>
        <v>34436.0</v>
      </c>
      <c r="V33" s="16" t="n">
        <v>195.0</v>
      </c>
      <c r="W33" s="16" t="n">
        <v>2990.0</v>
      </c>
      <c r="X33" s="16" t="n">
        <f>132828262500</f>
        <v>1.328282625E11</v>
      </c>
      <c r="Y33" s="16" t="n">
        <v>6.865575E8</v>
      </c>
      <c r="Z33" s="17" t="n">
        <v>1.1919896E10</v>
      </c>
      <c r="AA33" s="13"/>
      <c r="AB33" s="18" t="n">
        <f>9965</f>
        <v>9965.0</v>
      </c>
      <c r="AC33" s="18" t="str">
        <f>"－"</f>
        <v>－</v>
      </c>
      <c r="AD33" s="19" t="n">
        <f>22</f>
        <v>22.0</v>
      </c>
    </row>
    <row r="34">
      <c r="A34" s="9" t="s">
        <v>49</v>
      </c>
      <c r="B34" s="10" t="s">
        <v>79</v>
      </c>
      <c r="C34" s="10" t="s">
        <v>80</v>
      </c>
      <c r="D34" s="10" t="s">
        <v>69</v>
      </c>
      <c r="E34" s="11" t="s">
        <v>135</v>
      </c>
      <c r="F34" s="11" t="s">
        <v>136</v>
      </c>
      <c r="G34" s="12" t="n">
        <v>50.0</v>
      </c>
      <c r="H34" s="13" t="s">
        <v>87</v>
      </c>
      <c r="I34" s="14" t="s">
        <v>137</v>
      </c>
      <c r="J34" s="13" t="s">
        <v>87</v>
      </c>
      <c r="K34" s="14" t="s">
        <v>137</v>
      </c>
      <c r="L34" s="13"/>
      <c r="M34" s="14"/>
      <c r="N34" s="13" t="s">
        <v>87</v>
      </c>
      <c r="O34" s="14" t="s">
        <v>137</v>
      </c>
      <c r="P34" s="13"/>
      <c r="Q34" s="14"/>
      <c r="R34" s="13" t="s">
        <v>87</v>
      </c>
      <c r="S34" s="14" t="s">
        <v>137</v>
      </c>
      <c r="T34" s="15" t="n">
        <f>75576.82</f>
        <v>75576.82</v>
      </c>
      <c r="U34" s="16" t="n">
        <f>9</f>
        <v>9.0</v>
      </c>
      <c r="V34" s="16"/>
      <c r="W34" s="16" t="n">
        <v>7.0</v>
      </c>
      <c r="X34" s="16" t="n">
        <f>30895000</f>
        <v>3.0895E7</v>
      </c>
      <c r="Y34" s="16"/>
      <c r="Z34" s="17" t="n">
        <v>2.4121E7</v>
      </c>
      <c r="AA34" s="13"/>
      <c r="AB34" s="18" t="n">
        <f>12</f>
        <v>12.0</v>
      </c>
      <c r="AC34" s="18" t="str">
        <f>"－"</f>
        <v>－</v>
      </c>
      <c r="AD34" s="19" t="n">
        <f>3</f>
        <v>3.0</v>
      </c>
    </row>
    <row r="35">
      <c r="A35" s="9" t="s">
        <v>49</v>
      </c>
      <c r="B35" s="10" t="s">
        <v>79</v>
      </c>
      <c r="C35" s="10" t="s">
        <v>80</v>
      </c>
      <c r="D35" s="10" t="s">
        <v>72</v>
      </c>
      <c r="E35" s="11" t="s">
        <v>138</v>
      </c>
      <c r="F35" s="11" t="s">
        <v>139</v>
      </c>
      <c r="G35" s="12" t="n">
        <v>50.0</v>
      </c>
      <c r="H35" s="13"/>
      <c r="I35" s="14" t="s">
        <v>55</v>
      </c>
      <c r="J35" s="13"/>
      <c r="K35" s="14" t="s">
        <v>55</v>
      </c>
      <c r="L35" s="13"/>
      <c r="M35" s="14"/>
      <c r="N35" s="13"/>
      <c r="O35" s="14" t="s">
        <v>55</v>
      </c>
      <c r="P35" s="13"/>
      <c r="Q35" s="14"/>
      <c r="R35" s="13"/>
      <c r="S35" s="14" t="s">
        <v>55</v>
      </c>
      <c r="T35" s="15" t="n">
        <f>75072.27</f>
        <v>75072.27</v>
      </c>
      <c r="U35" s="16" t="str">
        <f>"－"</f>
        <v>－</v>
      </c>
      <c r="V35" s="16"/>
      <c r="W35" s="16"/>
      <c r="X35" s="16" t="str">
        <f>"－"</f>
        <v>－</v>
      </c>
      <c r="Y35" s="16"/>
      <c r="Z35" s="17"/>
      <c r="AA35" s="13"/>
      <c r="AB35" s="18" t="str">
        <f>"－"</f>
        <v>－</v>
      </c>
      <c r="AC35" s="18" t="str">
        <f>"－"</f>
        <v>－</v>
      </c>
      <c r="AD35" s="19" t="str">
        <f>"－"</f>
        <v>－</v>
      </c>
    </row>
    <row r="36">
      <c r="A36" s="9" t="s">
        <v>49</v>
      </c>
      <c r="B36" s="10" t="s">
        <v>79</v>
      </c>
      <c r="C36" s="10" t="s">
        <v>80</v>
      </c>
      <c r="D36" s="10" t="s">
        <v>140</v>
      </c>
      <c r="E36" s="11" t="s">
        <v>141</v>
      </c>
      <c r="F36" s="11" t="s">
        <v>142</v>
      </c>
      <c r="G36" s="12" t="n">
        <v>50.0</v>
      </c>
      <c r="H36" s="13"/>
      <c r="I36" s="14" t="s">
        <v>55</v>
      </c>
      <c r="J36" s="13"/>
      <c r="K36" s="14" t="s">
        <v>55</v>
      </c>
      <c r="L36" s="13"/>
      <c r="M36" s="14"/>
      <c r="N36" s="13"/>
      <c r="O36" s="14" t="s">
        <v>55</v>
      </c>
      <c r="P36" s="13"/>
      <c r="Q36" s="14"/>
      <c r="R36" s="13"/>
      <c r="S36" s="14" t="s">
        <v>55</v>
      </c>
      <c r="T36" s="15" t="n">
        <f>74615</f>
        <v>74615.0</v>
      </c>
      <c r="U36" s="16" t="str">
        <f>"－"</f>
        <v>－</v>
      </c>
      <c r="V36" s="16"/>
      <c r="W36" s="16"/>
      <c r="X36" s="16" t="str">
        <f>"－"</f>
        <v>－</v>
      </c>
      <c r="Y36" s="16"/>
      <c r="Z36" s="17"/>
      <c r="AA36" s="13"/>
      <c r="AB36" s="18" t="n">
        <f>1</f>
        <v>1.0</v>
      </c>
      <c r="AC36" s="18" t="str">
        <f>"－"</f>
        <v>－</v>
      </c>
      <c r="AD36" s="19" t="str">
        <f>"－"</f>
        <v>－</v>
      </c>
    </row>
    <row r="37">
      <c r="A37" s="9" t="s">
        <v>49</v>
      </c>
      <c r="B37" s="10" t="s">
        <v>79</v>
      </c>
      <c r="C37" s="10" t="s">
        <v>80</v>
      </c>
      <c r="D37" s="10" t="s">
        <v>143</v>
      </c>
      <c r="E37" s="11" t="s">
        <v>144</v>
      </c>
      <c r="F37" s="11" t="s">
        <v>145</v>
      </c>
      <c r="G37" s="12" t="n">
        <v>50.0</v>
      </c>
      <c r="H37" s="13" t="s">
        <v>146</v>
      </c>
      <c r="I37" s="14" t="s">
        <v>147</v>
      </c>
      <c r="J37" s="13" t="s">
        <v>146</v>
      </c>
      <c r="K37" s="14" t="s">
        <v>147</v>
      </c>
      <c r="L37" s="13"/>
      <c r="M37" s="14"/>
      <c r="N37" s="13" t="s">
        <v>146</v>
      </c>
      <c r="O37" s="14" t="s">
        <v>147</v>
      </c>
      <c r="P37" s="13"/>
      <c r="Q37" s="14"/>
      <c r="R37" s="13" t="s">
        <v>146</v>
      </c>
      <c r="S37" s="14" t="s">
        <v>147</v>
      </c>
      <c r="T37" s="15" t="n">
        <f>74132.27</f>
        <v>74132.27</v>
      </c>
      <c r="U37" s="16" t="n">
        <f>1</f>
        <v>1.0</v>
      </c>
      <c r="V37" s="16"/>
      <c r="W37" s="16"/>
      <c r="X37" s="16" t="n">
        <f>3550000</f>
        <v>3550000.0</v>
      </c>
      <c r="Y37" s="16"/>
      <c r="Z37" s="17"/>
      <c r="AA37" s="13"/>
      <c r="AB37" s="18" t="n">
        <f>1</f>
        <v>1.0</v>
      </c>
      <c r="AC37" s="18" t="str">
        <f>"－"</f>
        <v>－</v>
      </c>
      <c r="AD37" s="19" t="n">
        <f>1</f>
        <v>1.0</v>
      </c>
    </row>
    <row r="38">
      <c r="A38" s="9" t="s">
        <v>49</v>
      </c>
      <c r="B38" s="10" t="s">
        <v>79</v>
      </c>
      <c r="C38" s="10" t="s">
        <v>80</v>
      </c>
      <c r="D38" s="10" t="s">
        <v>148</v>
      </c>
      <c r="E38" s="11" t="s">
        <v>149</v>
      </c>
      <c r="F38" s="11" t="s">
        <v>150</v>
      </c>
      <c r="G38" s="12" t="n">
        <v>50.0</v>
      </c>
      <c r="H38" s="13"/>
      <c r="I38" s="14" t="s">
        <v>55</v>
      </c>
      <c r="J38" s="13"/>
      <c r="K38" s="14" t="s">
        <v>55</v>
      </c>
      <c r="L38" s="13"/>
      <c r="M38" s="14"/>
      <c r="N38" s="13"/>
      <c r="O38" s="14" t="s">
        <v>55</v>
      </c>
      <c r="P38" s="13"/>
      <c r="Q38" s="14"/>
      <c r="R38" s="13"/>
      <c r="S38" s="14" t="s">
        <v>55</v>
      </c>
      <c r="T38" s="15" t="n">
        <f>73766.82</f>
        <v>73766.82</v>
      </c>
      <c r="U38" s="16" t="str">
        <f>"－"</f>
        <v>－</v>
      </c>
      <c r="V38" s="16"/>
      <c r="W38" s="16"/>
      <c r="X38" s="16" t="str">
        <f>"－"</f>
        <v>－</v>
      </c>
      <c r="Y38" s="16"/>
      <c r="Z38" s="17"/>
      <c r="AA38" s="13"/>
      <c r="AB38" s="18" t="n">
        <f>20</f>
        <v>20.0</v>
      </c>
      <c r="AC38" s="18" t="str">
        <f>"－"</f>
        <v>－</v>
      </c>
      <c r="AD38" s="19" t="str">
        <f>"－"</f>
        <v>－</v>
      </c>
    </row>
    <row r="39">
      <c r="A39" s="9" t="s">
        <v>49</v>
      </c>
      <c r="B39" s="10" t="s">
        <v>79</v>
      </c>
      <c r="C39" s="10" t="s">
        <v>80</v>
      </c>
      <c r="D39" s="10" t="s">
        <v>151</v>
      </c>
      <c r="E39" s="11" t="s">
        <v>152</v>
      </c>
      <c r="F39" s="11" t="s">
        <v>153</v>
      </c>
      <c r="G39" s="12" t="n">
        <v>50.0</v>
      </c>
      <c r="H39" s="13" t="s">
        <v>154</v>
      </c>
      <c r="I39" s="14" t="s">
        <v>155</v>
      </c>
      <c r="J39" s="13" t="s">
        <v>154</v>
      </c>
      <c r="K39" s="14" t="s">
        <v>155</v>
      </c>
      <c r="L39" s="13"/>
      <c r="M39" s="14"/>
      <c r="N39" s="13" t="s">
        <v>154</v>
      </c>
      <c r="O39" s="14" t="s">
        <v>155</v>
      </c>
      <c r="P39" s="13"/>
      <c r="Q39" s="14"/>
      <c r="R39" s="13" t="s">
        <v>154</v>
      </c>
      <c r="S39" s="14" t="s">
        <v>155</v>
      </c>
      <c r="T39" s="15" t="n">
        <f>73457.73</f>
        <v>73457.73</v>
      </c>
      <c r="U39" s="16" t="n">
        <f>1</f>
        <v>1.0</v>
      </c>
      <c r="V39" s="16"/>
      <c r="W39" s="16"/>
      <c r="X39" s="16" t="n">
        <f>3900000</f>
        <v>3900000.0</v>
      </c>
      <c r="Y39" s="16"/>
      <c r="Z39" s="17"/>
      <c r="AA39" s="13"/>
      <c r="AB39" s="18" t="n">
        <f>23</f>
        <v>23.0</v>
      </c>
      <c r="AC39" s="18" t="str">
        <f>"－"</f>
        <v>－</v>
      </c>
      <c r="AD39" s="19" t="n">
        <f>1</f>
        <v>1.0</v>
      </c>
    </row>
    <row r="40">
      <c r="A40" s="9" t="s">
        <v>49</v>
      </c>
      <c r="B40" s="10" t="s">
        <v>79</v>
      </c>
      <c r="C40" s="10" t="s">
        <v>80</v>
      </c>
      <c r="D40" s="10" t="s">
        <v>156</v>
      </c>
      <c r="E40" s="11" t="s">
        <v>157</v>
      </c>
      <c r="F40" s="11" t="s">
        <v>158</v>
      </c>
      <c r="G40" s="12" t="n">
        <v>50.0</v>
      </c>
      <c r="H40" s="13"/>
      <c r="I40" s="14" t="s">
        <v>55</v>
      </c>
      <c r="J40" s="13"/>
      <c r="K40" s="14" t="s">
        <v>55</v>
      </c>
      <c r="L40" s="13"/>
      <c r="M40" s="14"/>
      <c r="N40" s="13"/>
      <c r="O40" s="14" t="s">
        <v>55</v>
      </c>
      <c r="P40" s="13"/>
      <c r="Q40" s="14"/>
      <c r="R40" s="13"/>
      <c r="S40" s="14" t="s">
        <v>55</v>
      </c>
      <c r="T40" s="15" t="n">
        <f>72912.73</f>
        <v>72912.73</v>
      </c>
      <c r="U40" s="16" t="str">
        <f>"－"</f>
        <v>－</v>
      </c>
      <c r="V40" s="16"/>
      <c r="W40" s="16"/>
      <c r="X40" s="16" t="str">
        <f>"－"</f>
        <v>－</v>
      </c>
      <c r="Y40" s="16"/>
      <c r="Z40" s="17"/>
      <c r="AA40" s="13"/>
      <c r="AB40" s="18" t="str">
        <f>"－"</f>
        <v>－</v>
      </c>
      <c r="AC40" s="18" t="str">
        <f>"－"</f>
        <v>－</v>
      </c>
      <c r="AD40" s="19" t="str">
        <f>"－"</f>
        <v>－</v>
      </c>
    </row>
    <row r="41">
      <c r="A41" s="9" t="s">
        <v>49</v>
      </c>
      <c r="B41" s="10" t="s">
        <v>79</v>
      </c>
      <c r="C41" s="10" t="s">
        <v>80</v>
      </c>
      <c r="D41" s="10" t="s">
        <v>159</v>
      </c>
      <c r="E41" s="11" t="s">
        <v>160</v>
      </c>
      <c r="F41" s="11" t="s">
        <v>161</v>
      </c>
      <c r="G41" s="12" t="n">
        <v>50.0</v>
      </c>
      <c r="H41" s="13" t="s">
        <v>122</v>
      </c>
      <c r="I41" s="14" t="s">
        <v>162</v>
      </c>
      <c r="J41" s="13" t="s">
        <v>122</v>
      </c>
      <c r="K41" s="14" t="s">
        <v>162</v>
      </c>
      <c r="L41" s="13"/>
      <c r="M41" s="14"/>
      <c r="N41" s="13" t="s">
        <v>122</v>
      </c>
      <c r="O41" s="14" t="s">
        <v>162</v>
      </c>
      <c r="P41" s="13"/>
      <c r="Q41" s="14"/>
      <c r="R41" s="13" t="s">
        <v>163</v>
      </c>
      <c r="S41" s="14" t="s">
        <v>162</v>
      </c>
      <c r="T41" s="15" t="n">
        <f>72747.73</f>
        <v>72747.73</v>
      </c>
      <c r="U41" s="16" t="n">
        <f>2</f>
        <v>2.0</v>
      </c>
      <c r="V41" s="16"/>
      <c r="W41" s="16"/>
      <c r="X41" s="16" t="n">
        <f>7220000</f>
        <v>7220000.0</v>
      </c>
      <c r="Y41" s="16"/>
      <c r="Z41" s="17"/>
      <c r="AA41" s="13"/>
      <c r="AB41" s="18" t="n">
        <f>2</f>
        <v>2.0</v>
      </c>
      <c r="AC41" s="18" t="str">
        <f>"－"</f>
        <v>－</v>
      </c>
      <c r="AD41" s="19" t="n">
        <f>2</f>
        <v>2.0</v>
      </c>
    </row>
    <row r="42">
      <c r="A42" s="9" t="s">
        <v>49</v>
      </c>
      <c r="B42" s="10" t="s">
        <v>79</v>
      </c>
      <c r="C42" s="10" t="s">
        <v>80</v>
      </c>
      <c r="D42" s="10" t="s">
        <v>164</v>
      </c>
      <c r="E42" s="11" t="s">
        <v>165</v>
      </c>
      <c r="F42" s="11" t="s">
        <v>166</v>
      </c>
      <c r="G42" s="12" t="n">
        <v>50.0</v>
      </c>
      <c r="H42" s="13" t="s">
        <v>167</v>
      </c>
      <c r="I42" s="14" t="s">
        <v>168</v>
      </c>
      <c r="J42" s="13" t="s">
        <v>167</v>
      </c>
      <c r="K42" s="14" t="s">
        <v>168</v>
      </c>
      <c r="L42" s="13"/>
      <c r="M42" s="14"/>
      <c r="N42" s="13" t="s">
        <v>163</v>
      </c>
      <c r="O42" s="14" t="s">
        <v>169</v>
      </c>
      <c r="P42" s="13"/>
      <c r="Q42" s="14"/>
      <c r="R42" s="13" t="s">
        <v>170</v>
      </c>
      <c r="S42" s="14" t="s">
        <v>171</v>
      </c>
      <c r="T42" s="15" t="n">
        <f>72775.45</f>
        <v>72775.45</v>
      </c>
      <c r="U42" s="16" t="n">
        <f>25</f>
        <v>25.0</v>
      </c>
      <c r="V42" s="16"/>
      <c r="W42" s="16"/>
      <c r="X42" s="16" t="n">
        <f>99659500</f>
        <v>9.96595E7</v>
      </c>
      <c r="Y42" s="16"/>
      <c r="Z42" s="17"/>
      <c r="AA42" s="13"/>
      <c r="AB42" s="18" t="n">
        <f>20</f>
        <v>20.0</v>
      </c>
      <c r="AC42" s="18" t="str">
        <f>"－"</f>
        <v>－</v>
      </c>
      <c r="AD42" s="19" t="n">
        <f>5</f>
        <v>5.0</v>
      </c>
    </row>
    <row r="43">
      <c r="A43" s="9" t="s">
        <v>49</v>
      </c>
      <c r="B43" s="10" t="s">
        <v>172</v>
      </c>
      <c r="C43" s="10" t="s">
        <v>173</v>
      </c>
      <c r="D43" s="10" t="s">
        <v>49</v>
      </c>
      <c r="E43" s="11" t="s">
        <v>174</v>
      </c>
      <c r="F43" s="11" t="s">
        <v>175</v>
      </c>
      <c r="G43" s="12" t="n">
        <v>72000.0</v>
      </c>
      <c r="H43" s="13"/>
      <c r="I43" s="14" t="s">
        <v>55</v>
      </c>
      <c r="J43" s="13"/>
      <c r="K43" s="14" t="s">
        <v>55</v>
      </c>
      <c r="L43" s="13"/>
      <c r="M43" s="14"/>
      <c r="N43" s="13"/>
      <c r="O43" s="14" t="s">
        <v>55</v>
      </c>
      <c r="P43" s="13"/>
      <c r="Q43" s="14"/>
      <c r="R43" s="13"/>
      <c r="S43" s="14" t="s">
        <v>55</v>
      </c>
      <c r="T43" s="15" t="n">
        <f>21.54</f>
        <v>21.54</v>
      </c>
      <c r="U43" s="16" t="str">
        <f>"－"</f>
        <v>－</v>
      </c>
      <c r="V43" s="16"/>
      <c r="W43" s="16"/>
      <c r="X43" s="16" t="str">
        <f>"－"</f>
        <v>－</v>
      </c>
      <c r="Y43" s="16"/>
      <c r="Z43" s="17"/>
      <c r="AA43" s="13" t="s">
        <v>56</v>
      </c>
      <c r="AB43" s="18" t="n">
        <f>638</f>
        <v>638.0</v>
      </c>
      <c r="AC43" s="18" t="str">
        <f>"－"</f>
        <v>－</v>
      </c>
      <c r="AD43" s="19" t="str">
        <f>"－"</f>
        <v>－</v>
      </c>
    </row>
    <row r="44">
      <c r="A44" s="9" t="s">
        <v>49</v>
      </c>
      <c r="B44" s="10" t="s">
        <v>172</v>
      </c>
      <c r="C44" s="10" t="s">
        <v>173</v>
      </c>
      <c r="D44" s="10" t="s">
        <v>52</v>
      </c>
      <c r="E44" s="11" t="s">
        <v>176</v>
      </c>
      <c r="F44" s="11" t="s">
        <v>177</v>
      </c>
      <c r="G44" s="12" t="n">
        <v>74400.0</v>
      </c>
      <c r="H44" s="13" t="s">
        <v>122</v>
      </c>
      <c r="I44" s="14" t="s">
        <v>178</v>
      </c>
      <c r="J44" s="13" t="s">
        <v>122</v>
      </c>
      <c r="K44" s="14" t="s">
        <v>178</v>
      </c>
      <c r="L44" s="13" t="s">
        <v>179</v>
      </c>
      <c r="M44" s="14" t="s">
        <v>180</v>
      </c>
      <c r="N44" s="13" t="s">
        <v>87</v>
      </c>
      <c r="O44" s="14" t="s">
        <v>181</v>
      </c>
      <c r="P44" s="13" t="s">
        <v>100</v>
      </c>
      <c r="Q44" s="14" t="s">
        <v>182</v>
      </c>
      <c r="R44" s="13" t="s">
        <v>87</v>
      </c>
      <c r="S44" s="14" t="s">
        <v>181</v>
      </c>
      <c r="T44" s="15" t="n">
        <f>21.97</f>
        <v>21.97</v>
      </c>
      <c r="U44" s="16" t="n">
        <f>17</f>
        <v>17.0</v>
      </c>
      <c r="V44" s="16" t="n">
        <v>14.0</v>
      </c>
      <c r="W44" s="16"/>
      <c r="X44" s="16" t="n">
        <f>24090720</f>
        <v>2.409072E7</v>
      </c>
      <c r="Y44" s="16" t="n">
        <v>1.947792E7</v>
      </c>
      <c r="Z44" s="17"/>
      <c r="AA44" s="13"/>
      <c r="AB44" s="18" t="n">
        <f>646</f>
        <v>646.0</v>
      </c>
      <c r="AC44" s="18" t="str">
        <f>"－"</f>
        <v>－</v>
      </c>
      <c r="AD44" s="19" t="n">
        <f>2</f>
        <v>2.0</v>
      </c>
    </row>
    <row r="45">
      <c r="A45" s="9" t="s">
        <v>49</v>
      </c>
      <c r="B45" s="10" t="s">
        <v>172</v>
      </c>
      <c r="C45" s="10" t="s">
        <v>173</v>
      </c>
      <c r="D45" s="10" t="s">
        <v>57</v>
      </c>
      <c r="E45" s="11" t="s">
        <v>183</v>
      </c>
      <c r="F45" s="11" t="s">
        <v>184</v>
      </c>
      <c r="G45" s="12" t="n">
        <v>74400.0</v>
      </c>
      <c r="H45" s="13" t="s">
        <v>122</v>
      </c>
      <c r="I45" s="14" t="s">
        <v>178</v>
      </c>
      <c r="J45" s="13" t="s">
        <v>122</v>
      </c>
      <c r="K45" s="14" t="s">
        <v>178</v>
      </c>
      <c r="L45" s="13" t="s">
        <v>185</v>
      </c>
      <c r="M45" s="14" t="s">
        <v>186</v>
      </c>
      <c r="N45" s="13" t="s">
        <v>87</v>
      </c>
      <c r="O45" s="14" t="s">
        <v>181</v>
      </c>
      <c r="P45" s="13" t="s">
        <v>132</v>
      </c>
      <c r="Q45" s="14" t="s">
        <v>187</v>
      </c>
      <c r="R45" s="13" t="s">
        <v>87</v>
      </c>
      <c r="S45" s="14" t="s">
        <v>181</v>
      </c>
      <c r="T45" s="15" t="n">
        <f>22.06</f>
        <v>22.06</v>
      </c>
      <c r="U45" s="16" t="n">
        <f>57</f>
        <v>57.0</v>
      </c>
      <c r="V45" s="16" t="n">
        <v>55.0</v>
      </c>
      <c r="W45" s="16"/>
      <c r="X45" s="16" t="n">
        <f>87271200</f>
        <v>8.72712E7</v>
      </c>
      <c r="Y45" s="16" t="n">
        <v>8.41464E7</v>
      </c>
      <c r="Z45" s="17"/>
      <c r="AA45" s="13"/>
      <c r="AB45" s="18" t="n">
        <f>723</f>
        <v>723.0</v>
      </c>
      <c r="AC45" s="18" t="str">
        <f>"－"</f>
        <v>－</v>
      </c>
      <c r="AD45" s="19" t="n">
        <f>2</f>
        <v>2.0</v>
      </c>
    </row>
    <row r="46">
      <c r="A46" s="9" t="s">
        <v>49</v>
      </c>
      <c r="B46" s="10" t="s">
        <v>172</v>
      </c>
      <c r="C46" s="10" t="s">
        <v>173</v>
      </c>
      <c r="D46" s="10" t="s">
        <v>60</v>
      </c>
      <c r="E46" s="11" t="s">
        <v>188</v>
      </c>
      <c r="F46" s="11" t="s">
        <v>189</v>
      </c>
      <c r="G46" s="12" t="n">
        <v>72000.0</v>
      </c>
      <c r="H46" s="13" t="s">
        <v>170</v>
      </c>
      <c r="I46" s="14" t="s">
        <v>181</v>
      </c>
      <c r="J46" s="13" t="s">
        <v>170</v>
      </c>
      <c r="K46" s="14" t="s">
        <v>181</v>
      </c>
      <c r="L46" s="13" t="s">
        <v>98</v>
      </c>
      <c r="M46" s="14" t="s">
        <v>190</v>
      </c>
      <c r="N46" s="13" t="s">
        <v>170</v>
      </c>
      <c r="O46" s="14" t="s">
        <v>181</v>
      </c>
      <c r="P46" s="13" t="s">
        <v>98</v>
      </c>
      <c r="Q46" s="14" t="s">
        <v>190</v>
      </c>
      <c r="R46" s="13" t="s">
        <v>170</v>
      </c>
      <c r="S46" s="14" t="s">
        <v>181</v>
      </c>
      <c r="T46" s="15" t="n">
        <f>21.44</f>
        <v>21.44</v>
      </c>
      <c r="U46" s="16" t="n">
        <f>5</f>
        <v>5.0</v>
      </c>
      <c r="V46" s="16" t="n">
        <v>3.0</v>
      </c>
      <c r="W46" s="16"/>
      <c r="X46" s="16" t="n">
        <f>7869600</f>
        <v>7869600.0</v>
      </c>
      <c r="Y46" s="16" t="n">
        <v>4989600.0</v>
      </c>
      <c r="Z46" s="17"/>
      <c r="AA46" s="13"/>
      <c r="AB46" s="18" t="n">
        <f>619</f>
        <v>619.0</v>
      </c>
      <c r="AC46" s="18" t="str">
        <f>"－"</f>
        <v>－</v>
      </c>
      <c r="AD46" s="19" t="n">
        <f>1</f>
        <v>1.0</v>
      </c>
    </row>
    <row r="47">
      <c r="A47" s="9" t="s">
        <v>49</v>
      </c>
      <c r="B47" s="10" t="s">
        <v>172</v>
      </c>
      <c r="C47" s="10" t="s">
        <v>173</v>
      </c>
      <c r="D47" s="10" t="s">
        <v>63</v>
      </c>
      <c r="E47" s="11" t="s">
        <v>191</v>
      </c>
      <c r="F47" s="11" t="s">
        <v>116</v>
      </c>
      <c r="G47" s="12" t="n">
        <v>74400.0</v>
      </c>
      <c r="H47" s="13"/>
      <c r="I47" s="14" t="s">
        <v>55</v>
      </c>
      <c r="J47" s="13"/>
      <c r="K47" s="14" t="s">
        <v>55</v>
      </c>
      <c r="L47" s="13"/>
      <c r="M47" s="14"/>
      <c r="N47" s="13"/>
      <c r="O47" s="14" t="s">
        <v>55</v>
      </c>
      <c r="P47" s="13"/>
      <c r="Q47" s="14"/>
      <c r="R47" s="13"/>
      <c r="S47" s="14" t="s">
        <v>55</v>
      </c>
      <c r="T47" s="15" t="n">
        <f>19.04</f>
        <v>19.04</v>
      </c>
      <c r="U47" s="16" t="str">
        <f>"－"</f>
        <v>－</v>
      </c>
      <c r="V47" s="16"/>
      <c r="W47" s="16"/>
      <c r="X47" s="16" t="str">
        <f>"－"</f>
        <v>－</v>
      </c>
      <c r="Y47" s="16"/>
      <c r="Z47" s="17"/>
      <c r="AA47" s="13"/>
      <c r="AB47" s="18" t="n">
        <f>512</f>
        <v>512.0</v>
      </c>
      <c r="AC47" s="18" t="str">
        <f>"－"</f>
        <v>－</v>
      </c>
      <c r="AD47" s="19" t="str">
        <f>"－"</f>
        <v>－</v>
      </c>
    </row>
    <row r="48">
      <c r="A48" s="9" t="s">
        <v>49</v>
      </c>
      <c r="B48" s="10" t="s">
        <v>172</v>
      </c>
      <c r="C48" s="10" t="s">
        <v>173</v>
      </c>
      <c r="D48" s="10" t="s">
        <v>66</v>
      </c>
      <c r="E48" s="11" t="s">
        <v>192</v>
      </c>
      <c r="F48" s="11" t="s">
        <v>193</v>
      </c>
      <c r="G48" s="12" t="n">
        <v>72000.0</v>
      </c>
      <c r="H48" s="13"/>
      <c r="I48" s="14" t="s">
        <v>55</v>
      </c>
      <c r="J48" s="13"/>
      <c r="K48" s="14" t="s">
        <v>55</v>
      </c>
      <c r="L48" s="13"/>
      <c r="M48" s="14"/>
      <c r="N48" s="13"/>
      <c r="O48" s="14" t="s">
        <v>55</v>
      </c>
      <c r="P48" s="13"/>
      <c r="Q48" s="14"/>
      <c r="R48" s="13"/>
      <c r="S48" s="14" t="s">
        <v>55</v>
      </c>
      <c r="T48" s="15" t="n">
        <f>18.6</f>
        <v>18.6</v>
      </c>
      <c r="U48" s="16" t="str">
        <f>"－"</f>
        <v>－</v>
      </c>
      <c r="V48" s="16"/>
      <c r="W48" s="16"/>
      <c r="X48" s="16" t="str">
        <f>"－"</f>
        <v>－</v>
      </c>
      <c r="Y48" s="16"/>
      <c r="Z48" s="17"/>
      <c r="AA48" s="13"/>
      <c r="AB48" s="18" t="n">
        <f>512</f>
        <v>512.0</v>
      </c>
      <c r="AC48" s="18" t="str">
        <f>"－"</f>
        <v>－</v>
      </c>
      <c r="AD48" s="19" t="str">
        <f>"－"</f>
        <v>－</v>
      </c>
    </row>
    <row r="49">
      <c r="A49" s="9" t="s">
        <v>49</v>
      </c>
      <c r="B49" s="10" t="s">
        <v>172</v>
      </c>
      <c r="C49" s="10" t="s">
        <v>173</v>
      </c>
      <c r="D49" s="10" t="s">
        <v>69</v>
      </c>
      <c r="E49" s="11" t="s">
        <v>194</v>
      </c>
      <c r="F49" s="11" t="s">
        <v>136</v>
      </c>
      <c r="G49" s="12" t="n">
        <v>74400.0</v>
      </c>
      <c r="H49" s="13"/>
      <c r="I49" s="14" t="s">
        <v>55</v>
      </c>
      <c r="J49" s="13"/>
      <c r="K49" s="14" t="s">
        <v>55</v>
      </c>
      <c r="L49" s="13"/>
      <c r="M49" s="14"/>
      <c r="N49" s="13"/>
      <c r="O49" s="14" t="s">
        <v>55</v>
      </c>
      <c r="P49" s="13"/>
      <c r="Q49" s="14"/>
      <c r="R49" s="13"/>
      <c r="S49" s="14" t="s">
        <v>55</v>
      </c>
      <c r="T49" s="15" t="n">
        <f>18.43</f>
        <v>18.43</v>
      </c>
      <c r="U49" s="16" t="str">
        <f>"－"</f>
        <v>－</v>
      </c>
      <c r="V49" s="16"/>
      <c r="W49" s="16"/>
      <c r="X49" s="16" t="str">
        <f>"－"</f>
        <v>－</v>
      </c>
      <c r="Y49" s="16"/>
      <c r="Z49" s="17"/>
      <c r="AA49" s="13"/>
      <c r="AB49" s="18" t="n">
        <f>627</f>
        <v>627.0</v>
      </c>
      <c r="AC49" s="18" t="str">
        <f>"－"</f>
        <v>－</v>
      </c>
      <c r="AD49" s="19" t="str">
        <f>"－"</f>
        <v>－</v>
      </c>
    </row>
    <row r="50">
      <c r="A50" s="9" t="s">
        <v>49</v>
      </c>
      <c r="B50" s="10" t="s">
        <v>172</v>
      </c>
      <c r="C50" s="10" t="s">
        <v>173</v>
      </c>
      <c r="D50" s="10" t="s">
        <v>72</v>
      </c>
      <c r="E50" s="11" t="s">
        <v>195</v>
      </c>
      <c r="F50" s="11" t="s">
        <v>139</v>
      </c>
      <c r="G50" s="12" t="n">
        <v>74400.0</v>
      </c>
      <c r="H50" s="13"/>
      <c r="I50" s="14" t="s">
        <v>55</v>
      </c>
      <c r="J50" s="13"/>
      <c r="K50" s="14" t="s">
        <v>55</v>
      </c>
      <c r="L50" s="13" t="s">
        <v>196</v>
      </c>
      <c r="M50" s="14" t="s">
        <v>197</v>
      </c>
      <c r="N50" s="13"/>
      <c r="O50" s="14" t="s">
        <v>55</v>
      </c>
      <c r="P50" s="13" t="s">
        <v>100</v>
      </c>
      <c r="Q50" s="14" t="s">
        <v>198</v>
      </c>
      <c r="R50" s="13"/>
      <c r="S50" s="14" t="s">
        <v>55</v>
      </c>
      <c r="T50" s="15" t="n">
        <f>18.42</f>
        <v>18.42</v>
      </c>
      <c r="U50" s="16" t="n">
        <f>318</f>
        <v>318.0</v>
      </c>
      <c r="V50" s="16" t="n">
        <v>318.0</v>
      </c>
      <c r="W50" s="16"/>
      <c r="X50" s="16" t="n">
        <f>427642272</f>
        <v>4.27642272E8</v>
      </c>
      <c r="Y50" s="16" t="n">
        <v>4.27642272E8</v>
      </c>
      <c r="Z50" s="17"/>
      <c r="AA50" s="13"/>
      <c r="AB50" s="18" t="n">
        <f>878</f>
        <v>878.0</v>
      </c>
      <c r="AC50" s="18" t="str">
        <f>"－"</f>
        <v>－</v>
      </c>
      <c r="AD50" s="19" t="str">
        <f>"－"</f>
        <v>－</v>
      </c>
    </row>
    <row r="51">
      <c r="A51" s="9" t="s">
        <v>49</v>
      </c>
      <c r="B51" s="10" t="s">
        <v>172</v>
      </c>
      <c r="C51" s="10" t="s">
        <v>173</v>
      </c>
      <c r="D51" s="10" t="s">
        <v>140</v>
      </c>
      <c r="E51" s="11" t="s">
        <v>199</v>
      </c>
      <c r="F51" s="11" t="s">
        <v>142</v>
      </c>
      <c r="G51" s="12" t="n">
        <v>67200.0</v>
      </c>
      <c r="H51" s="13"/>
      <c r="I51" s="14" t="s">
        <v>55</v>
      </c>
      <c r="J51" s="13"/>
      <c r="K51" s="14" t="s">
        <v>55</v>
      </c>
      <c r="L51" s="13"/>
      <c r="M51" s="14"/>
      <c r="N51" s="13"/>
      <c r="O51" s="14" t="s">
        <v>55</v>
      </c>
      <c r="P51" s="13"/>
      <c r="Q51" s="14"/>
      <c r="R51" s="13"/>
      <c r="S51" s="14" t="s">
        <v>55</v>
      </c>
      <c r="T51" s="15" t="n">
        <f>18.04</f>
        <v>18.04</v>
      </c>
      <c r="U51" s="16" t="str">
        <f>"－"</f>
        <v>－</v>
      </c>
      <c r="V51" s="16"/>
      <c r="W51" s="16"/>
      <c r="X51" s="16" t="str">
        <f>"－"</f>
        <v>－</v>
      </c>
      <c r="Y51" s="16"/>
      <c r="Z51" s="17"/>
      <c r="AA51" s="13"/>
      <c r="AB51" s="18" t="n">
        <f>637</f>
        <v>637.0</v>
      </c>
      <c r="AC51" s="18" t="str">
        <f>"－"</f>
        <v>－</v>
      </c>
      <c r="AD51" s="19" t="str">
        <f>"－"</f>
        <v>－</v>
      </c>
    </row>
    <row r="52">
      <c r="A52" s="9" t="s">
        <v>49</v>
      </c>
      <c r="B52" s="10" t="s">
        <v>172</v>
      </c>
      <c r="C52" s="10" t="s">
        <v>173</v>
      </c>
      <c r="D52" s="10" t="s">
        <v>143</v>
      </c>
      <c r="E52" s="11" t="s">
        <v>200</v>
      </c>
      <c r="F52" s="11" t="s">
        <v>201</v>
      </c>
      <c r="G52" s="12" t="n">
        <v>74400.0</v>
      </c>
      <c r="H52" s="13"/>
      <c r="I52" s="14" t="s">
        <v>55</v>
      </c>
      <c r="J52" s="13"/>
      <c r="K52" s="14" t="s">
        <v>55</v>
      </c>
      <c r="L52" s="13"/>
      <c r="M52" s="14"/>
      <c r="N52" s="13"/>
      <c r="O52" s="14" t="s">
        <v>55</v>
      </c>
      <c r="P52" s="13"/>
      <c r="Q52" s="14"/>
      <c r="R52" s="13"/>
      <c r="S52" s="14" t="s">
        <v>55</v>
      </c>
      <c r="T52" s="15" t="n">
        <f>15.68</f>
        <v>15.68</v>
      </c>
      <c r="U52" s="16" t="str">
        <f>"－"</f>
        <v>－</v>
      </c>
      <c r="V52" s="16"/>
      <c r="W52" s="16"/>
      <c r="X52" s="16" t="str">
        <f>"－"</f>
        <v>－</v>
      </c>
      <c r="Y52" s="16"/>
      <c r="Z52" s="17"/>
      <c r="AA52" s="13"/>
      <c r="AB52" s="18" t="n">
        <f>522</f>
        <v>522.0</v>
      </c>
      <c r="AC52" s="18" t="str">
        <f>"－"</f>
        <v>－</v>
      </c>
      <c r="AD52" s="19" t="str">
        <f>"－"</f>
        <v>－</v>
      </c>
    </row>
    <row r="53">
      <c r="A53" s="9" t="s">
        <v>49</v>
      </c>
      <c r="B53" s="10" t="s">
        <v>172</v>
      </c>
      <c r="C53" s="10" t="s">
        <v>173</v>
      </c>
      <c r="D53" s="10" t="s">
        <v>148</v>
      </c>
      <c r="E53" s="11" t="s">
        <v>202</v>
      </c>
      <c r="F53" s="11" t="s">
        <v>203</v>
      </c>
      <c r="G53" s="12" t="n">
        <v>72000.0</v>
      </c>
      <c r="H53" s="13"/>
      <c r="I53" s="14" t="s">
        <v>55</v>
      </c>
      <c r="J53" s="13"/>
      <c r="K53" s="14" t="s">
        <v>55</v>
      </c>
      <c r="L53" s="13"/>
      <c r="M53" s="14"/>
      <c r="N53" s="13"/>
      <c r="O53" s="14" t="s">
        <v>55</v>
      </c>
      <c r="P53" s="13"/>
      <c r="Q53" s="14"/>
      <c r="R53" s="13"/>
      <c r="S53" s="14" t="s">
        <v>55</v>
      </c>
      <c r="T53" s="15" t="n">
        <f>14.92</f>
        <v>14.92</v>
      </c>
      <c r="U53" s="16" t="str">
        <f>"－"</f>
        <v>－</v>
      </c>
      <c r="V53" s="16"/>
      <c r="W53" s="16"/>
      <c r="X53" s="16" t="str">
        <f>"－"</f>
        <v>－</v>
      </c>
      <c r="Y53" s="16"/>
      <c r="Z53" s="17"/>
      <c r="AA53" s="13"/>
      <c r="AB53" s="18" t="n">
        <f>40</f>
        <v>40.0</v>
      </c>
      <c r="AC53" s="18" t="str">
        <f>"－"</f>
        <v>－</v>
      </c>
      <c r="AD53" s="19" t="str">
        <f>"－"</f>
        <v>－</v>
      </c>
    </row>
    <row r="54">
      <c r="A54" s="9" t="s">
        <v>49</v>
      </c>
      <c r="B54" s="10" t="s">
        <v>172</v>
      </c>
      <c r="C54" s="10" t="s">
        <v>173</v>
      </c>
      <c r="D54" s="10" t="s">
        <v>151</v>
      </c>
      <c r="E54" s="11" t="s">
        <v>102</v>
      </c>
      <c r="F54" s="11" t="s">
        <v>204</v>
      </c>
      <c r="G54" s="12" t="n">
        <v>74400.0</v>
      </c>
      <c r="H54" s="13"/>
      <c r="I54" s="14" t="s">
        <v>55</v>
      </c>
      <c r="J54" s="13"/>
      <c r="K54" s="14" t="s">
        <v>55</v>
      </c>
      <c r="L54" s="13"/>
      <c r="M54" s="14"/>
      <c r="N54" s="13"/>
      <c r="O54" s="14" t="s">
        <v>55</v>
      </c>
      <c r="P54" s="13"/>
      <c r="Q54" s="14"/>
      <c r="R54" s="13"/>
      <c r="S54" s="14" t="s">
        <v>55</v>
      </c>
      <c r="T54" s="15" t="n">
        <f>14.84</f>
        <v>14.84</v>
      </c>
      <c r="U54" s="16" t="str">
        <f>"－"</f>
        <v>－</v>
      </c>
      <c r="V54" s="16"/>
      <c r="W54" s="16"/>
      <c r="X54" s="16" t="str">
        <f>"－"</f>
        <v>－</v>
      </c>
      <c r="Y54" s="16"/>
      <c r="Z54" s="17"/>
      <c r="AA54" s="13"/>
      <c r="AB54" s="18" t="str">
        <f>"－"</f>
        <v>－</v>
      </c>
      <c r="AC54" s="18" t="str">
        <f>"－"</f>
        <v>－</v>
      </c>
      <c r="AD54" s="19" t="str">
        <f>"－"</f>
        <v>－</v>
      </c>
    </row>
    <row r="55">
      <c r="A55" s="9" t="s">
        <v>49</v>
      </c>
      <c r="B55" s="10" t="s">
        <v>172</v>
      </c>
      <c r="C55" s="10" t="s">
        <v>173</v>
      </c>
      <c r="D55" s="10" t="s">
        <v>156</v>
      </c>
      <c r="E55" s="11" t="s">
        <v>205</v>
      </c>
      <c r="F55" s="11" t="s">
        <v>206</v>
      </c>
      <c r="G55" s="12" t="n">
        <v>72000.0</v>
      </c>
      <c r="H55" s="13"/>
      <c r="I55" s="14" t="s">
        <v>55</v>
      </c>
      <c r="J55" s="13"/>
      <c r="K55" s="14" t="s">
        <v>55</v>
      </c>
      <c r="L55" s="13"/>
      <c r="M55" s="14"/>
      <c r="N55" s="13"/>
      <c r="O55" s="14" t="s">
        <v>55</v>
      </c>
      <c r="P55" s="13"/>
      <c r="Q55" s="14"/>
      <c r="R55" s="13"/>
      <c r="S55" s="14" t="s">
        <v>55</v>
      </c>
      <c r="T55" s="15" t="n">
        <f>15.88</f>
        <v>15.88</v>
      </c>
      <c r="U55" s="16" t="str">
        <f>"－"</f>
        <v>－</v>
      </c>
      <c r="V55" s="16"/>
      <c r="W55" s="16"/>
      <c r="X55" s="16" t="str">
        <f>"－"</f>
        <v>－</v>
      </c>
      <c r="Y55" s="16"/>
      <c r="Z55" s="17"/>
      <c r="AA55" s="13"/>
      <c r="AB55" s="18" t="str">
        <f>"－"</f>
        <v>－</v>
      </c>
      <c r="AC55" s="18" t="str">
        <f>"－"</f>
        <v>－</v>
      </c>
      <c r="AD55" s="19" t="str">
        <f>"－"</f>
        <v>－</v>
      </c>
    </row>
    <row r="56">
      <c r="A56" s="9" t="s">
        <v>49</v>
      </c>
      <c r="B56" s="10" t="s">
        <v>172</v>
      </c>
      <c r="C56" s="10" t="s">
        <v>173</v>
      </c>
      <c r="D56" s="10" t="s">
        <v>159</v>
      </c>
      <c r="E56" s="11" t="s">
        <v>207</v>
      </c>
      <c r="F56" s="11" t="s">
        <v>161</v>
      </c>
      <c r="G56" s="12" t="n">
        <v>74400.0</v>
      </c>
      <c r="H56" s="13"/>
      <c r="I56" s="14" t="s">
        <v>55</v>
      </c>
      <c r="J56" s="13"/>
      <c r="K56" s="14" t="s">
        <v>55</v>
      </c>
      <c r="L56" s="13"/>
      <c r="M56" s="14"/>
      <c r="N56" s="13"/>
      <c r="O56" s="14" t="s">
        <v>55</v>
      </c>
      <c r="P56" s="13"/>
      <c r="Q56" s="14"/>
      <c r="R56" s="13"/>
      <c r="S56" s="14" t="s">
        <v>55</v>
      </c>
      <c r="T56" s="15" t="n">
        <f>16.76</f>
        <v>16.76</v>
      </c>
      <c r="U56" s="16" t="str">
        <f>"－"</f>
        <v>－</v>
      </c>
      <c r="V56" s="16"/>
      <c r="W56" s="16"/>
      <c r="X56" s="16" t="str">
        <f>"－"</f>
        <v>－</v>
      </c>
      <c r="Y56" s="16"/>
      <c r="Z56" s="17"/>
      <c r="AA56" s="13"/>
      <c r="AB56" s="18" t="str">
        <f>"－"</f>
        <v>－</v>
      </c>
      <c r="AC56" s="18" t="str">
        <f>"－"</f>
        <v>－</v>
      </c>
      <c r="AD56" s="19" t="str">
        <f>"－"</f>
        <v>－</v>
      </c>
    </row>
    <row r="57">
      <c r="A57" s="9" t="s">
        <v>49</v>
      </c>
      <c r="B57" s="10" t="s">
        <v>172</v>
      </c>
      <c r="C57" s="10" t="s">
        <v>173</v>
      </c>
      <c r="D57" s="10" t="s">
        <v>164</v>
      </c>
      <c r="E57" s="11" t="s">
        <v>125</v>
      </c>
      <c r="F57" s="11" t="s">
        <v>208</v>
      </c>
      <c r="G57" s="12" t="n">
        <v>74400.0</v>
      </c>
      <c r="H57" s="13"/>
      <c r="I57" s="14" t="s">
        <v>55</v>
      </c>
      <c r="J57" s="13"/>
      <c r="K57" s="14" t="s">
        <v>55</v>
      </c>
      <c r="L57" s="13"/>
      <c r="M57" s="14"/>
      <c r="N57" s="13"/>
      <c r="O57" s="14" t="s">
        <v>55</v>
      </c>
      <c r="P57" s="13"/>
      <c r="Q57" s="14"/>
      <c r="R57" s="13"/>
      <c r="S57" s="14" t="s">
        <v>55</v>
      </c>
      <c r="T57" s="15" t="n">
        <f>17.14</f>
        <v>17.14</v>
      </c>
      <c r="U57" s="16" t="str">
        <f>"－"</f>
        <v>－</v>
      </c>
      <c r="V57" s="16"/>
      <c r="W57" s="16"/>
      <c r="X57" s="16" t="str">
        <f>"－"</f>
        <v>－</v>
      </c>
      <c r="Y57" s="16"/>
      <c r="Z57" s="17"/>
      <c r="AA57" s="13"/>
      <c r="AB57" s="18" t="str">
        <f>"－"</f>
        <v>－</v>
      </c>
      <c r="AC57" s="18" t="str">
        <f>"－"</f>
        <v>－</v>
      </c>
      <c r="AD57" s="19" t="str">
        <f>"－"</f>
        <v>－</v>
      </c>
    </row>
    <row r="58">
      <c r="A58" s="9" t="s">
        <v>49</v>
      </c>
      <c r="B58" s="10" t="s">
        <v>172</v>
      </c>
      <c r="C58" s="10" t="s">
        <v>173</v>
      </c>
      <c r="D58" s="10" t="s">
        <v>209</v>
      </c>
      <c r="E58" s="11" t="s">
        <v>210</v>
      </c>
      <c r="F58" s="11" t="s">
        <v>211</v>
      </c>
      <c r="G58" s="12" t="n">
        <v>72000.0</v>
      </c>
      <c r="H58" s="13"/>
      <c r="I58" s="14" t="s">
        <v>55</v>
      </c>
      <c r="J58" s="13"/>
      <c r="K58" s="14" t="s">
        <v>55</v>
      </c>
      <c r="L58" s="13"/>
      <c r="M58" s="14"/>
      <c r="N58" s="13"/>
      <c r="O58" s="14" t="s">
        <v>55</v>
      </c>
      <c r="P58" s="13"/>
      <c r="Q58" s="14"/>
      <c r="R58" s="13"/>
      <c r="S58" s="14" t="s">
        <v>55</v>
      </c>
      <c r="T58" s="15" t="n">
        <f>16.65</f>
        <v>16.65</v>
      </c>
      <c r="U58" s="16" t="str">
        <f>"－"</f>
        <v>－</v>
      </c>
      <c r="V58" s="16"/>
      <c r="W58" s="16"/>
      <c r="X58" s="16" t="str">
        <f>"－"</f>
        <v>－</v>
      </c>
      <c r="Y58" s="16"/>
      <c r="Z58" s="17"/>
      <c r="AA58" s="13"/>
      <c r="AB58" s="18" t="str">
        <f>"－"</f>
        <v>－</v>
      </c>
      <c r="AC58" s="18" t="str">
        <f>"－"</f>
        <v>－</v>
      </c>
      <c r="AD58" s="19" t="str">
        <f>"－"</f>
        <v>－</v>
      </c>
    </row>
    <row r="59">
      <c r="A59" s="9" t="s">
        <v>49</v>
      </c>
      <c r="B59" s="10" t="s">
        <v>172</v>
      </c>
      <c r="C59" s="10" t="s">
        <v>173</v>
      </c>
      <c r="D59" s="10" t="s">
        <v>212</v>
      </c>
      <c r="E59" s="11" t="s">
        <v>213</v>
      </c>
      <c r="F59" s="11" t="s">
        <v>214</v>
      </c>
      <c r="G59" s="12" t="n">
        <v>74400.0</v>
      </c>
      <c r="H59" s="13"/>
      <c r="I59" s="14" t="s">
        <v>55</v>
      </c>
      <c r="J59" s="13"/>
      <c r="K59" s="14" t="s">
        <v>55</v>
      </c>
      <c r="L59" s="13"/>
      <c r="M59" s="14"/>
      <c r="N59" s="13"/>
      <c r="O59" s="14" t="s">
        <v>55</v>
      </c>
      <c r="P59" s="13"/>
      <c r="Q59" s="14"/>
      <c r="R59" s="13"/>
      <c r="S59" s="14" t="s">
        <v>55</v>
      </c>
      <c r="T59" s="15" t="n">
        <f>14.71</f>
        <v>14.71</v>
      </c>
      <c r="U59" s="16" t="str">
        <f>"－"</f>
        <v>－</v>
      </c>
      <c r="V59" s="16"/>
      <c r="W59" s="16"/>
      <c r="X59" s="16" t="str">
        <f>"－"</f>
        <v>－</v>
      </c>
      <c r="Y59" s="16"/>
      <c r="Z59" s="17"/>
      <c r="AA59" s="13"/>
      <c r="AB59" s="18" t="str">
        <f>"－"</f>
        <v>－</v>
      </c>
      <c r="AC59" s="18" t="str">
        <f>"－"</f>
        <v>－</v>
      </c>
      <c r="AD59" s="19" t="str">
        <f>"－"</f>
        <v>－</v>
      </c>
    </row>
    <row r="60">
      <c r="A60" s="9" t="s">
        <v>49</v>
      </c>
      <c r="B60" s="10" t="s">
        <v>172</v>
      </c>
      <c r="C60" s="10" t="s">
        <v>173</v>
      </c>
      <c r="D60" s="10" t="s">
        <v>215</v>
      </c>
      <c r="E60" s="11" t="s">
        <v>141</v>
      </c>
      <c r="F60" s="11" t="s">
        <v>216</v>
      </c>
      <c r="G60" s="12" t="n">
        <v>72000.0</v>
      </c>
      <c r="H60" s="13"/>
      <c r="I60" s="14" t="s">
        <v>55</v>
      </c>
      <c r="J60" s="13"/>
      <c r="K60" s="14" t="s">
        <v>55</v>
      </c>
      <c r="L60" s="13"/>
      <c r="M60" s="14"/>
      <c r="N60" s="13"/>
      <c r="O60" s="14" t="s">
        <v>55</v>
      </c>
      <c r="P60" s="13"/>
      <c r="Q60" s="14"/>
      <c r="R60" s="13"/>
      <c r="S60" s="14" t="s">
        <v>55</v>
      </c>
      <c r="T60" s="15" t="n">
        <f>14.88</f>
        <v>14.88</v>
      </c>
      <c r="U60" s="16" t="str">
        <f>"－"</f>
        <v>－</v>
      </c>
      <c r="V60" s="16"/>
      <c r="W60" s="16"/>
      <c r="X60" s="16" t="str">
        <f>"－"</f>
        <v>－</v>
      </c>
      <c r="Y60" s="16"/>
      <c r="Z60" s="17"/>
      <c r="AA60" s="13"/>
      <c r="AB60" s="18" t="str">
        <f>"－"</f>
        <v>－</v>
      </c>
      <c r="AC60" s="18" t="str">
        <f>"－"</f>
        <v>－</v>
      </c>
      <c r="AD60" s="19" t="str">
        <f>"－"</f>
        <v>－</v>
      </c>
    </row>
    <row r="61">
      <c r="A61" s="9" t="s">
        <v>49</v>
      </c>
      <c r="B61" s="10" t="s">
        <v>172</v>
      </c>
      <c r="C61" s="10" t="s">
        <v>173</v>
      </c>
      <c r="D61" s="10" t="s">
        <v>217</v>
      </c>
      <c r="E61" s="11" t="s">
        <v>144</v>
      </c>
      <c r="F61" s="11" t="s">
        <v>218</v>
      </c>
      <c r="G61" s="12" t="n">
        <v>74400.0</v>
      </c>
      <c r="H61" s="13"/>
      <c r="I61" s="14" t="s">
        <v>55</v>
      </c>
      <c r="J61" s="13"/>
      <c r="K61" s="14" t="s">
        <v>55</v>
      </c>
      <c r="L61" s="13"/>
      <c r="M61" s="14"/>
      <c r="N61" s="13"/>
      <c r="O61" s="14" t="s">
        <v>55</v>
      </c>
      <c r="P61" s="13"/>
      <c r="Q61" s="14"/>
      <c r="R61" s="13"/>
      <c r="S61" s="14" t="s">
        <v>55</v>
      </c>
      <c r="T61" s="15" t="n">
        <f>15.28</f>
        <v>15.28</v>
      </c>
      <c r="U61" s="16" t="str">
        <f>"－"</f>
        <v>－</v>
      </c>
      <c r="V61" s="16"/>
      <c r="W61" s="16"/>
      <c r="X61" s="16" t="str">
        <f>"－"</f>
        <v>－</v>
      </c>
      <c r="Y61" s="16"/>
      <c r="Z61" s="17"/>
      <c r="AA61" s="13"/>
      <c r="AB61" s="18" t="str">
        <f>"－"</f>
        <v>－</v>
      </c>
      <c r="AC61" s="18" t="str">
        <f>"－"</f>
        <v>－</v>
      </c>
      <c r="AD61" s="19" t="str">
        <f>"－"</f>
        <v>－</v>
      </c>
    </row>
    <row r="62">
      <c r="A62" s="9" t="s">
        <v>49</v>
      </c>
      <c r="B62" s="10" t="s">
        <v>172</v>
      </c>
      <c r="C62" s="10" t="s">
        <v>173</v>
      </c>
      <c r="D62" s="10" t="s">
        <v>219</v>
      </c>
      <c r="E62" s="11" t="s">
        <v>149</v>
      </c>
      <c r="F62" s="11" t="s">
        <v>220</v>
      </c>
      <c r="G62" s="12" t="n">
        <v>74400.0</v>
      </c>
      <c r="H62" s="13"/>
      <c r="I62" s="14" t="s">
        <v>55</v>
      </c>
      <c r="J62" s="13"/>
      <c r="K62" s="14" t="s">
        <v>55</v>
      </c>
      <c r="L62" s="13"/>
      <c r="M62" s="14"/>
      <c r="N62" s="13"/>
      <c r="O62" s="14" t="s">
        <v>55</v>
      </c>
      <c r="P62" s="13"/>
      <c r="Q62" s="14"/>
      <c r="R62" s="13"/>
      <c r="S62" s="14" t="s">
        <v>55</v>
      </c>
      <c r="T62" s="15" t="n">
        <f>15.35</f>
        <v>15.35</v>
      </c>
      <c r="U62" s="16" t="str">
        <f>"－"</f>
        <v>－</v>
      </c>
      <c r="V62" s="16"/>
      <c r="W62" s="16"/>
      <c r="X62" s="16" t="str">
        <f>"－"</f>
        <v>－</v>
      </c>
      <c r="Y62" s="16"/>
      <c r="Z62" s="17"/>
      <c r="AA62" s="13"/>
      <c r="AB62" s="18" t="str">
        <f>"－"</f>
        <v>－</v>
      </c>
      <c r="AC62" s="18" t="str">
        <f>"－"</f>
        <v>－</v>
      </c>
      <c r="AD62" s="19" t="str">
        <f>"－"</f>
        <v>－</v>
      </c>
    </row>
    <row r="63">
      <c r="A63" s="9" t="s">
        <v>49</v>
      </c>
      <c r="B63" s="10" t="s">
        <v>172</v>
      </c>
      <c r="C63" s="10" t="s">
        <v>173</v>
      </c>
      <c r="D63" s="10" t="s">
        <v>221</v>
      </c>
      <c r="E63" s="11" t="s">
        <v>152</v>
      </c>
      <c r="F63" s="11" t="s">
        <v>222</v>
      </c>
      <c r="G63" s="12" t="n">
        <v>69600.0</v>
      </c>
      <c r="H63" s="13"/>
      <c r="I63" s="14" t="s">
        <v>55</v>
      </c>
      <c r="J63" s="13"/>
      <c r="K63" s="14" t="s">
        <v>55</v>
      </c>
      <c r="L63" s="13"/>
      <c r="M63" s="14"/>
      <c r="N63" s="13"/>
      <c r="O63" s="14" t="s">
        <v>55</v>
      </c>
      <c r="P63" s="13"/>
      <c r="Q63" s="14"/>
      <c r="R63" s="13"/>
      <c r="S63" s="14" t="s">
        <v>55</v>
      </c>
      <c r="T63" s="15" t="n">
        <f>15.06</f>
        <v>15.06</v>
      </c>
      <c r="U63" s="16" t="str">
        <f>"－"</f>
        <v>－</v>
      </c>
      <c r="V63" s="16"/>
      <c r="W63" s="16"/>
      <c r="X63" s="16" t="str">
        <f>"－"</f>
        <v>－</v>
      </c>
      <c r="Y63" s="16"/>
      <c r="Z63" s="17"/>
      <c r="AA63" s="13"/>
      <c r="AB63" s="18" t="str">
        <f>"－"</f>
        <v>－</v>
      </c>
      <c r="AC63" s="18" t="str">
        <f>"－"</f>
        <v>－</v>
      </c>
      <c r="AD63" s="19" t="str">
        <f>"－"</f>
        <v>－</v>
      </c>
    </row>
    <row r="64">
      <c r="A64" s="9" t="s">
        <v>49</v>
      </c>
      <c r="B64" s="10" t="s">
        <v>172</v>
      </c>
      <c r="C64" s="10" t="s">
        <v>173</v>
      </c>
      <c r="D64" s="10" t="s">
        <v>223</v>
      </c>
      <c r="E64" s="11" t="s">
        <v>224</v>
      </c>
      <c r="F64" s="11" t="s">
        <v>225</v>
      </c>
      <c r="G64" s="12" t="n">
        <v>74400.0</v>
      </c>
      <c r="H64" s="13"/>
      <c r="I64" s="14" t="s">
        <v>55</v>
      </c>
      <c r="J64" s="13"/>
      <c r="K64" s="14" t="s">
        <v>55</v>
      </c>
      <c r="L64" s="13"/>
      <c r="M64" s="14"/>
      <c r="N64" s="13"/>
      <c r="O64" s="14" t="s">
        <v>55</v>
      </c>
      <c r="P64" s="13"/>
      <c r="Q64" s="14"/>
      <c r="R64" s="13"/>
      <c r="S64" s="14" t="s">
        <v>55</v>
      </c>
      <c r="T64" s="15" t="n">
        <f>13.57</f>
        <v>13.57</v>
      </c>
      <c r="U64" s="16" t="str">
        <f>"－"</f>
        <v>－</v>
      </c>
      <c r="V64" s="16"/>
      <c r="W64" s="16"/>
      <c r="X64" s="16" t="str">
        <f>"－"</f>
        <v>－</v>
      </c>
      <c r="Y64" s="16"/>
      <c r="Z64" s="17"/>
      <c r="AA64" s="13"/>
      <c r="AB64" s="18" t="str">
        <f>"－"</f>
        <v>－</v>
      </c>
      <c r="AC64" s="18" t="str">
        <f>"－"</f>
        <v>－</v>
      </c>
      <c r="AD64" s="19" t="str">
        <f>"－"</f>
        <v>－</v>
      </c>
    </row>
    <row r="65">
      <c r="A65" s="9" t="s">
        <v>49</v>
      </c>
      <c r="B65" s="10" t="s">
        <v>172</v>
      </c>
      <c r="C65" s="10" t="s">
        <v>173</v>
      </c>
      <c r="D65" s="10" t="s">
        <v>226</v>
      </c>
      <c r="E65" s="11" t="s">
        <v>227</v>
      </c>
      <c r="F65" s="11" t="s">
        <v>228</v>
      </c>
      <c r="G65" s="12" t="n">
        <v>72000.0</v>
      </c>
      <c r="H65" s="13"/>
      <c r="I65" s="14" t="s">
        <v>55</v>
      </c>
      <c r="J65" s="13"/>
      <c r="K65" s="14" t="s">
        <v>55</v>
      </c>
      <c r="L65" s="13"/>
      <c r="M65" s="14"/>
      <c r="N65" s="13"/>
      <c r="O65" s="14" t="s">
        <v>55</v>
      </c>
      <c r="P65" s="13"/>
      <c r="Q65" s="14"/>
      <c r="R65" s="13"/>
      <c r="S65" s="14" t="s">
        <v>55</v>
      </c>
      <c r="T65" s="15" t="n">
        <f>13.3</f>
        <v>13.3</v>
      </c>
      <c r="U65" s="16" t="str">
        <f>"－"</f>
        <v>－</v>
      </c>
      <c r="V65" s="16"/>
      <c r="W65" s="16"/>
      <c r="X65" s="16" t="str">
        <f>"－"</f>
        <v>－</v>
      </c>
      <c r="Y65" s="16"/>
      <c r="Z65" s="17"/>
      <c r="AA65" s="13"/>
      <c r="AB65" s="18" t="str">
        <f>"－"</f>
        <v>－</v>
      </c>
      <c r="AC65" s="18" t="str">
        <f>"－"</f>
        <v>－</v>
      </c>
      <c r="AD65" s="19" t="str">
        <f>"－"</f>
        <v>－</v>
      </c>
    </row>
    <row r="66">
      <c r="A66" s="9" t="s">
        <v>49</v>
      </c>
      <c r="B66" s="10" t="s">
        <v>172</v>
      </c>
      <c r="C66" s="10" t="s">
        <v>173</v>
      </c>
      <c r="D66" s="10" t="s">
        <v>229</v>
      </c>
      <c r="E66" s="11" t="s">
        <v>165</v>
      </c>
      <c r="F66" s="11" t="s">
        <v>230</v>
      </c>
      <c r="G66" s="12" t="n">
        <v>74400.0</v>
      </c>
      <c r="H66" s="13"/>
      <c r="I66" s="14" t="s">
        <v>55</v>
      </c>
      <c r="J66" s="13"/>
      <c r="K66" s="14" t="s">
        <v>55</v>
      </c>
      <c r="L66" s="13"/>
      <c r="M66" s="14"/>
      <c r="N66" s="13"/>
      <c r="O66" s="14" t="s">
        <v>55</v>
      </c>
      <c r="P66" s="13"/>
      <c r="Q66" s="14"/>
      <c r="R66" s="13"/>
      <c r="S66" s="14" t="s">
        <v>55</v>
      </c>
      <c r="T66" s="15" t="n">
        <f>13.28</f>
        <v>13.28</v>
      </c>
      <c r="U66" s="16" t="str">
        <f>"－"</f>
        <v>－</v>
      </c>
      <c r="V66" s="16"/>
      <c r="W66" s="16"/>
      <c r="X66" s="16" t="str">
        <f>"－"</f>
        <v>－</v>
      </c>
      <c r="Y66" s="16"/>
      <c r="Z66" s="17"/>
      <c r="AA66" s="13"/>
      <c r="AB66" s="18" t="str">
        <f>"－"</f>
        <v>－</v>
      </c>
      <c r="AC66" s="18" t="str">
        <f>"－"</f>
        <v>－</v>
      </c>
      <c r="AD66" s="19" t="str">
        <f>"－"</f>
        <v>－</v>
      </c>
    </row>
    <row r="67">
      <c r="A67" s="9" t="s">
        <v>49</v>
      </c>
      <c r="B67" s="10" t="s">
        <v>172</v>
      </c>
      <c r="C67" s="10" t="s">
        <v>173</v>
      </c>
      <c r="D67" s="10" t="s">
        <v>231</v>
      </c>
      <c r="E67" s="11" t="s">
        <v>82</v>
      </c>
      <c r="F67" s="11" t="s">
        <v>232</v>
      </c>
      <c r="G67" s="12" t="n">
        <v>72000.0</v>
      </c>
      <c r="H67" s="13"/>
      <c r="I67" s="14" t="s">
        <v>55</v>
      </c>
      <c r="J67" s="13"/>
      <c r="K67" s="14" t="s">
        <v>55</v>
      </c>
      <c r="L67" s="13"/>
      <c r="M67" s="14"/>
      <c r="N67" s="13"/>
      <c r="O67" s="14" t="s">
        <v>55</v>
      </c>
      <c r="P67" s="13"/>
      <c r="Q67" s="14"/>
      <c r="R67" s="13"/>
      <c r="S67" s="14" t="s">
        <v>55</v>
      </c>
      <c r="T67" s="15" t="n">
        <f>13.99</f>
        <v>13.99</v>
      </c>
      <c r="U67" s="16" t="str">
        <f>"－"</f>
        <v>－</v>
      </c>
      <c r="V67" s="16"/>
      <c r="W67" s="16"/>
      <c r="X67" s="16" t="str">
        <f>"－"</f>
        <v>－</v>
      </c>
      <c r="Y67" s="16"/>
      <c r="Z67" s="17"/>
      <c r="AA67" s="13"/>
      <c r="AB67" s="18" t="str">
        <f>"－"</f>
        <v>－</v>
      </c>
      <c r="AC67" s="18" t="str">
        <f>"－"</f>
        <v>－</v>
      </c>
      <c r="AD67" s="19" t="str">
        <f>"－"</f>
        <v>－</v>
      </c>
    </row>
    <row r="68">
      <c r="A68" s="9" t="s">
        <v>49</v>
      </c>
      <c r="B68" s="10" t="s">
        <v>233</v>
      </c>
      <c r="C68" s="10" t="s">
        <v>234</v>
      </c>
      <c r="D68" s="10" t="s">
        <v>49</v>
      </c>
      <c r="E68" s="11" t="s">
        <v>174</v>
      </c>
      <c r="F68" s="11" t="s">
        <v>175</v>
      </c>
      <c r="G68" s="12" t="n">
        <v>72000.0</v>
      </c>
      <c r="H68" s="13"/>
      <c r="I68" s="14" t="s">
        <v>55</v>
      </c>
      <c r="J68" s="13"/>
      <c r="K68" s="14" t="s">
        <v>55</v>
      </c>
      <c r="L68" s="13"/>
      <c r="M68" s="14"/>
      <c r="N68" s="13"/>
      <c r="O68" s="14" t="s">
        <v>55</v>
      </c>
      <c r="P68" s="13"/>
      <c r="Q68" s="14"/>
      <c r="R68" s="13"/>
      <c r="S68" s="14" t="s">
        <v>55</v>
      </c>
      <c r="T68" s="15" t="n">
        <f>16.2</f>
        <v>16.2</v>
      </c>
      <c r="U68" s="16" t="str">
        <f>"－"</f>
        <v>－</v>
      </c>
      <c r="V68" s="16"/>
      <c r="W68" s="16"/>
      <c r="X68" s="16" t="str">
        <f>"－"</f>
        <v>－</v>
      </c>
      <c r="Y68" s="16"/>
      <c r="Z68" s="17"/>
      <c r="AA68" s="13" t="s">
        <v>56</v>
      </c>
      <c r="AB68" s="18" t="n">
        <f>286</f>
        <v>286.0</v>
      </c>
      <c r="AC68" s="18" t="str">
        <f>"－"</f>
        <v>－</v>
      </c>
      <c r="AD68" s="19" t="str">
        <f>"－"</f>
        <v>－</v>
      </c>
    </row>
    <row r="69">
      <c r="A69" s="9" t="s">
        <v>49</v>
      </c>
      <c r="B69" s="10" t="s">
        <v>233</v>
      </c>
      <c r="C69" s="10" t="s">
        <v>234</v>
      </c>
      <c r="D69" s="10" t="s">
        <v>52</v>
      </c>
      <c r="E69" s="11" t="s">
        <v>176</v>
      </c>
      <c r="F69" s="11" t="s">
        <v>177</v>
      </c>
      <c r="G69" s="12" t="n">
        <v>74400.0</v>
      </c>
      <c r="H69" s="13"/>
      <c r="I69" s="14" t="s">
        <v>55</v>
      </c>
      <c r="J69" s="13"/>
      <c r="K69" s="14" t="s">
        <v>55</v>
      </c>
      <c r="L69" s="13" t="s">
        <v>132</v>
      </c>
      <c r="M69" s="14" t="s">
        <v>235</v>
      </c>
      <c r="N69" s="13"/>
      <c r="O69" s="14" t="s">
        <v>55</v>
      </c>
      <c r="P69" s="13" t="s">
        <v>132</v>
      </c>
      <c r="Q69" s="14" t="s">
        <v>235</v>
      </c>
      <c r="R69" s="13"/>
      <c r="S69" s="14" t="s">
        <v>55</v>
      </c>
      <c r="T69" s="15" t="n">
        <f>18.34</f>
        <v>18.34</v>
      </c>
      <c r="U69" s="16" t="n">
        <f>8</f>
        <v>8.0</v>
      </c>
      <c r="V69" s="16" t="n">
        <v>8.0</v>
      </c>
      <c r="W69" s="16"/>
      <c r="X69" s="16" t="n">
        <f>8541120</f>
        <v>8541120.0</v>
      </c>
      <c r="Y69" s="16" t="n">
        <v>8541120.0</v>
      </c>
      <c r="Z69" s="17"/>
      <c r="AA69" s="13"/>
      <c r="AB69" s="18" t="n">
        <f>447</f>
        <v>447.0</v>
      </c>
      <c r="AC69" s="18" t="str">
        <f>"－"</f>
        <v>－</v>
      </c>
      <c r="AD69" s="19" t="str">
        <f>"－"</f>
        <v>－</v>
      </c>
    </row>
    <row r="70">
      <c r="A70" s="9" t="s">
        <v>49</v>
      </c>
      <c r="B70" s="10" t="s">
        <v>233</v>
      </c>
      <c r="C70" s="10" t="s">
        <v>234</v>
      </c>
      <c r="D70" s="10" t="s">
        <v>57</v>
      </c>
      <c r="E70" s="11" t="s">
        <v>183</v>
      </c>
      <c r="F70" s="11" t="s">
        <v>184</v>
      </c>
      <c r="G70" s="12" t="n">
        <v>74400.0</v>
      </c>
      <c r="H70" s="13"/>
      <c r="I70" s="14" t="s">
        <v>55</v>
      </c>
      <c r="J70" s="13"/>
      <c r="K70" s="14" t="s">
        <v>55</v>
      </c>
      <c r="L70" s="13" t="s">
        <v>132</v>
      </c>
      <c r="M70" s="14" t="s">
        <v>235</v>
      </c>
      <c r="N70" s="13"/>
      <c r="O70" s="14" t="s">
        <v>55</v>
      </c>
      <c r="P70" s="13" t="s">
        <v>132</v>
      </c>
      <c r="Q70" s="14" t="s">
        <v>235</v>
      </c>
      <c r="R70" s="13"/>
      <c r="S70" s="14" t="s">
        <v>55</v>
      </c>
      <c r="T70" s="15" t="n">
        <f>18.98</f>
        <v>18.98</v>
      </c>
      <c r="U70" s="16" t="n">
        <f>8</f>
        <v>8.0</v>
      </c>
      <c r="V70" s="16" t="n">
        <v>8.0</v>
      </c>
      <c r="W70" s="16"/>
      <c r="X70" s="16" t="n">
        <f>8541120</f>
        <v>8541120.0</v>
      </c>
      <c r="Y70" s="16" t="n">
        <v>8541120.0</v>
      </c>
      <c r="Z70" s="17"/>
      <c r="AA70" s="13"/>
      <c r="AB70" s="18" t="n">
        <f>352</f>
        <v>352.0</v>
      </c>
      <c r="AC70" s="18" t="str">
        <f>"－"</f>
        <v>－</v>
      </c>
      <c r="AD70" s="19" t="str">
        <f>"－"</f>
        <v>－</v>
      </c>
    </row>
    <row r="71">
      <c r="A71" s="9" t="s">
        <v>49</v>
      </c>
      <c r="B71" s="10" t="s">
        <v>233</v>
      </c>
      <c r="C71" s="10" t="s">
        <v>234</v>
      </c>
      <c r="D71" s="10" t="s">
        <v>60</v>
      </c>
      <c r="E71" s="11" t="s">
        <v>188</v>
      </c>
      <c r="F71" s="11" t="s">
        <v>189</v>
      </c>
      <c r="G71" s="12" t="n">
        <v>72000.0</v>
      </c>
      <c r="H71" s="13"/>
      <c r="I71" s="14" t="s">
        <v>55</v>
      </c>
      <c r="J71" s="13"/>
      <c r="K71" s="14" t="s">
        <v>55</v>
      </c>
      <c r="L71" s="13" t="s">
        <v>132</v>
      </c>
      <c r="M71" s="14" t="s">
        <v>235</v>
      </c>
      <c r="N71" s="13"/>
      <c r="O71" s="14" t="s">
        <v>55</v>
      </c>
      <c r="P71" s="13" t="s">
        <v>132</v>
      </c>
      <c r="Q71" s="14" t="s">
        <v>235</v>
      </c>
      <c r="R71" s="13"/>
      <c r="S71" s="14" t="s">
        <v>55</v>
      </c>
      <c r="T71" s="15" t="n">
        <f>18.11</f>
        <v>18.11</v>
      </c>
      <c r="U71" s="16" t="n">
        <f>8</f>
        <v>8.0</v>
      </c>
      <c r="V71" s="16" t="n">
        <v>8.0</v>
      </c>
      <c r="W71" s="16"/>
      <c r="X71" s="16" t="n">
        <f>8265600</f>
        <v>8265600.0</v>
      </c>
      <c r="Y71" s="16" t="n">
        <v>8265600.0</v>
      </c>
      <c r="Z71" s="17"/>
      <c r="AA71" s="13"/>
      <c r="AB71" s="18" t="n">
        <f>352</f>
        <v>352.0</v>
      </c>
      <c r="AC71" s="18" t="str">
        <f>"－"</f>
        <v>－</v>
      </c>
      <c r="AD71" s="19" t="str">
        <f>"－"</f>
        <v>－</v>
      </c>
    </row>
    <row r="72">
      <c r="A72" s="9" t="s">
        <v>49</v>
      </c>
      <c r="B72" s="10" t="s">
        <v>233</v>
      </c>
      <c r="C72" s="10" t="s">
        <v>234</v>
      </c>
      <c r="D72" s="10" t="s">
        <v>63</v>
      </c>
      <c r="E72" s="11" t="s">
        <v>191</v>
      </c>
      <c r="F72" s="11" t="s">
        <v>116</v>
      </c>
      <c r="G72" s="12" t="n">
        <v>74400.0</v>
      </c>
      <c r="H72" s="13"/>
      <c r="I72" s="14" t="s">
        <v>55</v>
      </c>
      <c r="J72" s="13"/>
      <c r="K72" s="14" t="s">
        <v>55</v>
      </c>
      <c r="L72" s="13" t="s">
        <v>236</v>
      </c>
      <c r="M72" s="14" t="s">
        <v>237</v>
      </c>
      <c r="N72" s="13"/>
      <c r="O72" s="14" t="s">
        <v>55</v>
      </c>
      <c r="P72" s="13" t="s">
        <v>132</v>
      </c>
      <c r="Q72" s="14" t="s">
        <v>235</v>
      </c>
      <c r="R72" s="13"/>
      <c r="S72" s="14" t="s">
        <v>55</v>
      </c>
      <c r="T72" s="15" t="n">
        <f>15.29</f>
        <v>15.29</v>
      </c>
      <c r="U72" s="16" t="n">
        <f>38</f>
        <v>38.0</v>
      </c>
      <c r="V72" s="16" t="n">
        <v>38.0</v>
      </c>
      <c r="W72" s="16"/>
      <c r="X72" s="16" t="n">
        <f>42021120</f>
        <v>4.202112E7</v>
      </c>
      <c r="Y72" s="16" t="n">
        <v>4.202112E7</v>
      </c>
      <c r="Z72" s="17"/>
      <c r="AA72" s="13"/>
      <c r="AB72" s="18" t="n">
        <f>202</f>
        <v>202.0</v>
      </c>
      <c r="AC72" s="18" t="str">
        <f>"－"</f>
        <v>－</v>
      </c>
      <c r="AD72" s="19" t="str">
        <f>"－"</f>
        <v>－</v>
      </c>
    </row>
    <row r="73">
      <c r="A73" s="9" t="s">
        <v>49</v>
      </c>
      <c r="B73" s="10" t="s">
        <v>233</v>
      </c>
      <c r="C73" s="10" t="s">
        <v>234</v>
      </c>
      <c r="D73" s="10" t="s">
        <v>66</v>
      </c>
      <c r="E73" s="11" t="s">
        <v>192</v>
      </c>
      <c r="F73" s="11" t="s">
        <v>193</v>
      </c>
      <c r="G73" s="12" t="n">
        <v>72000.0</v>
      </c>
      <c r="H73" s="13"/>
      <c r="I73" s="14" t="s">
        <v>55</v>
      </c>
      <c r="J73" s="13"/>
      <c r="K73" s="14" t="s">
        <v>55</v>
      </c>
      <c r="L73" s="13" t="s">
        <v>236</v>
      </c>
      <c r="M73" s="14" t="s">
        <v>238</v>
      </c>
      <c r="N73" s="13"/>
      <c r="O73" s="14" t="s">
        <v>55</v>
      </c>
      <c r="P73" s="13" t="s">
        <v>132</v>
      </c>
      <c r="Q73" s="14" t="s">
        <v>235</v>
      </c>
      <c r="R73" s="13"/>
      <c r="S73" s="14" t="s">
        <v>55</v>
      </c>
      <c r="T73" s="15" t="n">
        <f>15.37</f>
        <v>15.37</v>
      </c>
      <c r="U73" s="16" t="n">
        <f>38</f>
        <v>38.0</v>
      </c>
      <c r="V73" s="16" t="n">
        <v>38.0</v>
      </c>
      <c r="W73" s="16"/>
      <c r="X73" s="16" t="n">
        <f>40557600</f>
        <v>4.05576E7</v>
      </c>
      <c r="Y73" s="16" t="n">
        <v>4.05576E7</v>
      </c>
      <c r="Z73" s="17"/>
      <c r="AA73" s="13"/>
      <c r="AB73" s="18" t="n">
        <f>402</f>
        <v>402.0</v>
      </c>
      <c r="AC73" s="18" t="str">
        <f>"－"</f>
        <v>－</v>
      </c>
      <c r="AD73" s="19" t="str">
        <f>"－"</f>
        <v>－</v>
      </c>
    </row>
    <row r="74">
      <c r="A74" s="9" t="s">
        <v>49</v>
      </c>
      <c r="B74" s="10" t="s">
        <v>233</v>
      </c>
      <c r="C74" s="10" t="s">
        <v>234</v>
      </c>
      <c r="D74" s="10" t="s">
        <v>69</v>
      </c>
      <c r="E74" s="11" t="s">
        <v>194</v>
      </c>
      <c r="F74" s="11" t="s">
        <v>136</v>
      </c>
      <c r="G74" s="12" t="n">
        <v>74400.0</v>
      </c>
      <c r="H74" s="13"/>
      <c r="I74" s="14" t="s">
        <v>55</v>
      </c>
      <c r="J74" s="13"/>
      <c r="K74" s="14" t="s">
        <v>55</v>
      </c>
      <c r="L74" s="13" t="s">
        <v>132</v>
      </c>
      <c r="M74" s="14" t="s">
        <v>235</v>
      </c>
      <c r="N74" s="13"/>
      <c r="O74" s="14" t="s">
        <v>55</v>
      </c>
      <c r="P74" s="13" t="s">
        <v>132</v>
      </c>
      <c r="Q74" s="14" t="s">
        <v>235</v>
      </c>
      <c r="R74" s="13"/>
      <c r="S74" s="14" t="s">
        <v>55</v>
      </c>
      <c r="T74" s="15" t="n">
        <f>15.76</f>
        <v>15.76</v>
      </c>
      <c r="U74" s="16" t="n">
        <f>8</f>
        <v>8.0</v>
      </c>
      <c r="V74" s="16" t="n">
        <v>8.0</v>
      </c>
      <c r="W74" s="16"/>
      <c r="X74" s="16" t="n">
        <f>8541120</f>
        <v>8541120.0</v>
      </c>
      <c r="Y74" s="16" t="n">
        <v>8541120.0</v>
      </c>
      <c r="Z74" s="17"/>
      <c r="AA74" s="13"/>
      <c r="AB74" s="18" t="n">
        <f>663</f>
        <v>663.0</v>
      </c>
      <c r="AC74" s="18" t="str">
        <f>"－"</f>
        <v>－</v>
      </c>
      <c r="AD74" s="19" t="str">
        <f>"－"</f>
        <v>－</v>
      </c>
    </row>
    <row r="75">
      <c r="A75" s="9" t="s">
        <v>49</v>
      </c>
      <c r="B75" s="10" t="s">
        <v>233</v>
      </c>
      <c r="C75" s="10" t="s">
        <v>234</v>
      </c>
      <c r="D75" s="10" t="s">
        <v>72</v>
      </c>
      <c r="E75" s="11" t="s">
        <v>195</v>
      </c>
      <c r="F75" s="11" t="s">
        <v>139</v>
      </c>
      <c r="G75" s="12" t="n">
        <v>74400.0</v>
      </c>
      <c r="H75" s="13"/>
      <c r="I75" s="14" t="s">
        <v>55</v>
      </c>
      <c r="J75" s="13"/>
      <c r="K75" s="14" t="s">
        <v>55</v>
      </c>
      <c r="L75" s="13" t="s">
        <v>132</v>
      </c>
      <c r="M75" s="14" t="s">
        <v>235</v>
      </c>
      <c r="N75" s="13"/>
      <c r="O75" s="14" t="s">
        <v>55</v>
      </c>
      <c r="P75" s="13" t="s">
        <v>132</v>
      </c>
      <c r="Q75" s="14" t="s">
        <v>235</v>
      </c>
      <c r="R75" s="13"/>
      <c r="S75" s="14" t="s">
        <v>55</v>
      </c>
      <c r="T75" s="15" t="n">
        <f>16.74</f>
        <v>16.74</v>
      </c>
      <c r="U75" s="16" t="n">
        <f>8</f>
        <v>8.0</v>
      </c>
      <c r="V75" s="16" t="n">
        <v>8.0</v>
      </c>
      <c r="W75" s="16"/>
      <c r="X75" s="16" t="n">
        <f>8541120</f>
        <v>8541120.0</v>
      </c>
      <c r="Y75" s="16" t="n">
        <v>8541120.0</v>
      </c>
      <c r="Z75" s="17"/>
      <c r="AA75" s="13"/>
      <c r="AB75" s="18" t="n">
        <f>463</f>
        <v>463.0</v>
      </c>
      <c r="AC75" s="18" t="str">
        <f>"－"</f>
        <v>－</v>
      </c>
      <c r="AD75" s="19" t="str">
        <f>"－"</f>
        <v>－</v>
      </c>
    </row>
    <row r="76">
      <c r="A76" s="9" t="s">
        <v>49</v>
      </c>
      <c r="B76" s="10" t="s">
        <v>233</v>
      </c>
      <c r="C76" s="10" t="s">
        <v>234</v>
      </c>
      <c r="D76" s="10" t="s">
        <v>140</v>
      </c>
      <c r="E76" s="11" t="s">
        <v>199</v>
      </c>
      <c r="F76" s="11" t="s">
        <v>142</v>
      </c>
      <c r="G76" s="12" t="n">
        <v>67200.0</v>
      </c>
      <c r="H76" s="13"/>
      <c r="I76" s="14" t="s">
        <v>55</v>
      </c>
      <c r="J76" s="13"/>
      <c r="K76" s="14" t="s">
        <v>55</v>
      </c>
      <c r="L76" s="13" t="s">
        <v>132</v>
      </c>
      <c r="M76" s="14" t="s">
        <v>235</v>
      </c>
      <c r="N76" s="13"/>
      <c r="O76" s="14" t="s">
        <v>55</v>
      </c>
      <c r="P76" s="13" t="s">
        <v>132</v>
      </c>
      <c r="Q76" s="14" t="s">
        <v>235</v>
      </c>
      <c r="R76" s="13"/>
      <c r="S76" s="14" t="s">
        <v>55</v>
      </c>
      <c r="T76" s="15" t="n">
        <f>16.37</f>
        <v>16.37</v>
      </c>
      <c r="U76" s="16" t="n">
        <f>8</f>
        <v>8.0</v>
      </c>
      <c r="V76" s="16" t="n">
        <v>8.0</v>
      </c>
      <c r="W76" s="16"/>
      <c r="X76" s="16" t="n">
        <f>7714560</f>
        <v>7714560.0</v>
      </c>
      <c r="Y76" s="16" t="n">
        <v>7714560.0</v>
      </c>
      <c r="Z76" s="17"/>
      <c r="AA76" s="13"/>
      <c r="AB76" s="18" t="n">
        <f>463</f>
        <v>463.0</v>
      </c>
      <c r="AC76" s="18" t="str">
        <f>"－"</f>
        <v>－</v>
      </c>
      <c r="AD76" s="19" t="str">
        <f>"－"</f>
        <v>－</v>
      </c>
    </row>
    <row r="77">
      <c r="A77" s="9" t="s">
        <v>49</v>
      </c>
      <c r="B77" s="10" t="s">
        <v>233</v>
      </c>
      <c r="C77" s="10" t="s">
        <v>234</v>
      </c>
      <c r="D77" s="10" t="s">
        <v>143</v>
      </c>
      <c r="E77" s="11" t="s">
        <v>200</v>
      </c>
      <c r="F77" s="11" t="s">
        <v>201</v>
      </c>
      <c r="G77" s="12" t="n">
        <v>74400.0</v>
      </c>
      <c r="H77" s="13"/>
      <c r="I77" s="14" t="s">
        <v>55</v>
      </c>
      <c r="J77" s="13"/>
      <c r="K77" s="14" t="s">
        <v>55</v>
      </c>
      <c r="L77" s="13" t="s">
        <v>132</v>
      </c>
      <c r="M77" s="14" t="s">
        <v>235</v>
      </c>
      <c r="N77" s="13"/>
      <c r="O77" s="14" t="s">
        <v>55</v>
      </c>
      <c r="P77" s="13" t="s">
        <v>132</v>
      </c>
      <c r="Q77" s="14" t="s">
        <v>235</v>
      </c>
      <c r="R77" s="13"/>
      <c r="S77" s="14" t="s">
        <v>55</v>
      </c>
      <c r="T77" s="15" t="n">
        <f>14.07</f>
        <v>14.07</v>
      </c>
      <c r="U77" s="16" t="n">
        <f>8</f>
        <v>8.0</v>
      </c>
      <c r="V77" s="16" t="n">
        <v>8.0</v>
      </c>
      <c r="W77" s="16"/>
      <c r="X77" s="16" t="n">
        <f>8541120</f>
        <v>8541120.0</v>
      </c>
      <c r="Y77" s="16" t="n">
        <v>8541120.0</v>
      </c>
      <c r="Z77" s="17"/>
      <c r="AA77" s="13"/>
      <c r="AB77" s="18" t="n">
        <f>172</f>
        <v>172.0</v>
      </c>
      <c r="AC77" s="18" t="str">
        <f>"－"</f>
        <v>－</v>
      </c>
      <c r="AD77" s="19" t="str">
        <f>"－"</f>
        <v>－</v>
      </c>
    </row>
    <row r="78">
      <c r="A78" s="9" t="s">
        <v>49</v>
      </c>
      <c r="B78" s="10" t="s">
        <v>233</v>
      </c>
      <c r="C78" s="10" t="s">
        <v>234</v>
      </c>
      <c r="D78" s="10" t="s">
        <v>148</v>
      </c>
      <c r="E78" s="11" t="s">
        <v>202</v>
      </c>
      <c r="F78" s="11" t="s">
        <v>203</v>
      </c>
      <c r="G78" s="12" t="n">
        <v>72000.0</v>
      </c>
      <c r="H78" s="13"/>
      <c r="I78" s="14" t="s">
        <v>55</v>
      </c>
      <c r="J78" s="13"/>
      <c r="K78" s="14" t="s">
        <v>55</v>
      </c>
      <c r="L78" s="13"/>
      <c r="M78" s="14"/>
      <c r="N78" s="13"/>
      <c r="O78" s="14" t="s">
        <v>55</v>
      </c>
      <c r="P78" s="13"/>
      <c r="Q78" s="14"/>
      <c r="R78" s="13"/>
      <c r="S78" s="14" t="s">
        <v>55</v>
      </c>
      <c r="T78" s="15" t="n">
        <f>13.71</f>
        <v>13.71</v>
      </c>
      <c r="U78" s="16" t="str">
        <f>"－"</f>
        <v>－</v>
      </c>
      <c r="V78" s="16"/>
      <c r="W78" s="16"/>
      <c r="X78" s="16" t="str">
        <f>"－"</f>
        <v>－</v>
      </c>
      <c r="Y78" s="16"/>
      <c r="Z78" s="17"/>
      <c r="AA78" s="13"/>
      <c r="AB78" s="18" t="str">
        <f>"－"</f>
        <v>－</v>
      </c>
      <c r="AC78" s="18" t="str">
        <f>"－"</f>
        <v>－</v>
      </c>
      <c r="AD78" s="19" t="str">
        <f>"－"</f>
        <v>－</v>
      </c>
    </row>
    <row r="79">
      <c r="A79" s="9" t="s">
        <v>49</v>
      </c>
      <c r="B79" s="10" t="s">
        <v>233</v>
      </c>
      <c r="C79" s="10" t="s">
        <v>234</v>
      </c>
      <c r="D79" s="10" t="s">
        <v>151</v>
      </c>
      <c r="E79" s="11" t="s">
        <v>102</v>
      </c>
      <c r="F79" s="11" t="s">
        <v>204</v>
      </c>
      <c r="G79" s="12" t="n">
        <v>74400.0</v>
      </c>
      <c r="H79" s="13"/>
      <c r="I79" s="14" t="s">
        <v>55</v>
      </c>
      <c r="J79" s="13"/>
      <c r="K79" s="14" t="s">
        <v>55</v>
      </c>
      <c r="L79" s="13"/>
      <c r="M79" s="14"/>
      <c r="N79" s="13"/>
      <c r="O79" s="14" t="s">
        <v>55</v>
      </c>
      <c r="P79" s="13"/>
      <c r="Q79" s="14"/>
      <c r="R79" s="13"/>
      <c r="S79" s="14" t="s">
        <v>55</v>
      </c>
      <c r="T79" s="15" t="n">
        <f>13.47</f>
        <v>13.47</v>
      </c>
      <c r="U79" s="16" t="str">
        <f>"－"</f>
        <v>－</v>
      </c>
      <c r="V79" s="16"/>
      <c r="W79" s="16"/>
      <c r="X79" s="16" t="str">
        <f>"－"</f>
        <v>－</v>
      </c>
      <c r="Y79" s="16"/>
      <c r="Z79" s="17"/>
      <c r="AA79" s="13"/>
      <c r="AB79" s="18" t="str">
        <f>"－"</f>
        <v>－</v>
      </c>
      <c r="AC79" s="18" t="str">
        <f>"－"</f>
        <v>－</v>
      </c>
      <c r="AD79" s="19" t="str">
        <f>"－"</f>
        <v>－</v>
      </c>
    </row>
    <row r="80">
      <c r="A80" s="9" t="s">
        <v>49</v>
      </c>
      <c r="B80" s="10" t="s">
        <v>233</v>
      </c>
      <c r="C80" s="10" t="s">
        <v>234</v>
      </c>
      <c r="D80" s="10" t="s">
        <v>156</v>
      </c>
      <c r="E80" s="11" t="s">
        <v>205</v>
      </c>
      <c r="F80" s="11" t="s">
        <v>206</v>
      </c>
      <c r="G80" s="12" t="n">
        <v>72000.0</v>
      </c>
      <c r="H80" s="13"/>
      <c r="I80" s="14" t="s">
        <v>55</v>
      </c>
      <c r="J80" s="13"/>
      <c r="K80" s="14" t="s">
        <v>55</v>
      </c>
      <c r="L80" s="13"/>
      <c r="M80" s="14"/>
      <c r="N80" s="13"/>
      <c r="O80" s="14" t="s">
        <v>55</v>
      </c>
      <c r="P80" s="13"/>
      <c r="Q80" s="14"/>
      <c r="R80" s="13"/>
      <c r="S80" s="14" t="s">
        <v>55</v>
      </c>
      <c r="T80" s="15" t="n">
        <f>14.46</f>
        <v>14.46</v>
      </c>
      <c r="U80" s="16" t="str">
        <f>"－"</f>
        <v>－</v>
      </c>
      <c r="V80" s="16"/>
      <c r="W80" s="16"/>
      <c r="X80" s="16" t="str">
        <f>"－"</f>
        <v>－</v>
      </c>
      <c r="Y80" s="16"/>
      <c r="Z80" s="17"/>
      <c r="AA80" s="13"/>
      <c r="AB80" s="18" t="str">
        <f>"－"</f>
        <v>－</v>
      </c>
      <c r="AC80" s="18" t="str">
        <f>"－"</f>
        <v>－</v>
      </c>
      <c r="AD80" s="19" t="str">
        <f>"－"</f>
        <v>－</v>
      </c>
    </row>
    <row r="81">
      <c r="A81" s="9" t="s">
        <v>49</v>
      </c>
      <c r="B81" s="10" t="s">
        <v>233</v>
      </c>
      <c r="C81" s="10" t="s">
        <v>234</v>
      </c>
      <c r="D81" s="10" t="s">
        <v>159</v>
      </c>
      <c r="E81" s="11" t="s">
        <v>207</v>
      </c>
      <c r="F81" s="11" t="s">
        <v>161</v>
      </c>
      <c r="G81" s="12" t="n">
        <v>74400.0</v>
      </c>
      <c r="H81" s="13"/>
      <c r="I81" s="14" t="s">
        <v>55</v>
      </c>
      <c r="J81" s="13"/>
      <c r="K81" s="14" t="s">
        <v>55</v>
      </c>
      <c r="L81" s="13"/>
      <c r="M81" s="14"/>
      <c r="N81" s="13"/>
      <c r="O81" s="14" t="s">
        <v>55</v>
      </c>
      <c r="P81" s="13"/>
      <c r="Q81" s="14"/>
      <c r="R81" s="13"/>
      <c r="S81" s="14" t="s">
        <v>55</v>
      </c>
      <c r="T81" s="15" t="n">
        <f>14.9</f>
        <v>14.9</v>
      </c>
      <c r="U81" s="16" t="str">
        <f>"－"</f>
        <v>－</v>
      </c>
      <c r="V81" s="16"/>
      <c r="W81" s="16"/>
      <c r="X81" s="16" t="str">
        <f>"－"</f>
        <v>－</v>
      </c>
      <c r="Y81" s="16"/>
      <c r="Z81" s="17"/>
      <c r="AA81" s="13"/>
      <c r="AB81" s="18" t="str">
        <f>"－"</f>
        <v>－</v>
      </c>
      <c r="AC81" s="18" t="str">
        <f>"－"</f>
        <v>－</v>
      </c>
      <c r="AD81" s="19" t="str">
        <f>"－"</f>
        <v>－</v>
      </c>
    </row>
    <row r="82">
      <c r="A82" s="9" t="s">
        <v>49</v>
      </c>
      <c r="B82" s="10" t="s">
        <v>233</v>
      </c>
      <c r="C82" s="10" t="s">
        <v>234</v>
      </c>
      <c r="D82" s="10" t="s">
        <v>164</v>
      </c>
      <c r="E82" s="11" t="s">
        <v>125</v>
      </c>
      <c r="F82" s="11" t="s">
        <v>208</v>
      </c>
      <c r="G82" s="12" t="n">
        <v>74400.0</v>
      </c>
      <c r="H82" s="13"/>
      <c r="I82" s="14" t="s">
        <v>55</v>
      </c>
      <c r="J82" s="13"/>
      <c r="K82" s="14" t="s">
        <v>55</v>
      </c>
      <c r="L82" s="13"/>
      <c r="M82" s="14"/>
      <c r="N82" s="13"/>
      <c r="O82" s="14" t="s">
        <v>55</v>
      </c>
      <c r="P82" s="13"/>
      <c r="Q82" s="14"/>
      <c r="R82" s="13"/>
      <c r="S82" s="14" t="s">
        <v>55</v>
      </c>
      <c r="T82" s="15" t="n">
        <f>15.19</f>
        <v>15.19</v>
      </c>
      <c r="U82" s="16" t="str">
        <f>"－"</f>
        <v>－</v>
      </c>
      <c r="V82" s="16"/>
      <c r="W82" s="16"/>
      <c r="X82" s="16" t="str">
        <f>"－"</f>
        <v>－</v>
      </c>
      <c r="Y82" s="16"/>
      <c r="Z82" s="17"/>
      <c r="AA82" s="13"/>
      <c r="AB82" s="18" t="str">
        <f>"－"</f>
        <v>－</v>
      </c>
      <c r="AC82" s="18" t="str">
        <f>"－"</f>
        <v>－</v>
      </c>
      <c r="AD82" s="19" t="str">
        <f>"－"</f>
        <v>－</v>
      </c>
    </row>
    <row r="83">
      <c r="A83" s="9" t="s">
        <v>49</v>
      </c>
      <c r="B83" s="10" t="s">
        <v>233</v>
      </c>
      <c r="C83" s="10" t="s">
        <v>234</v>
      </c>
      <c r="D83" s="10" t="s">
        <v>209</v>
      </c>
      <c r="E83" s="11" t="s">
        <v>210</v>
      </c>
      <c r="F83" s="11" t="s">
        <v>211</v>
      </c>
      <c r="G83" s="12" t="n">
        <v>72000.0</v>
      </c>
      <c r="H83" s="13"/>
      <c r="I83" s="14" t="s">
        <v>55</v>
      </c>
      <c r="J83" s="13"/>
      <c r="K83" s="14" t="s">
        <v>55</v>
      </c>
      <c r="L83" s="13"/>
      <c r="M83" s="14"/>
      <c r="N83" s="13"/>
      <c r="O83" s="14" t="s">
        <v>55</v>
      </c>
      <c r="P83" s="13"/>
      <c r="Q83" s="14"/>
      <c r="R83" s="13"/>
      <c r="S83" s="14" t="s">
        <v>55</v>
      </c>
      <c r="T83" s="15" t="n">
        <f>14.75</f>
        <v>14.75</v>
      </c>
      <c r="U83" s="16" t="str">
        <f>"－"</f>
        <v>－</v>
      </c>
      <c r="V83" s="16"/>
      <c r="W83" s="16"/>
      <c r="X83" s="16" t="str">
        <f>"－"</f>
        <v>－</v>
      </c>
      <c r="Y83" s="16"/>
      <c r="Z83" s="17"/>
      <c r="AA83" s="13"/>
      <c r="AB83" s="18" t="str">
        <f>"－"</f>
        <v>－</v>
      </c>
      <c r="AC83" s="18" t="str">
        <f>"－"</f>
        <v>－</v>
      </c>
      <c r="AD83" s="19" t="str">
        <f>"－"</f>
        <v>－</v>
      </c>
    </row>
    <row r="84">
      <c r="A84" s="9" t="s">
        <v>49</v>
      </c>
      <c r="B84" s="10" t="s">
        <v>233</v>
      </c>
      <c r="C84" s="10" t="s">
        <v>234</v>
      </c>
      <c r="D84" s="10" t="s">
        <v>212</v>
      </c>
      <c r="E84" s="11" t="s">
        <v>213</v>
      </c>
      <c r="F84" s="11" t="s">
        <v>214</v>
      </c>
      <c r="G84" s="12" t="n">
        <v>74400.0</v>
      </c>
      <c r="H84" s="13"/>
      <c r="I84" s="14" t="s">
        <v>55</v>
      </c>
      <c r="J84" s="13"/>
      <c r="K84" s="14" t="s">
        <v>55</v>
      </c>
      <c r="L84" s="13"/>
      <c r="M84" s="14"/>
      <c r="N84" s="13"/>
      <c r="O84" s="14" t="s">
        <v>55</v>
      </c>
      <c r="P84" s="13"/>
      <c r="Q84" s="14"/>
      <c r="R84" s="13"/>
      <c r="S84" s="14" t="s">
        <v>55</v>
      </c>
      <c r="T84" s="15" t="n">
        <f>12.94</f>
        <v>12.94</v>
      </c>
      <c r="U84" s="16" t="str">
        <f>"－"</f>
        <v>－</v>
      </c>
      <c r="V84" s="16"/>
      <c r="W84" s="16"/>
      <c r="X84" s="16" t="str">
        <f>"－"</f>
        <v>－</v>
      </c>
      <c r="Y84" s="16"/>
      <c r="Z84" s="17"/>
      <c r="AA84" s="13"/>
      <c r="AB84" s="18" t="str">
        <f>"－"</f>
        <v>－</v>
      </c>
      <c r="AC84" s="18" t="str">
        <f>"－"</f>
        <v>－</v>
      </c>
      <c r="AD84" s="19" t="str">
        <f>"－"</f>
        <v>－</v>
      </c>
    </row>
    <row r="85">
      <c r="A85" s="9" t="s">
        <v>49</v>
      </c>
      <c r="B85" s="10" t="s">
        <v>233</v>
      </c>
      <c r="C85" s="10" t="s">
        <v>234</v>
      </c>
      <c r="D85" s="10" t="s">
        <v>215</v>
      </c>
      <c r="E85" s="11" t="s">
        <v>141</v>
      </c>
      <c r="F85" s="11" t="s">
        <v>216</v>
      </c>
      <c r="G85" s="12" t="n">
        <v>72000.0</v>
      </c>
      <c r="H85" s="13"/>
      <c r="I85" s="14" t="s">
        <v>55</v>
      </c>
      <c r="J85" s="13"/>
      <c r="K85" s="14" t="s">
        <v>55</v>
      </c>
      <c r="L85" s="13"/>
      <c r="M85" s="14"/>
      <c r="N85" s="13"/>
      <c r="O85" s="14" t="s">
        <v>55</v>
      </c>
      <c r="P85" s="13"/>
      <c r="Q85" s="14"/>
      <c r="R85" s="13"/>
      <c r="S85" s="14" t="s">
        <v>55</v>
      </c>
      <c r="T85" s="15" t="n">
        <f>13.22</f>
        <v>13.22</v>
      </c>
      <c r="U85" s="16" t="str">
        <f>"－"</f>
        <v>－</v>
      </c>
      <c r="V85" s="16"/>
      <c r="W85" s="16"/>
      <c r="X85" s="16" t="str">
        <f>"－"</f>
        <v>－</v>
      </c>
      <c r="Y85" s="16"/>
      <c r="Z85" s="17"/>
      <c r="AA85" s="13"/>
      <c r="AB85" s="18" t="str">
        <f>"－"</f>
        <v>－</v>
      </c>
      <c r="AC85" s="18" t="str">
        <f>"－"</f>
        <v>－</v>
      </c>
      <c r="AD85" s="19" t="str">
        <f>"－"</f>
        <v>－</v>
      </c>
    </row>
    <row r="86">
      <c r="A86" s="9" t="s">
        <v>49</v>
      </c>
      <c r="B86" s="10" t="s">
        <v>233</v>
      </c>
      <c r="C86" s="10" t="s">
        <v>234</v>
      </c>
      <c r="D86" s="10" t="s">
        <v>217</v>
      </c>
      <c r="E86" s="11" t="s">
        <v>144</v>
      </c>
      <c r="F86" s="11" t="s">
        <v>218</v>
      </c>
      <c r="G86" s="12" t="n">
        <v>74400.0</v>
      </c>
      <c r="H86" s="13"/>
      <c r="I86" s="14" t="s">
        <v>55</v>
      </c>
      <c r="J86" s="13"/>
      <c r="K86" s="14" t="s">
        <v>55</v>
      </c>
      <c r="L86" s="13"/>
      <c r="M86" s="14"/>
      <c r="N86" s="13"/>
      <c r="O86" s="14" t="s">
        <v>55</v>
      </c>
      <c r="P86" s="13"/>
      <c r="Q86" s="14"/>
      <c r="R86" s="13"/>
      <c r="S86" s="14" t="s">
        <v>55</v>
      </c>
      <c r="T86" s="15" t="n">
        <f>13.68</f>
        <v>13.68</v>
      </c>
      <c r="U86" s="16" t="str">
        <f>"－"</f>
        <v>－</v>
      </c>
      <c r="V86" s="16"/>
      <c r="W86" s="16"/>
      <c r="X86" s="16" t="str">
        <f>"－"</f>
        <v>－</v>
      </c>
      <c r="Y86" s="16"/>
      <c r="Z86" s="17"/>
      <c r="AA86" s="13"/>
      <c r="AB86" s="18" t="str">
        <f>"－"</f>
        <v>－</v>
      </c>
      <c r="AC86" s="18" t="str">
        <f>"－"</f>
        <v>－</v>
      </c>
      <c r="AD86" s="19" t="str">
        <f>"－"</f>
        <v>－</v>
      </c>
    </row>
    <row r="87">
      <c r="A87" s="9" t="s">
        <v>49</v>
      </c>
      <c r="B87" s="10" t="s">
        <v>233</v>
      </c>
      <c r="C87" s="10" t="s">
        <v>234</v>
      </c>
      <c r="D87" s="10" t="s">
        <v>219</v>
      </c>
      <c r="E87" s="11" t="s">
        <v>149</v>
      </c>
      <c r="F87" s="11" t="s">
        <v>220</v>
      </c>
      <c r="G87" s="12" t="n">
        <v>74400.0</v>
      </c>
      <c r="H87" s="13"/>
      <c r="I87" s="14" t="s">
        <v>55</v>
      </c>
      <c r="J87" s="13"/>
      <c r="K87" s="14" t="s">
        <v>55</v>
      </c>
      <c r="L87" s="13"/>
      <c r="M87" s="14"/>
      <c r="N87" s="13"/>
      <c r="O87" s="14" t="s">
        <v>55</v>
      </c>
      <c r="P87" s="13"/>
      <c r="Q87" s="14"/>
      <c r="R87" s="13"/>
      <c r="S87" s="14" t="s">
        <v>55</v>
      </c>
      <c r="T87" s="15" t="n">
        <f>13.97</f>
        <v>13.97</v>
      </c>
      <c r="U87" s="16" t="str">
        <f>"－"</f>
        <v>－</v>
      </c>
      <c r="V87" s="16"/>
      <c r="W87" s="16"/>
      <c r="X87" s="16" t="str">
        <f>"－"</f>
        <v>－</v>
      </c>
      <c r="Y87" s="16"/>
      <c r="Z87" s="17"/>
      <c r="AA87" s="13"/>
      <c r="AB87" s="18" t="str">
        <f>"－"</f>
        <v>－</v>
      </c>
      <c r="AC87" s="18" t="str">
        <f>"－"</f>
        <v>－</v>
      </c>
      <c r="AD87" s="19" t="str">
        <f>"－"</f>
        <v>－</v>
      </c>
    </row>
    <row r="88">
      <c r="A88" s="9" t="s">
        <v>49</v>
      </c>
      <c r="B88" s="10" t="s">
        <v>233</v>
      </c>
      <c r="C88" s="10" t="s">
        <v>234</v>
      </c>
      <c r="D88" s="10" t="s">
        <v>221</v>
      </c>
      <c r="E88" s="11" t="s">
        <v>152</v>
      </c>
      <c r="F88" s="11" t="s">
        <v>222</v>
      </c>
      <c r="G88" s="12" t="n">
        <v>69600.0</v>
      </c>
      <c r="H88" s="13"/>
      <c r="I88" s="14" t="s">
        <v>55</v>
      </c>
      <c r="J88" s="13"/>
      <c r="K88" s="14" t="s">
        <v>55</v>
      </c>
      <c r="L88" s="13"/>
      <c r="M88" s="14"/>
      <c r="N88" s="13"/>
      <c r="O88" s="14" t="s">
        <v>55</v>
      </c>
      <c r="P88" s="13"/>
      <c r="Q88" s="14"/>
      <c r="R88" s="13"/>
      <c r="S88" s="14" t="s">
        <v>55</v>
      </c>
      <c r="T88" s="15" t="n">
        <f>13.61</f>
        <v>13.61</v>
      </c>
      <c r="U88" s="16" t="str">
        <f>"－"</f>
        <v>－</v>
      </c>
      <c r="V88" s="16"/>
      <c r="W88" s="16"/>
      <c r="X88" s="16" t="str">
        <f>"－"</f>
        <v>－</v>
      </c>
      <c r="Y88" s="16"/>
      <c r="Z88" s="17"/>
      <c r="AA88" s="13"/>
      <c r="AB88" s="18" t="str">
        <f>"－"</f>
        <v>－</v>
      </c>
      <c r="AC88" s="18" t="str">
        <f>"－"</f>
        <v>－</v>
      </c>
      <c r="AD88" s="19" t="str">
        <f>"－"</f>
        <v>－</v>
      </c>
    </row>
    <row r="89">
      <c r="A89" s="9" t="s">
        <v>49</v>
      </c>
      <c r="B89" s="10" t="s">
        <v>233</v>
      </c>
      <c r="C89" s="10" t="s">
        <v>234</v>
      </c>
      <c r="D89" s="10" t="s">
        <v>223</v>
      </c>
      <c r="E89" s="11" t="s">
        <v>224</v>
      </c>
      <c r="F89" s="11" t="s">
        <v>225</v>
      </c>
      <c r="G89" s="12" t="n">
        <v>74400.0</v>
      </c>
      <c r="H89" s="13"/>
      <c r="I89" s="14" t="s">
        <v>55</v>
      </c>
      <c r="J89" s="13"/>
      <c r="K89" s="14" t="s">
        <v>55</v>
      </c>
      <c r="L89" s="13"/>
      <c r="M89" s="14"/>
      <c r="N89" s="13"/>
      <c r="O89" s="14" t="s">
        <v>55</v>
      </c>
      <c r="P89" s="13"/>
      <c r="Q89" s="14"/>
      <c r="R89" s="13"/>
      <c r="S89" s="14" t="s">
        <v>55</v>
      </c>
      <c r="T89" s="15" t="n">
        <f>12.09</f>
        <v>12.09</v>
      </c>
      <c r="U89" s="16" t="str">
        <f>"－"</f>
        <v>－</v>
      </c>
      <c r="V89" s="16"/>
      <c r="W89" s="16"/>
      <c r="X89" s="16" t="str">
        <f>"－"</f>
        <v>－</v>
      </c>
      <c r="Y89" s="16"/>
      <c r="Z89" s="17"/>
      <c r="AA89" s="13"/>
      <c r="AB89" s="18" t="str">
        <f>"－"</f>
        <v>－</v>
      </c>
      <c r="AC89" s="18" t="str">
        <f>"－"</f>
        <v>－</v>
      </c>
      <c r="AD89" s="19" t="str">
        <f>"－"</f>
        <v>－</v>
      </c>
    </row>
    <row r="90">
      <c r="A90" s="9" t="s">
        <v>49</v>
      </c>
      <c r="B90" s="10" t="s">
        <v>233</v>
      </c>
      <c r="C90" s="10" t="s">
        <v>234</v>
      </c>
      <c r="D90" s="10" t="s">
        <v>226</v>
      </c>
      <c r="E90" s="11" t="s">
        <v>227</v>
      </c>
      <c r="F90" s="11" t="s">
        <v>228</v>
      </c>
      <c r="G90" s="12" t="n">
        <v>72000.0</v>
      </c>
      <c r="H90" s="13"/>
      <c r="I90" s="14" t="s">
        <v>55</v>
      </c>
      <c r="J90" s="13"/>
      <c r="K90" s="14" t="s">
        <v>55</v>
      </c>
      <c r="L90" s="13"/>
      <c r="M90" s="14"/>
      <c r="N90" s="13"/>
      <c r="O90" s="14" t="s">
        <v>55</v>
      </c>
      <c r="P90" s="13"/>
      <c r="Q90" s="14"/>
      <c r="R90" s="13"/>
      <c r="S90" s="14" t="s">
        <v>55</v>
      </c>
      <c r="T90" s="15" t="n">
        <f>12.05</f>
        <v>12.05</v>
      </c>
      <c r="U90" s="16" t="str">
        <f>"－"</f>
        <v>－</v>
      </c>
      <c r="V90" s="16"/>
      <c r="W90" s="16"/>
      <c r="X90" s="16" t="str">
        <f>"－"</f>
        <v>－</v>
      </c>
      <c r="Y90" s="16"/>
      <c r="Z90" s="17"/>
      <c r="AA90" s="13"/>
      <c r="AB90" s="18" t="str">
        <f>"－"</f>
        <v>－</v>
      </c>
      <c r="AC90" s="18" t="str">
        <f>"－"</f>
        <v>－</v>
      </c>
      <c r="AD90" s="19" t="str">
        <f>"－"</f>
        <v>－</v>
      </c>
    </row>
    <row r="91">
      <c r="A91" s="9" t="s">
        <v>49</v>
      </c>
      <c r="B91" s="10" t="s">
        <v>233</v>
      </c>
      <c r="C91" s="10" t="s">
        <v>234</v>
      </c>
      <c r="D91" s="10" t="s">
        <v>229</v>
      </c>
      <c r="E91" s="11" t="s">
        <v>165</v>
      </c>
      <c r="F91" s="11" t="s">
        <v>230</v>
      </c>
      <c r="G91" s="12" t="n">
        <v>74400.0</v>
      </c>
      <c r="H91" s="13"/>
      <c r="I91" s="14" t="s">
        <v>55</v>
      </c>
      <c r="J91" s="13"/>
      <c r="K91" s="14" t="s">
        <v>55</v>
      </c>
      <c r="L91" s="13"/>
      <c r="M91" s="14"/>
      <c r="N91" s="13"/>
      <c r="O91" s="14" t="s">
        <v>55</v>
      </c>
      <c r="P91" s="13"/>
      <c r="Q91" s="14"/>
      <c r="R91" s="13"/>
      <c r="S91" s="14" t="s">
        <v>55</v>
      </c>
      <c r="T91" s="15" t="n">
        <f>11.92</f>
        <v>11.92</v>
      </c>
      <c r="U91" s="16" t="str">
        <f>"－"</f>
        <v>－</v>
      </c>
      <c r="V91" s="16"/>
      <c r="W91" s="16"/>
      <c r="X91" s="16" t="str">
        <f>"－"</f>
        <v>－</v>
      </c>
      <c r="Y91" s="16"/>
      <c r="Z91" s="17"/>
      <c r="AA91" s="13"/>
      <c r="AB91" s="18" t="str">
        <f>"－"</f>
        <v>－</v>
      </c>
      <c r="AC91" s="18" t="str">
        <f>"－"</f>
        <v>－</v>
      </c>
      <c r="AD91" s="19" t="str">
        <f>"－"</f>
        <v>－</v>
      </c>
    </row>
    <row r="92">
      <c r="A92" s="9" t="s">
        <v>49</v>
      </c>
      <c r="B92" s="10" t="s">
        <v>233</v>
      </c>
      <c r="C92" s="10" t="s">
        <v>234</v>
      </c>
      <c r="D92" s="10" t="s">
        <v>231</v>
      </c>
      <c r="E92" s="11" t="s">
        <v>82</v>
      </c>
      <c r="F92" s="11" t="s">
        <v>232</v>
      </c>
      <c r="G92" s="12" t="n">
        <v>72000.0</v>
      </c>
      <c r="H92" s="13"/>
      <c r="I92" s="14" t="s">
        <v>55</v>
      </c>
      <c r="J92" s="13"/>
      <c r="K92" s="14" t="s">
        <v>55</v>
      </c>
      <c r="L92" s="13"/>
      <c r="M92" s="14"/>
      <c r="N92" s="13"/>
      <c r="O92" s="14" t="s">
        <v>55</v>
      </c>
      <c r="P92" s="13"/>
      <c r="Q92" s="14"/>
      <c r="R92" s="13"/>
      <c r="S92" s="14" t="s">
        <v>55</v>
      </c>
      <c r="T92" s="15" t="n">
        <f>12.62</f>
        <v>12.62</v>
      </c>
      <c r="U92" s="16" t="str">
        <f>"－"</f>
        <v>－</v>
      </c>
      <c r="V92" s="16"/>
      <c r="W92" s="16"/>
      <c r="X92" s="16" t="str">
        <f>"－"</f>
        <v>－</v>
      </c>
      <c r="Y92" s="16"/>
      <c r="Z92" s="17"/>
      <c r="AA92" s="13"/>
      <c r="AB92" s="18" t="str">
        <f>"－"</f>
        <v>－</v>
      </c>
      <c r="AC92" s="18" t="str">
        <f>"－"</f>
        <v>－</v>
      </c>
      <c r="AD92" s="19" t="str">
        <f>"－"</f>
        <v>－</v>
      </c>
    </row>
    <row r="93">
      <c r="A93" s="9" t="s">
        <v>49</v>
      </c>
      <c r="B93" s="10" t="s">
        <v>239</v>
      </c>
      <c r="C93" s="10" t="s">
        <v>240</v>
      </c>
      <c r="D93" s="10" t="s">
        <v>49</v>
      </c>
      <c r="E93" s="11" t="s">
        <v>241</v>
      </c>
      <c r="F93" s="11" t="s">
        <v>175</v>
      </c>
      <c r="G93" s="12" t="n">
        <v>72000.0</v>
      </c>
      <c r="H93" s="13"/>
      <c r="I93" s="14" t="s">
        <v>55</v>
      </c>
      <c r="J93" s="13"/>
      <c r="K93" s="14" t="s">
        <v>55</v>
      </c>
      <c r="L93" s="13"/>
      <c r="M93" s="14"/>
      <c r="N93" s="13"/>
      <c r="O93" s="14" t="s">
        <v>55</v>
      </c>
      <c r="P93" s="13"/>
      <c r="Q93" s="14"/>
      <c r="R93" s="13"/>
      <c r="S93" s="14" t="s">
        <v>55</v>
      </c>
      <c r="T93" s="15" t="n">
        <f>19.47</f>
        <v>19.47</v>
      </c>
      <c r="U93" s="16" t="str">
        <f>"－"</f>
        <v>－</v>
      </c>
      <c r="V93" s="16"/>
      <c r="W93" s="16"/>
      <c r="X93" s="16" t="str">
        <f>"－"</f>
        <v>－</v>
      </c>
      <c r="Y93" s="16"/>
      <c r="Z93" s="17"/>
      <c r="AA93" s="13" t="s">
        <v>56</v>
      </c>
      <c r="AB93" s="18" t="n">
        <f>1</f>
        <v>1.0</v>
      </c>
      <c r="AC93" s="18" t="str">
        <f>"－"</f>
        <v>－</v>
      </c>
      <c r="AD93" s="19" t="str">
        <f>"－"</f>
        <v>－</v>
      </c>
    </row>
    <row r="94">
      <c r="A94" s="9" t="s">
        <v>49</v>
      </c>
      <c r="B94" s="10" t="s">
        <v>239</v>
      </c>
      <c r="C94" s="10" t="s">
        <v>240</v>
      </c>
      <c r="D94" s="10" t="s">
        <v>52</v>
      </c>
      <c r="E94" s="11" t="s">
        <v>241</v>
      </c>
      <c r="F94" s="11" t="s">
        <v>177</v>
      </c>
      <c r="G94" s="12" t="n">
        <v>74400.0</v>
      </c>
      <c r="H94" s="13"/>
      <c r="I94" s="14" t="s">
        <v>55</v>
      </c>
      <c r="J94" s="13"/>
      <c r="K94" s="14" t="s">
        <v>55</v>
      </c>
      <c r="L94" s="13" t="s">
        <v>179</v>
      </c>
      <c r="M94" s="14" t="s">
        <v>242</v>
      </c>
      <c r="N94" s="13"/>
      <c r="O94" s="14" t="s">
        <v>55</v>
      </c>
      <c r="P94" s="13" t="s">
        <v>100</v>
      </c>
      <c r="Q94" s="14" t="s">
        <v>243</v>
      </c>
      <c r="R94" s="13"/>
      <c r="S94" s="14" t="s">
        <v>55</v>
      </c>
      <c r="T94" s="15" t="n">
        <f>20.7</f>
        <v>20.7</v>
      </c>
      <c r="U94" s="16" t="n">
        <f>11</f>
        <v>11.0</v>
      </c>
      <c r="V94" s="16" t="n">
        <v>11.0</v>
      </c>
      <c r="W94" s="16"/>
      <c r="X94" s="16" t="n">
        <f>15289200</f>
        <v>1.52892E7</v>
      </c>
      <c r="Y94" s="16" t="n">
        <v>1.52892E7</v>
      </c>
      <c r="Z94" s="17"/>
      <c r="AA94" s="13"/>
      <c r="AB94" s="18" t="n">
        <f>12</f>
        <v>12.0</v>
      </c>
      <c r="AC94" s="18" t="str">
        <f>"－"</f>
        <v>－</v>
      </c>
      <c r="AD94" s="19" t="str">
        <f>"－"</f>
        <v>－</v>
      </c>
    </row>
    <row r="95">
      <c r="A95" s="9" t="s">
        <v>49</v>
      </c>
      <c r="B95" s="10" t="s">
        <v>239</v>
      </c>
      <c r="C95" s="10" t="s">
        <v>240</v>
      </c>
      <c r="D95" s="10" t="s">
        <v>57</v>
      </c>
      <c r="E95" s="11" t="s">
        <v>241</v>
      </c>
      <c r="F95" s="11" t="s">
        <v>184</v>
      </c>
      <c r="G95" s="12" t="n">
        <v>74400.0</v>
      </c>
      <c r="H95" s="13"/>
      <c r="I95" s="14" t="s">
        <v>55</v>
      </c>
      <c r="J95" s="13"/>
      <c r="K95" s="14" t="s">
        <v>55</v>
      </c>
      <c r="L95" s="13" t="s">
        <v>100</v>
      </c>
      <c r="M95" s="14" t="s">
        <v>244</v>
      </c>
      <c r="N95" s="13"/>
      <c r="O95" s="14" t="s">
        <v>55</v>
      </c>
      <c r="P95" s="13" t="s">
        <v>100</v>
      </c>
      <c r="Q95" s="14" t="s">
        <v>244</v>
      </c>
      <c r="R95" s="13"/>
      <c r="S95" s="14" t="s">
        <v>55</v>
      </c>
      <c r="T95" s="15" t="n">
        <f>21</f>
        <v>21.0</v>
      </c>
      <c r="U95" s="16" t="n">
        <f>3</f>
        <v>3.0</v>
      </c>
      <c r="V95" s="16" t="n">
        <v>3.0</v>
      </c>
      <c r="W95" s="16"/>
      <c r="X95" s="16" t="n">
        <f>4106880</f>
        <v>4106880.0</v>
      </c>
      <c r="Y95" s="16" t="n">
        <v>4106880.0</v>
      </c>
      <c r="Z95" s="17"/>
      <c r="AA95" s="13"/>
      <c r="AB95" s="18" t="n">
        <f>4</f>
        <v>4.0</v>
      </c>
      <c r="AC95" s="18" t="str">
        <f>"－"</f>
        <v>－</v>
      </c>
      <c r="AD95" s="19" t="str">
        <f>"－"</f>
        <v>－</v>
      </c>
    </row>
    <row r="96">
      <c r="A96" s="9" t="s">
        <v>49</v>
      </c>
      <c r="B96" s="10" t="s">
        <v>239</v>
      </c>
      <c r="C96" s="10" t="s">
        <v>240</v>
      </c>
      <c r="D96" s="10" t="s">
        <v>60</v>
      </c>
      <c r="E96" s="11" t="s">
        <v>241</v>
      </c>
      <c r="F96" s="11" t="s">
        <v>189</v>
      </c>
      <c r="G96" s="12" t="n">
        <v>72000.0</v>
      </c>
      <c r="H96" s="13"/>
      <c r="I96" s="14" t="s">
        <v>55</v>
      </c>
      <c r="J96" s="13"/>
      <c r="K96" s="14" t="s">
        <v>55</v>
      </c>
      <c r="L96" s="13" t="s">
        <v>100</v>
      </c>
      <c r="M96" s="14" t="s">
        <v>245</v>
      </c>
      <c r="N96" s="13"/>
      <c r="O96" s="14" t="s">
        <v>55</v>
      </c>
      <c r="P96" s="13" t="s">
        <v>100</v>
      </c>
      <c r="Q96" s="14" t="s">
        <v>245</v>
      </c>
      <c r="R96" s="13"/>
      <c r="S96" s="14" t="s">
        <v>55</v>
      </c>
      <c r="T96" s="15" t="n">
        <f>20.36</f>
        <v>20.36</v>
      </c>
      <c r="U96" s="16" t="n">
        <f>3</f>
        <v>3.0</v>
      </c>
      <c r="V96" s="16" t="n">
        <v>3.0</v>
      </c>
      <c r="W96" s="16"/>
      <c r="X96" s="16" t="n">
        <f>3801600</f>
        <v>3801600.0</v>
      </c>
      <c r="Y96" s="16" t="n">
        <v>3801600.0</v>
      </c>
      <c r="Z96" s="17"/>
      <c r="AA96" s="13"/>
      <c r="AB96" s="18" t="n">
        <f>4</f>
        <v>4.0</v>
      </c>
      <c r="AC96" s="18" t="str">
        <f>"－"</f>
        <v>－</v>
      </c>
      <c r="AD96" s="19" t="str">
        <f>"－"</f>
        <v>－</v>
      </c>
    </row>
    <row r="97">
      <c r="A97" s="9" t="s">
        <v>49</v>
      </c>
      <c r="B97" s="10" t="s">
        <v>239</v>
      </c>
      <c r="C97" s="10" t="s">
        <v>240</v>
      </c>
      <c r="D97" s="10" t="s">
        <v>63</v>
      </c>
      <c r="E97" s="11" t="s">
        <v>241</v>
      </c>
      <c r="F97" s="11" t="s">
        <v>116</v>
      </c>
      <c r="G97" s="12" t="n">
        <v>74400.0</v>
      </c>
      <c r="H97" s="13"/>
      <c r="I97" s="14" t="s">
        <v>55</v>
      </c>
      <c r="J97" s="13"/>
      <c r="K97" s="14" t="s">
        <v>55</v>
      </c>
      <c r="L97" s="13"/>
      <c r="M97" s="14"/>
      <c r="N97" s="13"/>
      <c r="O97" s="14" t="s">
        <v>55</v>
      </c>
      <c r="P97" s="13"/>
      <c r="Q97" s="14"/>
      <c r="R97" s="13"/>
      <c r="S97" s="14" t="s">
        <v>55</v>
      </c>
      <c r="T97" s="15" t="n">
        <f>17.35</f>
        <v>17.35</v>
      </c>
      <c r="U97" s="16" t="str">
        <f>"－"</f>
        <v>－</v>
      </c>
      <c r="V97" s="16"/>
      <c r="W97" s="16"/>
      <c r="X97" s="16" t="str">
        <f>"－"</f>
        <v>－</v>
      </c>
      <c r="Y97" s="16"/>
      <c r="Z97" s="17"/>
      <c r="AA97" s="13"/>
      <c r="AB97" s="18" t="str">
        <f>"－"</f>
        <v>－</v>
      </c>
      <c r="AC97" s="18" t="str">
        <f>"－"</f>
        <v>－</v>
      </c>
      <c r="AD97" s="19" t="str">
        <f>"－"</f>
        <v>－</v>
      </c>
    </row>
    <row r="98">
      <c r="A98" s="9" t="s">
        <v>49</v>
      </c>
      <c r="B98" s="10" t="s">
        <v>239</v>
      </c>
      <c r="C98" s="10" t="s">
        <v>240</v>
      </c>
      <c r="D98" s="10" t="s">
        <v>66</v>
      </c>
      <c r="E98" s="11" t="s">
        <v>241</v>
      </c>
      <c r="F98" s="11" t="s">
        <v>193</v>
      </c>
      <c r="G98" s="12" t="n">
        <v>72000.0</v>
      </c>
      <c r="H98" s="13"/>
      <c r="I98" s="14" t="s">
        <v>55</v>
      </c>
      <c r="J98" s="13"/>
      <c r="K98" s="14" t="s">
        <v>55</v>
      </c>
      <c r="L98" s="13"/>
      <c r="M98" s="14"/>
      <c r="N98" s="13"/>
      <c r="O98" s="14" t="s">
        <v>55</v>
      </c>
      <c r="P98" s="13"/>
      <c r="Q98" s="14"/>
      <c r="R98" s="13"/>
      <c r="S98" s="14" t="s">
        <v>55</v>
      </c>
      <c r="T98" s="15" t="n">
        <f>17.45</f>
        <v>17.45</v>
      </c>
      <c r="U98" s="16" t="str">
        <f>"－"</f>
        <v>－</v>
      </c>
      <c r="V98" s="16"/>
      <c r="W98" s="16"/>
      <c r="X98" s="16" t="str">
        <f>"－"</f>
        <v>－</v>
      </c>
      <c r="Y98" s="16"/>
      <c r="Z98" s="17"/>
      <c r="AA98" s="13"/>
      <c r="AB98" s="18" t="str">
        <f>"－"</f>
        <v>－</v>
      </c>
      <c r="AC98" s="18" t="str">
        <f>"－"</f>
        <v>－</v>
      </c>
      <c r="AD98" s="19" t="str">
        <f>"－"</f>
        <v>－</v>
      </c>
    </row>
    <row r="99">
      <c r="A99" s="9" t="s">
        <v>49</v>
      </c>
      <c r="B99" s="10" t="s">
        <v>239</v>
      </c>
      <c r="C99" s="10" t="s">
        <v>240</v>
      </c>
      <c r="D99" s="10" t="s">
        <v>69</v>
      </c>
      <c r="E99" s="11" t="s">
        <v>241</v>
      </c>
      <c r="F99" s="11" t="s">
        <v>136</v>
      </c>
      <c r="G99" s="12" t="n">
        <v>74400.0</v>
      </c>
      <c r="H99" s="13"/>
      <c r="I99" s="14" t="s">
        <v>55</v>
      </c>
      <c r="J99" s="13"/>
      <c r="K99" s="14" t="s">
        <v>55</v>
      </c>
      <c r="L99" s="13"/>
      <c r="M99" s="14"/>
      <c r="N99" s="13"/>
      <c r="O99" s="14" t="s">
        <v>55</v>
      </c>
      <c r="P99" s="13"/>
      <c r="Q99" s="14"/>
      <c r="R99" s="13"/>
      <c r="S99" s="14" t="s">
        <v>55</v>
      </c>
      <c r="T99" s="15" t="n">
        <f>17.68</f>
        <v>17.68</v>
      </c>
      <c r="U99" s="16" t="str">
        <f>"－"</f>
        <v>－</v>
      </c>
      <c r="V99" s="16"/>
      <c r="W99" s="16"/>
      <c r="X99" s="16" t="str">
        <f>"－"</f>
        <v>－</v>
      </c>
      <c r="Y99" s="16"/>
      <c r="Z99" s="17"/>
      <c r="AA99" s="13"/>
      <c r="AB99" s="18" t="str">
        <f>"－"</f>
        <v>－</v>
      </c>
      <c r="AC99" s="18" t="str">
        <f>"－"</f>
        <v>－</v>
      </c>
      <c r="AD99" s="19" t="str">
        <f>"－"</f>
        <v>－</v>
      </c>
    </row>
    <row r="100">
      <c r="A100" s="9" t="s">
        <v>49</v>
      </c>
      <c r="B100" s="10" t="s">
        <v>239</v>
      </c>
      <c r="C100" s="10" t="s">
        <v>240</v>
      </c>
      <c r="D100" s="10" t="s">
        <v>72</v>
      </c>
      <c r="E100" s="11" t="s">
        <v>241</v>
      </c>
      <c r="F100" s="11" t="s">
        <v>139</v>
      </c>
      <c r="G100" s="12" t="n">
        <v>74400.0</v>
      </c>
      <c r="H100" s="13"/>
      <c r="I100" s="14" t="s">
        <v>55</v>
      </c>
      <c r="J100" s="13"/>
      <c r="K100" s="14" t="s">
        <v>55</v>
      </c>
      <c r="L100" s="13"/>
      <c r="M100" s="14"/>
      <c r="N100" s="13"/>
      <c r="O100" s="14" t="s">
        <v>55</v>
      </c>
      <c r="P100" s="13"/>
      <c r="Q100" s="14"/>
      <c r="R100" s="13"/>
      <c r="S100" s="14" t="s">
        <v>55</v>
      </c>
      <c r="T100" s="15" t="n">
        <f>17.58</f>
        <v>17.58</v>
      </c>
      <c r="U100" s="16" t="str">
        <f>"－"</f>
        <v>－</v>
      </c>
      <c r="V100" s="16"/>
      <c r="W100" s="16"/>
      <c r="X100" s="16" t="str">
        <f>"－"</f>
        <v>－</v>
      </c>
      <c r="Y100" s="16"/>
      <c r="Z100" s="17"/>
      <c r="AA100" s="13"/>
      <c r="AB100" s="18" t="str">
        <f>"－"</f>
        <v>－</v>
      </c>
      <c r="AC100" s="18" t="str">
        <f>"－"</f>
        <v>－</v>
      </c>
      <c r="AD100" s="19" t="str">
        <f>"－"</f>
        <v>－</v>
      </c>
    </row>
    <row r="101">
      <c r="A101" s="9" t="s">
        <v>49</v>
      </c>
      <c r="B101" s="10" t="s">
        <v>239</v>
      </c>
      <c r="C101" s="10" t="s">
        <v>240</v>
      </c>
      <c r="D101" s="10" t="s">
        <v>140</v>
      </c>
      <c r="E101" s="11" t="s">
        <v>241</v>
      </c>
      <c r="F101" s="11" t="s">
        <v>142</v>
      </c>
      <c r="G101" s="12" t="n">
        <v>67200.0</v>
      </c>
      <c r="H101" s="13"/>
      <c r="I101" s="14" t="s">
        <v>55</v>
      </c>
      <c r="J101" s="13"/>
      <c r="K101" s="14" t="s">
        <v>55</v>
      </c>
      <c r="L101" s="13"/>
      <c r="M101" s="14"/>
      <c r="N101" s="13"/>
      <c r="O101" s="14" t="s">
        <v>55</v>
      </c>
      <c r="P101" s="13"/>
      <c r="Q101" s="14"/>
      <c r="R101" s="13"/>
      <c r="S101" s="14" t="s">
        <v>55</v>
      </c>
      <c r="T101" s="15" t="n">
        <f>17.38</f>
        <v>17.38</v>
      </c>
      <c r="U101" s="16" t="str">
        <f>"－"</f>
        <v>－</v>
      </c>
      <c r="V101" s="16"/>
      <c r="W101" s="16"/>
      <c r="X101" s="16" t="str">
        <f>"－"</f>
        <v>－</v>
      </c>
      <c r="Y101" s="16"/>
      <c r="Z101" s="17"/>
      <c r="AA101" s="13"/>
      <c r="AB101" s="18" t="str">
        <f>"－"</f>
        <v>－</v>
      </c>
      <c r="AC101" s="18" t="str">
        <f>"－"</f>
        <v>－</v>
      </c>
      <c r="AD101" s="19" t="str">
        <f>"－"</f>
        <v>－</v>
      </c>
    </row>
    <row r="102">
      <c r="A102" s="9" t="s">
        <v>49</v>
      </c>
      <c r="B102" s="10" t="s">
        <v>239</v>
      </c>
      <c r="C102" s="10" t="s">
        <v>240</v>
      </c>
      <c r="D102" s="10" t="s">
        <v>143</v>
      </c>
      <c r="E102" s="11" t="s">
        <v>241</v>
      </c>
      <c r="F102" s="11" t="s">
        <v>201</v>
      </c>
      <c r="G102" s="12" t="n">
        <v>74400.0</v>
      </c>
      <c r="H102" s="13"/>
      <c r="I102" s="14" t="s">
        <v>55</v>
      </c>
      <c r="J102" s="13"/>
      <c r="K102" s="14" t="s">
        <v>55</v>
      </c>
      <c r="L102" s="13"/>
      <c r="M102" s="14"/>
      <c r="N102" s="13"/>
      <c r="O102" s="14" t="s">
        <v>55</v>
      </c>
      <c r="P102" s="13"/>
      <c r="Q102" s="14"/>
      <c r="R102" s="13"/>
      <c r="S102" s="14" t="s">
        <v>55</v>
      </c>
      <c r="T102" s="15" t="n">
        <f>15.1</f>
        <v>15.1</v>
      </c>
      <c r="U102" s="16" t="str">
        <f>"－"</f>
        <v>－</v>
      </c>
      <c r="V102" s="16"/>
      <c r="W102" s="16"/>
      <c r="X102" s="16" t="str">
        <f>"－"</f>
        <v>－</v>
      </c>
      <c r="Y102" s="16"/>
      <c r="Z102" s="17"/>
      <c r="AA102" s="13"/>
      <c r="AB102" s="18" t="str">
        <f>"－"</f>
        <v>－</v>
      </c>
      <c r="AC102" s="18" t="str">
        <f>"－"</f>
        <v>－</v>
      </c>
      <c r="AD102" s="19" t="str">
        <f>"－"</f>
        <v>－</v>
      </c>
    </row>
    <row r="103">
      <c r="A103" s="9" t="s">
        <v>49</v>
      </c>
      <c r="B103" s="10" t="s">
        <v>239</v>
      </c>
      <c r="C103" s="10" t="s">
        <v>240</v>
      </c>
      <c r="D103" s="10" t="s">
        <v>148</v>
      </c>
      <c r="E103" s="11" t="s">
        <v>241</v>
      </c>
      <c r="F103" s="11" t="s">
        <v>203</v>
      </c>
      <c r="G103" s="12" t="n">
        <v>72000.0</v>
      </c>
      <c r="H103" s="13"/>
      <c r="I103" s="14" t="s">
        <v>55</v>
      </c>
      <c r="J103" s="13"/>
      <c r="K103" s="14" t="s">
        <v>55</v>
      </c>
      <c r="L103" s="13"/>
      <c r="M103" s="14"/>
      <c r="N103" s="13"/>
      <c r="O103" s="14" t="s">
        <v>55</v>
      </c>
      <c r="P103" s="13"/>
      <c r="Q103" s="14"/>
      <c r="R103" s="13"/>
      <c r="S103" s="14" t="s">
        <v>55</v>
      </c>
      <c r="T103" s="15" t="n">
        <f>14.25</f>
        <v>14.25</v>
      </c>
      <c r="U103" s="16" t="str">
        <f>"－"</f>
        <v>－</v>
      </c>
      <c r="V103" s="16"/>
      <c r="W103" s="16"/>
      <c r="X103" s="16" t="str">
        <f>"－"</f>
        <v>－</v>
      </c>
      <c r="Y103" s="16"/>
      <c r="Z103" s="17"/>
      <c r="AA103" s="13"/>
      <c r="AB103" s="18" t="str">
        <f>"－"</f>
        <v>－</v>
      </c>
      <c r="AC103" s="18" t="str">
        <f>"－"</f>
        <v>－</v>
      </c>
      <c r="AD103" s="19" t="str">
        <f>"－"</f>
        <v>－</v>
      </c>
    </row>
    <row r="104">
      <c r="A104" s="9" t="s">
        <v>49</v>
      </c>
      <c r="B104" s="10" t="s">
        <v>239</v>
      </c>
      <c r="C104" s="10" t="s">
        <v>240</v>
      </c>
      <c r="D104" s="10" t="s">
        <v>151</v>
      </c>
      <c r="E104" s="11" t="s">
        <v>241</v>
      </c>
      <c r="F104" s="11" t="s">
        <v>204</v>
      </c>
      <c r="G104" s="12" t="n">
        <v>74400.0</v>
      </c>
      <c r="H104" s="13"/>
      <c r="I104" s="14" t="s">
        <v>55</v>
      </c>
      <c r="J104" s="13"/>
      <c r="K104" s="14" t="s">
        <v>55</v>
      </c>
      <c r="L104" s="13"/>
      <c r="M104" s="14"/>
      <c r="N104" s="13"/>
      <c r="O104" s="14" t="s">
        <v>55</v>
      </c>
      <c r="P104" s="13"/>
      <c r="Q104" s="14"/>
      <c r="R104" s="13"/>
      <c r="S104" s="14" t="s">
        <v>55</v>
      </c>
      <c r="T104" s="15" t="n">
        <f>14.08</f>
        <v>14.08</v>
      </c>
      <c r="U104" s="16" t="str">
        <f>"－"</f>
        <v>－</v>
      </c>
      <c r="V104" s="16"/>
      <c r="W104" s="16"/>
      <c r="X104" s="16" t="str">
        <f>"－"</f>
        <v>－</v>
      </c>
      <c r="Y104" s="16"/>
      <c r="Z104" s="17"/>
      <c r="AA104" s="13"/>
      <c r="AB104" s="18" t="str">
        <f>"－"</f>
        <v>－</v>
      </c>
      <c r="AC104" s="18" t="str">
        <f>"－"</f>
        <v>－</v>
      </c>
      <c r="AD104" s="19" t="str">
        <f>"－"</f>
        <v>－</v>
      </c>
    </row>
    <row r="105">
      <c r="A105" s="9" t="s">
        <v>49</v>
      </c>
      <c r="B105" s="10" t="s">
        <v>239</v>
      </c>
      <c r="C105" s="10" t="s">
        <v>240</v>
      </c>
      <c r="D105" s="10" t="s">
        <v>156</v>
      </c>
      <c r="E105" s="11" t="s">
        <v>241</v>
      </c>
      <c r="F105" s="11" t="s">
        <v>206</v>
      </c>
      <c r="G105" s="12" t="n">
        <v>72000.0</v>
      </c>
      <c r="H105" s="13"/>
      <c r="I105" s="14" t="s">
        <v>55</v>
      </c>
      <c r="J105" s="13"/>
      <c r="K105" s="14" t="s">
        <v>55</v>
      </c>
      <c r="L105" s="13"/>
      <c r="M105" s="14"/>
      <c r="N105" s="13"/>
      <c r="O105" s="14" t="s">
        <v>55</v>
      </c>
      <c r="P105" s="13"/>
      <c r="Q105" s="14"/>
      <c r="R105" s="13"/>
      <c r="S105" s="14" t="s">
        <v>55</v>
      </c>
      <c r="T105" s="15" t="n">
        <f>15.11</f>
        <v>15.11</v>
      </c>
      <c r="U105" s="16" t="str">
        <f>"－"</f>
        <v>－</v>
      </c>
      <c r="V105" s="16"/>
      <c r="W105" s="16"/>
      <c r="X105" s="16" t="str">
        <f>"－"</f>
        <v>－</v>
      </c>
      <c r="Y105" s="16"/>
      <c r="Z105" s="17"/>
      <c r="AA105" s="13"/>
      <c r="AB105" s="18" t="str">
        <f>"－"</f>
        <v>－</v>
      </c>
      <c r="AC105" s="18" t="str">
        <f>"－"</f>
        <v>－</v>
      </c>
      <c r="AD105" s="19" t="str">
        <f>"－"</f>
        <v>－</v>
      </c>
    </row>
    <row r="106">
      <c r="A106" s="9" t="s">
        <v>49</v>
      </c>
      <c r="B106" s="10" t="s">
        <v>239</v>
      </c>
      <c r="C106" s="10" t="s">
        <v>240</v>
      </c>
      <c r="D106" s="10" t="s">
        <v>159</v>
      </c>
      <c r="E106" s="11" t="s">
        <v>241</v>
      </c>
      <c r="F106" s="11" t="s">
        <v>161</v>
      </c>
      <c r="G106" s="12" t="n">
        <v>74400.0</v>
      </c>
      <c r="H106" s="13"/>
      <c r="I106" s="14" t="s">
        <v>55</v>
      </c>
      <c r="J106" s="13"/>
      <c r="K106" s="14" t="s">
        <v>55</v>
      </c>
      <c r="L106" s="13"/>
      <c r="M106" s="14"/>
      <c r="N106" s="13"/>
      <c r="O106" s="14" t="s">
        <v>55</v>
      </c>
      <c r="P106" s="13"/>
      <c r="Q106" s="14"/>
      <c r="R106" s="13"/>
      <c r="S106" s="14" t="s">
        <v>55</v>
      </c>
      <c r="T106" s="15" t="n">
        <f>15.61</f>
        <v>15.61</v>
      </c>
      <c r="U106" s="16" t="str">
        <f>"－"</f>
        <v>－</v>
      </c>
      <c r="V106" s="16"/>
      <c r="W106" s="16"/>
      <c r="X106" s="16" t="str">
        <f>"－"</f>
        <v>－</v>
      </c>
      <c r="Y106" s="16"/>
      <c r="Z106" s="17"/>
      <c r="AA106" s="13"/>
      <c r="AB106" s="18" t="str">
        <f>"－"</f>
        <v>－</v>
      </c>
      <c r="AC106" s="18" t="str">
        <f>"－"</f>
        <v>－</v>
      </c>
      <c r="AD106" s="19" t="str">
        <f>"－"</f>
        <v>－</v>
      </c>
    </row>
    <row r="107">
      <c r="A107" s="9" t="s">
        <v>49</v>
      </c>
      <c r="B107" s="10" t="s">
        <v>239</v>
      </c>
      <c r="C107" s="10" t="s">
        <v>240</v>
      </c>
      <c r="D107" s="10" t="s">
        <v>164</v>
      </c>
      <c r="E107" s="11" t="s">
        <v>241</v>
      </c>
      <c r="F107" s="11" t="s">
        <v>208</v>
      </c>
      <c r="G107" s="12" t="n">
        <v>74400.0</v>
      </c>
      <c r="H107" s="13"/>
      <c r="I107" s="14" t="s">
        <v>55</v>
      </c>
      <c r="J107" s="13"/>
      <c r="K107" s="14" t="s">
        <v>55</v>
      </c>
      <c r="L107" s="13"/>
      <c r="M107" s="14"/>
      <c r="N107" s="13"/>
      <c r="O107" s="14" t="s">
        <v>55</v>
      </c>
      <c r="P107" s="13"/>
      <c r="Q107" s="14"/>
      <c r="R107" s="13"/>
      <c r="S107" s="14" t="s">
        <v>55</v>
      </c>
      <c r="T107" s="15" t="n">
        <f>16</f>
        <v>16.0</v>
      </c>
      <c r="U107" s="16" t="str">
        <f>"－"</f>
        <v>－</v>
      </c>
      <c r="V107" s="16"/>
      <c r="W107" s="16"/>
      <c r="X107" s="16" t="str">
        <f>"－"</f>
        <v>－</v>
      </c>
      <c r="Y107" s="16"/>
      <c r="Z107" s="17"/>
      <c r="AA107" s="13"/>
      <c r="AB107" s="18" t="str">
        <f>"－"</f>
        <v>－</v>
      </c>
      <c r="AC107" s="18" t="str">
        <f>"－"</f>
        <v>－</v>
      </c>
      <c r="AD107" s="19" t="str">
        <f>"－"</f>
        <v>－</v>
      </c>
    </row>
    <row r="108">
      <c r="A108" s="9" t="s">
        <v>49</v>
      </c>
      <c r="B108" s="10" t="s">
        <v>239</v>
      </c>
      <c r="C108" s="10" t="s">
        <v>240</v>
      </c>
      <c r="D108" s="10" t="s">
        <v>209</v>
      </c>
      <c r="E108" s="11" t="s">
        <v>241</v>
      </c>
      <c r="F108" s="11" t="s">
        <v>211</v>
      </c>
      <c r="G108" s="12" t="n">
        <v>72000.0</v>
      </c>
      <c r="H108" s="13"/>
      <c r="I108" s="14" t="s">
        <v>55</v>
      </c>
      <c r="J108" s="13"/>
      <c r="K108" s="14" t="s">
        <v>55</v>
      </c>
      <c r="L108" s="13"/>
      <c r="M108" s="14"/>
      <c r="N108" s="13"/>
      <c r="O108" s="14" t="s">
        <v>55</v>
      </c>
      <c r="P108" s="13"/>
      <c r="Q108" s="14"/>
      <c r="R108" s="13"/>
      <c r="S108" s="14" t="s">
        <v>55</v>
      </c>
      <c r="T108" s="15" t="n">
        <f>15.63</f>
        <v>15.63</v>
      </c>
      <c r="U108" s="16" t="str">
        <f>"－"</f>
        <v>－</v>
      </c>
      <c r="V108" s="16"/>
      <c r="W108" s="16"/>
      <c r="X108" s="16" t="str">
        <f>"－"</f>
        <v>－</v>
      </c>
      <c r="Y108" s="16"/>
      <c r="Z108" s="17"/>
      <c r="AA108" s="13"/>
      <c r="AB108" s="18" t="str">
        <f>"－"</f>
        <v>－</v>
      </c>
      <c r="AC108" s="18" t="str">
        <f>"－"</f>
        <v>－</v>
      </c>
      <c r="AD108" s="19" t="str">
        <f>"－"</f>
        <v>－</v>
      </c>
    </row>
    <row r="109">
      <c r="A109" s="9" t="s">
        <v>49</v>
      </c>
      <c r="B109" s="10" t="s">
        <v>239</v>
      </c>
      <c r="C109" s="10" t="s">
        <v>240</v>
      </c>
      <c r="D109" s="10" t="s">
        <v>212</v>
      </c>
      <c r="E109" s="11" t="s">
        <v>241</v>
      </c>
      <c r="F109" s="11" t="s">
        <v>214</v>
      </c>
      <c r="G109" s="12" t="n">
        <v>74400.0</v>
      </c>
      <c r="H109" s="13"/>
      <c r="I109" s="14" t="s">
        <v>55</v>
      </c>
      <c r="J109" s="13"/>
      <c r="K109" s="14" t="s">
        <v>55</v>
      </c>
      <c r="L109" s="13"/>
      <c r="M109" s="14"/>
      <c r="N109" s="13"/>
      <c r="O109" s="14" t="s">
        <v>55</v>
      </c>
      <c r="P109" s="13"/>
      <c r="Q109" s="14"/>
      <c r="R109" s="13"/>
      <c r="S109" s="14" t="s">
        <v>55</v>
      </c>
      <c r="T109" s="15" t="n">
        <f>13.72</f>
        <v>13.72</v>
      </c>
      <c r="U109" s="16" t="str">
        <f>"－"</f>
        <v>－</v>
      </c>
      <c r="V109" s="16"/>
      <c r="W109" s="16"/>
      <c r="X109" s="16" t="str">
        <f>"－"</f>
        <v>－</v>
      </c>
      <c r="Y109" s="16"/>
      <c r="Z109" s="17"/>
      <c r="AA109" s="13"/>
      <c r="AB109" s="18" t="str">
        <f>"－"</f>
        <v>－</v>
      </c>
      <c r="AC109" s="18" t="str">
        <f>"－"</f>
        <v>－</v>
      </c>
      <c r="AD109" s="19" t="str">
        <f>"－"</f>
        <v>－</v>
      </c>
    </row>
    <row r="110">
      <c r="A110" s="9" t="s">
        <v>49</v>
      </c>
      <c r="B110" s="10" t="s">
        <v>239</v>
      </c>
      <c r="C110" s="10" t="s">
        <v>240</v>
      </c>
      <c r="D110" s="10" t="s">
        <v>215</v>
      </c>
      <c r="E110" s="11" t="s">
        <v>241</v>
      </c>
      <c r="F110" s="11" t="s">
        <v>216</v>
      </c>
      <c r="G110" s="12" t="n">
        <v>72000.0</v>
      </c>
      <c r="H110" s="13"/>
      <c r="I110" s="14" t="s">
        <v>55</v>
      </c>
      <c r="J110" s="13"/>
      <c r="K110" s="14" t="s">
        <v>55</v>
      </c>
      <c r="L110" s="13"/>
      <c r="M110" s="14"/>
      <c r="N110" s="13"/>
      <c r="O110" s="14" t="s">
        <v>55</v>
      </c>
      <c r="P110" s="13"/>
      <c r="Q110" s="14"/>
      <c r="R110" s="13"/>
      <c r="S110" s="14" t="s">
        <v>55</v>
      </c>
      <c r="T110" s="15" t="n">
        <f>14.01</f>
        <v>14.01</v>
      </c>
      <c r="U110" s="16" t="str">
        <f>"－"</f>
        <v>－</v>
      </c>
      <c r="V110" s="16"/>
      <c r="W110" s="16"/>
      <c r="X110" s="16" t="str">
        <f>"－"</f>
        <v>－</v>
      </c>
      <c r="Y110" s="16"/>
      <c r="Z110" s="17"/>
      <c r="AA110" s="13"/>
      <c r="AB110" s="18" t="str">
        <f>"－"</f>
        <v>－</v>
      </c>
      <c r="AC110" s="18" t="str">
        <f>"－"</f>
        <v>－</v>
      </c>
      <c r="AD110" s="19" t="str">
        <f>"－"</f>
        <v>－</v>
      </c>
    </row>
    <row r="111">
      <c r="A111" s="9" t="s">
        <v>49</v>
      </c>
      <c r="B111" s="10" t="s">
        <v>239</v>
      </c>
      <c r="C111" s="10" t="s">
        <v>240</v>
      </c>
      <c r="D111" s="10" t="s">
        <v>217</v>
      </c>
      <c r="E111" s="11" t="s">
        <v>241</v>
      </c>
      <c r="F111" s="11" t="s">
        <v>218</v>
      </c>
      <c r="G111" s="12" t="n">
        <v>74400.0</v>
      </c>
      <c r="H111" s="13"/>
      <c r="I111" s="14" t="s">
        <v>55</v>
      </c>
      <c r="J111" s="13"/>
      <c r="K111" s="14" t="s">
        <v>55</v>
      </c>
      <c r="L111" s="13"/>
      <c r="M111" s="14"/>
      <c r="N111" s="13"/>
      <c r="O111" s="14" t="s">
        <v>55</v>
      </c>
      <c r="P111" s="13"/>
      <c r="Q111" s="14"/>
      <c r="R111" s="13"/>
      <c r="S111" s="14" t="s">
        <v>55</v>
      </c>
      <c r="T111" s="15" t="n">
        <f>14.38</f>
        <v>14.38</v>
      </c>
      <c r="U111" s="16" t="str">
        <f>"－"</f>
        <v>－</v>
      </c>
      <c r="V111" s="16"/>
      <c r="W111" s="16"/>
      <c r="X111" s="16" t="str">
        <f>"－"</f>
        <v>－</v>
      </c>
      <c r="Y111" s="16"/>
      <c r="Z111" s="17"/>
      <c r="AA111" s="13"/>
      <c r="AB111" s="18" t="str">
        <f>"－"</f>
        <v>－</v>
      </c>
      <c r="AC111" s="18" t="str">
        <f>"－"</f>
        <v>－</v>
      </c>
      <c r="AD111" s="19" t="str">
        <f>"－"</f>
        <v>－</v>
      </c>
    </row>
    <row r="112">
      <c r="A112" s="9" t="s">
        <v>49</v>
      </c>
      <c r="B112" s="10" t="s">
        <v>239</v>
      </c>
      <c r="C112" s="10" t="s">
        <v>240</v>
      </c>
      <c r="D112" s="10" t="s">
        <v>219</v>
      </c>
      <c r="E112" s="11" t="s">
        <v>241</v>
      </c>
      <c r="F112" s="11" t="s">
        <v>220</v>
      </c>
      <c r="G112" s="12" t="n">
        <v>74400.0</v>
      </c>
      <c r="H112" s="13"/>
      <c r="I112" s="14" t="s">
        <v>55</v>
      </c>
      <c r="J112" s="13"/>
      <c r="K112" s="14" t="s">
        <v>55</v>
      </c>
      <c r="L112" s="13"/>
      <c r="M112" s="14"/>
      <c r="N112" s="13"/>
      <c r="O112" s="14" t="s">
        <v>55</v>
      </c>
      <c r="P112" s="13"/>
      <c r="Q112" s="14"/>
      <c r="R112" s="13"/>
      <c r="S112" s="14" t="s">
        <v>55</v>
      </c>
      <c r="T112" s="15" t="n">
        <f>14.46</f>
        <v>14.46</v>
      </c>
      <c r="U112" s="16" t="str">
        <f>"－"</f>
        <v>－</v>
      </c>
      <c r="V112" s="16"/>
      <c r="W112" s="16"/>
      <c r="X112" s="16" t="str">
        <f>"－"</f>
        <v>－</v>
      </c>
      <c r="Y112" s="16"/>
      <c r="Z112" s="17"/>
      <c r="AA112" s="13"/>
      <c r="AB112" s="18" t="str">
        <f>"－"</f>
        <v>－</v>
      </c>
      <c r="AC112" s="18" t="str">
        <f>"－"</f>
        <v>－</v>
      </c>
      <c r="AD112" s="19" t="str">
        <f>"－"</f>
        <v>－</v>
      </c>
    </row>
    <row r="113">
      <c r="A113" s="9" t="s">
        <v>49</v>
      </c>
      <c r="B113" s="10" t="s">
        <v>239</v>
      </c>
      <c r="C113" s="10" t="s">
        <v>240</v>
      </c>
      <c r="D113" s="10" t="s">
        <v>221</v>
      </c>
      <c r="E113" s="11" t="s">
        <v>241</v>
      </c>
      <c r="F113" s="11" t="s">
        <v>222</v>
      </c>
      <c r="G113" s="12" t="n">
        <v>69600.0</v>
      </c>
      <c r="H113" s="13"/>
      <c r="I113" s="14" t="s">
        <v>55</v>
      </c>
      <c r="J113" s="13"/>
      <c r="K113" s="14" t="s">
        <v>55</v>
      </c>
      <c r="L113" s="13"/>
      <c r="M113" s="14"/>
      <c r="N113" s="13"/>
      <c r="O113" s="14" t="s">
        <v>55</v>
      </c>
      <c r="P113" s="13"/>
      <c r="Q113" s="14"/>
      <c r="R113" s="13"/>
      <c r="S113" s="14" t="s">
        <v>55</v>
      </c>
      <c r="T113" s="15" t="n">
        <f>14.25</f>
        <v>14.25</v>
      </c>
      <c r="U113" s="16" t="str">
        <f>"－"</f>
        <v>－</v>
      </c>
      <c r="V113" s="16"/>
      <c r="W113" s="16"/>
      <c r="X113" s="16" t="str">
        <f>"－"</f>
        <v>－</v>
      </c>
      <c r="Y113" s="16"/>
      <c r="Z113" s="17"/>
      <c r="AA113" s="13"/>
      <c r="AB113" s="18" t="str">
        <f>"－"</f>
        <v>－</v>
      </c>
      <c r="AC113" s="18" t="str">
        <f>"－"</f>
        <v>－</v>
      </c>
      <c r="AD113" s="19" t="str">
        <f>"－"</f>
        <v>－</v>
      </c>
    </row>
    <row r="114">
      <c r="A114" s="9" t="s">
        <v>49</v>
      </c>
      <c r="B114" s="10" t="s">
        <v>239</v>
      </c>
      <c r="C114" s="10" t="s">
        <v>240</v>
      </c>
      <c r="D114" s="10" t="s">
        <v>223</v>
      </c>
      <c r="E114" s="11" t="s">
        <v>241</v>
      </c>
      <c r="F114" s="11" t="s">
        <v>225</v>
      </c>
      <c r="G114" s="12" t="n">
        <v>74400.0</v>
      </c>
      <c r="H114" s="13"/>
      <c r="I114" s="14" t="s">
        <v>55</v>
      </c>
      <c r="J114" s="13"/>
      <c r="K114" s="14" t="s">
        <v>55</v>
      </c>
      <c r="L114" s="13"/>
      <c r="M114" s="14"/>
      <c r="N114" s="13"/>
      <c r="O114" s="14" t="s">
        <v>55</v>
      </c>
      <c r="P114" s="13"/>
      <c r="Q114" s="14"/>
      <c r="R114" s="13"/>
      <c r="S114" s="14" t="s">
        <v>55</v>
      </c>
      <c r="T114" s="15" t="n">
        <f>12.71</f>
        <v>12.71</v>
      </c>
      <c r="U114" s="16" t="str">
        <f>"－"</f>
        <v>－</v>
      </c>
      <c r="V114" s="16"/>
      <c r="W114" s="16"/>
      <c r="X114" s="16" t="str">
        <f>"－"</f>
        <v>－</v>
      </c>
      <c r="Y114" s="16"/>
      <c r="Z114" s="17"/>
      <c r="AA114" s="13"/>
      <c r="AB114" s="18" t="str">
        <f>"－"</f>
        <v>－</v>
      </c>
      <c r="AC114" s="18" t="str">
        <f>"－"</f>
        <v>－</v>
      </c>
      <c r="AD114" s="19" t="str">
        <f>"－"</f>
        <v>－</v>
      </c>
    </row>
    <row r="115">
      <c r="A115" s="9" t="s">
        <v>49</v>
      </c>
      <c r="B115" s="10" t="s">
        <v>239</v>
      </c>
      <c r="C115" s="10" t="s">
        <v>240</v>
      </c>
      <c r="D115" s="10" t="s">
        <v>226</v>
      </c>
      <c r="E115" s="11" t="s">
        <v>227</v>
      </c>
      <c r="F115" s="11" t="s">
        <v>228</v>
      </c>
      <c r="G115" s="12" t="n">
        <v>72000.0</v>
      </c>
      <c r="H115" s="13"/>
      <c r="I115" s="14" t="s">
        <v>55</v>
      </c>
      <c r="J115" s="13"/>
      <c r="K115" s="14" t="s">
        <v>55</v>
      </c>
      <c r="L115" s="13"/>
      <c r="M115" s="14"/>
      <c r="N115" s="13"/>
      <c r="O115" s="14" t="s">
        <v>55</v>
      </c>
      <c r="P115" s="13"/>
      <c r="Q115" s="14"/>
      <c r="R115" s="13"/>
      <c r="S115" s="14" t="s">
        <v>55</v>
      </c>
      <c r="T115" s="15" t="n">
        <f>12.35</f>
        <v>12.35</v>
      </c>
      <c r="U115" s="16" t="str">
        <f>"－"</f>
        <v>－</v>
      </c>
      <c r="V115" s="16"/>
      <c r="W115" s="16"/>
      <c r="X115" s="16" t="str">
        <f>"－"</f>
        <v>－</v>
      </c>
      <c r="Y115" s="16"/>
      <c r="Z115" s="17"/>
      <c r="AA115" s="13"/>
      <c r="AB115" s="18" t="str">
        <f>"－"</f>
        <v>－</v>
      </c>
      <c r="AC115" s="18" t="str">
        <f>"－"</f>
        <v>－</v>
      </c>
      <c r="AD115" s="19" t="str">
        <f>"－"</f>
        <v>－</v>
      </c>
    </row>
    <row r="116">
      <c r="A116" s="9" t="s">
        <v>49</v>
      </c>
      <c r="B116" s="10" t="s">
        <v>239</v>
      </c>
      <c r="C116" s="10" t="s">
        <v>240</v>
      </c>
      <c r="D116" s="10" t="s">
        <v>229</v>
      </c>
      <c r="E116" s="11" t="s">
        <v>165</v>
      </c>
      <c r="F116" s="11" t="s">
        <v>230</v>
      </c>
      <c r="G116" s="12" t="n">
        <v>74400.0</v>
      </c>
      <c r="H116" s="13"/>
      <c r="I116" s="14" t="s">
        <v>55</v>
      </c>
      <c r="J116" s="13"/>
      <c r="K116" s="14" t="s">
        <v>55</v>
      </c>
      <c r="L116" s="13"/>
      <c r="M116" s="14"/>
      <c r="N116" s="13"/>
      <c r="O116" s="14" t="s">
        <v>55</v>
      </c>
      <c r="P116" s="13"/>
      <c r="Q116" s="14"/>
      <c r="R116" s="13"/>
      <c r="S116" s="14" t="s">
        <v>55</v>
      </c>
      <c r="T116" s="15" t="n">
        <f>12.29</f>
        <v>12.29</v>
      </c>
      <c r="U116" s="16" t="str">
        <f>"－"</f>
        <v>－</v>
      </c>
      <c r="V116" s="16"/>
      <c r="W116" s="16"/>
      <c r="X116" s="16" t="str">
        <f>"－"</f>
        <v>－</v>
      </c>
      <c r="Y116" s="16"/>
      <c r="Z116" s="17"/>
      <c r="AA116" s="13"/>
      <c r="AB116" s="18" t="str">
        <f>"－"</f>
        <v>－</v>
      </c>
      <c r="AC116" s="18" t="str">
        <f>"－"</f>
        <v>－</v>
      </c>
      <c r="AD116" s="19" t="str">
        <f>"－"</f>
        <v>－</v>
      </c>
    </row>
    <row r="117">
      <c r="A117" s="9" t="s">
        <v>49</v>
      </c>
      <c r="B117" s="10" t="s">
        <v>239</v>
      </c>
      <c r="C117" s="10" t="s">
        <v>240</v>
      </c>
      <c r="D117" s="10" t="s">
        <v>231</v>
      </c>
      <c r="E117" s="11" t="s">
        <v>82</v>
      </c>
      <c r="F117" s="11" t="s">
        <v>232</v>
      </c>
      <c r="G117" s="12" t="n">
        <v>72000.0</v>
      </c>
      <c r="H117" s="13"/>
      <c r="I117" s="14" t="s">
        <v>55</v>
      </c>
      <c r="J117" s="13"/>
      <c r="K117" s="14" t="s">
        <v>55</v>
      </c>
      <c r="L117" s="13"/>
      <c r="M117" s="14"/>
      <c r="N117" s="13"/>
      <c r="O117" s="14" t="s">
        <v>55</v>
      </c>
      <c r="P117" s="13"/>
      <c r="Q117" s="14"/>
      <c r="R117" s="13"/>
      <c r="S117" s="14" t="s">
        <v>55</v>
      </c>
      <c r="T117" s="15" t="n">
        <f>13.04</f>
        <v>13.04</v>
      </c>
      <c r="U117" s="16" t="str">
        <f>"－"</f>
        <v>－</v>
      </c>
      <c r="V117" s="16"/>
      <c r="W117" s="16"/>
      <c r="X117" s="16" t="str">
        <f>"－"</f>
        <v>－</v>
      </c>
      <c r="Y117" s="16"/>
      <c r="Z117" s="17"/>
      <c r="AA117" s="13"/>
      <c r="AB117" s="18" t="str">
        <f>"－"</f>
        <v>－</v>
      </c>
      <c r="AC117" s="18" t="str">
        <f>"－"</f>
        <v>－</v>
      </c>
      <c r="AD117" s="19" t="str">
        <f>"－"</f>
        <v>－</v>
      </c>
    </row>
    <row r="118">
      <c r="A118" s="9" t="s">
        <v>49</v>
      </c>
      <c r="B118" s="10" t="s">
        <v>246</v>
      </c>
      <c r="C118" s="10" t="s">
        <v>247</v>
      </c>
      <c r="D118" s="10" t="s">
        <v>49</v>
      </c>
      <c r="E118" s="11" t="s">
        <v>248</v>
      </c>
      <c r="F118" s="11" t="s">
        <v>175</v>
      </c>
      <c r="G118" s="12" t="n">
        <v>26400.0</v>
      </c>
      <c r="H118" s="13"/>
      <c r="I118" s="14" t="s">
        <v>55</v>
      </c>
      <c r="J118" s="13"/>
      <c r="K118" s="14" t="s">
        <v>55</v>
      </c>
      <c r="L118" s="13"/>
      <c r="M118" s="14"/>
      <c r="N118" s="13"/>
      <c r="O118" s="14" t="s">
        <v>55</v>
      </c>
      <c r="P118" s="13"/>
      <c r="Q118" s="14"/>
      <c r="R118" s="13"/>
      <c r="S118" s="14" t="s">
        <v>55</v>
      </c>
      <c r="T118" s="15" t="n">
        <f>25.35</f>
        <v>25.35</v>
      </c>
      <c r="U118" s="16" t="str">
        <f>"－"</f>
        <v>－</v>
      </c>
      <c r="V118" s="16"/>
      <c r="W118" s="16"/>
      <c r="X118" s="16" t="str">
        <f>"－"</f>
        <v>－</v>
      </c>
      <c r="Y118" s="16"/>
      <c r="Z118" s="17"/>
      <c r="AA118" s="13" t="s">
        <v>56</v>
      </c>
      <c r="AB118" s="18" t="n">
        <f>240</f>
        <v>240.0</v>
      </c>
      <c r="AC118" s="18" t="str">
        <f>"－"</f>
        <v>－</v>
      </c>
      <c r="AD118" s="19" t="str">
        <f>"－"</f>
        <v>－</v>
      </c>
    </row>
    <row r="119">
      <c r="A119" s="9" t="s">
        <v>49</v>
      </c>
      <c r="B119" s="10" t="s">
        <v>246</v>
      </c>
      <c r="C119" s="10" t="s">
        <v>247</v>
      </c>
      <c r="D119" s="10" t="s">
        <v>52</v>
      </c>
      <c r="E119" s="11" t="s">
        <v>176</v>
      </c>
      <c r="F119" s="11" t="s">
        <v>177</v>
      </c>
      <c r="G119" s="12" t="n">
        <v>26400.0</v>
      </c>
      <c r="H119" s="13"/>
      <c r="I119" s="14" t="s">
        <v>55</v>
      </c>
      <c r="J119" s="13"/>
      <c r="K119" s="14" t="s">
        <v>55</v>
      </c>
      <c r="L119" s="13" t="s">
        <v>95</v>
      </c>
      <c r="M119" s="14" t="s">
        <v>249</v>
      </c>
      <c r="N119" s="13"/>
      <c r="O119" s="14" t="s">
        <v>55</v>
      </c>
      <c r="P119" s="13" t="s">
        <v>95</v>
      </c>
      <c r="Q119" s="14" t="s">
        <v>249</v>
      </c>
      <c r="R119" s="13"/>
      <c r="S119" s="14" t="s">
        <v>55</v>
      </c>
      <c r="T119" s="15" t="n">
        <f>28.06</f>
        <v>28.06</v>
      </c>
      <c r="U119" s="16" t="n">
        <f>50</f>
        <v>50.0</v>
      </c>
      <c r="V119" s="16" t="n">
        <v>50.0</v>
      </c>
      <c r="W119" s="16"/>
      <c r="X119" s="16" t="n">
        <f>44088000</f>
        <v>4.4088E7</v>
      </c>
      <c r="Y119" s="16" t="n">
        <v>4.4088E7</v>
      </c>
      <c r="Z119" s="17"/>
      <c r="AA119" s="13"/>
      <c r="AB119" s="18" t="n">
        <f>298</f>
        <v>298.0</v>
      </c>
      <c r="AC119" s="18" t="str">
        <f>"－"</f>
        <v>－</v>
      </c>
      <c r="AD119" s="19" t="str">
        <f>"－"</f>
        <v>－</v>
      </c>
    </row>
    <row r="120">
      <c r="A120" s="9" t="s">
        <v>49</v>
      </c>
      <c r="B120" s="10" t="s">
        <v>246</v>
      </c>
      <c r="C120" s="10" t="s">
        <v>247</v>
      </c>
      <c r="D120" s="10" t="s">
        <v>57</v>
      </c>
      <c r="E120" s="11" t="s">
        <v>250</v>
      </c>
      <c r="F120" s="11" t="s">
        <v>184</v>
      </c>
      <c r="G120" s="12" t="n">
        <v>24000.0</v>
      </c>
      <c r="H120" s="13"/>
      <c r="I120" s="14" t="s">
        <v>55</v>
      </c>
      <c r="J120" s="13"/>
      <c r="K120" s="14" t="s">
        <v>55</v>
      </c>
      <c r="L120" s="13" t="s">
        <v>95</v>
      </c>
      <c r="M120" s="14" t="s">
        <v>249</v>
      </c>
      <c r="N120" s="13"/>
      <c r="O120" s="14" t="s">
        <v>55</v>
      </c>
      <c r="P120" s="13" t="s">
        <v>95</v>
      </c>
      <c r="Q120" s="14" t="s">
        <v>249</v>
      </c>
      <c r="R120" s="13"/>
      <c r="S120" s="14" t="s">
        <v>55</v>
      </c>
      <c r="T120" s="15" t="n">
        <f>28</f>
        <v>28.0</v>
      </c>
      <c r="U120" s="16" t="n">
        <f>50</f>
        <v>50.0</v>
      </c>
      <c r="V120" s="16" t="n">
        <v>50.0</v>
      </c>
      <c r="W120" s="16"/>
      <c r="X120" s="16" t="n">
        <f>40080000</f>
        <v>4.008E7</v>
      </c>
      <c r="Y120" s="16" t="n">
        <v>4.008E7</v>
      </c>
      <c r="Z120" s="17"/>
      <c r="AA120" s="13"/>
      <c r="AB120" s="18" t="n">
        <f>248</f>
        <v>248.0</v>
      </c>
      <c r="AC120" s="18" t="str">
        <f>"－"</f>
        <v>－</v>
      </c>
      <c r="AD120" s="19" t="str">
        <f>"－"</f>
        <v>－</v>
      </c>
    </row>
    <row r="121">
      <c r="A121" s="9" t="s">
        <v>49</v>
      </c>
      <c r="B121" s="10" t="s">
        <v>246</v>
      </c>
      <c r="C121" s="10" t="s">
        <v>247</v>
      </c>
      <c r="D121" s="10" t="s">
        <v>60</v>
      </c>
      <c r="E121" s="11" t="s">
        <v>188</v>
      </c>
      <c r="F121" s="11" t="s">
        <v>189</v>
      </c>
      <c r="G121" s="12" t="n">
        <v>22800.0</v>
      </c>
      <c r="H121" s="13"/>
      <c r="I121" s="14" t="s">
        <v>55</v>
      </c>
      <c r="J121" s="13"/>
      <c r="K121" s="14" t="s">
        <v>55</v>
      </c>
      <c r="L121" s="13" t="s">
        <v>95</v>
      </c>
      <c r="M121" s="14" t="s">
        <v>249</v>
      </c>
      <c r="N121" s="13"/>
      <c r="O121" s="14" t="s">
        <v>55</v>
      </c>
      <c r="P121" s="13" t="s">
        <v>95</v>
      </c>
      <c r="Q121" s="14" t="s">
        <v>249</v>
      </c>
      <c r="R121" s="13"/>
      <c r="S121" s="14" t="s">
        <v>55</v>
      </c>
      <c r="T121" s="15" t="n">
        <f>27.21</f>
        <v>27.21</v>
      </c>
      <c r="U121" s="16" t="n">
        <f>50</f>
        <v>50.0</v>
      </c>
      <c r="V121" s="16" t="n">
        <v>50.0</v>
      </c>
      <c r="W121" s="16"/>
      <c r="X121" s="16" t="n">
        <f>38076000</f>
        <v>3.8076E7</v>
      </c>
      <c r="Y121" s="16" t="n">
        <v>3.8076E7</v>
      </c>
      <c r="Z121" s="17"/>
      <c r="AA121" s="13"/>
      <c r="AB121" s="18" t="n">
        <f>248</f>
        <v>248.0</v>
      </c>
      <c r="AC121" s="18" t="str">
        <f>"－"</f>
        <v>－</v>
      </c>
      <c r="AD121" s="19" t="str">
        <f>"－"</f>
        <v>－</v>
      </c>
    </row>
    <row r="122">
      <c r="A122" s="9" t="s">
        <v>49</v>
      </c>
      <c r="B122" s="10" t="s">
        <v>246</v>
      </c>
      <c r="C122" s="10" t="s">
        <v>247</v>
      </c>
      <c r="D122" s="10" t="s">
        <v>63</v>
      </c>
      <c r="E122" s="11" t="s">
        <v>191</v>
      </c>
      <c r="F122" s="11" t="s">
        <v>251</v>
      </c>
      <c r="G122" s="12" t="n">
        <v>25200.0</v>
      </c>
      <c r="H122" s="13"/>
      <c r="I122" s="14" t="s">
        <v>55</v>
      </c>
      <c r="J122" s="13"/>
      <c r="K122" s="14" t="s">
        <v>55</v>
      </c>
      <c r="L122" s="13"/>
      <c r="M122" s="14"/>
      <c r="N122" s="13"/>
      <c r="O122" s="14" t="s">
        <v>55</v>
      </c>
      <c r="P122" s="13"/>
      <c r="Q122" s="14"/>
      <c r="R122" s="13"/>
      <c r="S122" s="14" t="s">
        <v>55</v>
      </c>
      <c r="T122" s="15" t="n">
        <f>21.63</f>
        <v>21.63</v>
      </c>
      <c r="U122" s="16" t="str">
        <f>"－"</f>
        <v>－</v>
      </c>
      <c r="V122" s="16"/>
      <c r="W122" s="16"/>
      <c r="X122" s="16" t="str">
        <f>"－"</f>
        <v>－</v>
      </c>
      <c r="Y122" s="16"/>
      <c r="Z122" s="17"/>
      <c r="AA122" s="13"/>
      <c r="AB122" s="18" t="n">
        <f>122</f>
        <v>122.0</v>
      </c>
      <c r="AC122" s="18" t="str">
        <f>"－"</f>
        <v>－</v>
      </c>
      <c r="AD122" s="19" t="str">
        <f>"－"</f>
        <v>－</v>
      </c>
    </row>
    <row r="123">
      <c r="A123" s="9" t="s">
        <v>49</v>
      </c>
      <c r="B123" s="10" t="s">
        <v>246</v>
      </c>
      <c r="C123" s="10" t="s">
        <v>247</v>
      </c>
      <c r="D123" s="10" t="s">
        <v>66</v>
      </c>
      <c r="E123" s="11" t="s">
        <v>252</v>
      </c>
      <c r="F123" s="11" t="s">
        <v>193</v>
      </c>
      <c r="G123" s="12" t="n">
        <v>22800.0</v>
      </c>
      <c r="H123" s="13"/>
      <c r="I123" s="14" t="s">
        <v>55</v>
      </c>
      <c r="J123" s="13"/>
      <c r="K123" s="14" t="s">
        <v>55</v>
      </c>
      <c r="L123" s="13"/>
      <c r="M123" s="14"/>
      <c r="N123" s="13"/>
      <c r="O123" s="14" t="s">
        <v>55</v>
      </c>
      <c r="P123" s="13"/>
      <c r="Q123" s="14"/>
      <c r="R123" s="13"/>
      <c r="S123" s="14" t="s">
        <v>55</v>
      </c>
      <c r="T123" s="15" t="n">
        <f>22.06</f>
        <v>22.06</v>
      </c>
      <c r="U123" s="16" t="str">
        <f>"－"</f>
        <v>－</v>
      </c>
      <c r="V123" s="16"/>
      <c r="W123" s="16"/>
      <c r="X123" s="16" t="str">
        <f>"－"</f>
        <v>－</v>
      </c>
      <c r="Y123" s="16"/>
      <c r="Z123" s="17"/>
      <c r="AA123" s="13"/>
      <c r="AB123" s="18" t="n">
        <f>122</f>
        <v>122.0</v>
      </c>
      <c r="AC123" s="18" t="str">
        <f>"－"</f>
        <v>－</v>
      </c>
      <c r="AD123" s="19" t="str">
        <f>"－"</f>
        <v>－</v>
      </c>
    </row>
    <row r="124">
      <c r="A124" s="9" t="s">
        <v>49</v>
      </c>
      <c r="B124" s="10" t="s">
        <v>246</v>
      </c>
      <c r="C124" s="10" t="s">
        <v>247</v>
      </c>
      <c r="D124" s="10" t="s">
        <v>69</v>
      </c>
      <c r="E124" s="11" t="s">
        <v>253</v>
      </c>
      <c r="F124" s="11" t="s">
        <v>254</v>
      </c>
      <c r="G124" s="12" t="n">
        <v>25200.0</v>
      </c>
      <c r="H124" s="13"/>
      <c r="I124" s="14" t="s">
        <v>55</v>
      </c>
      <c r="J124" s="13"/>
      <c r="K124" s="14" t="s">
        <v>55</v>
      </c>
      <c r="L124" s="13"/>
      <c r="M124" s="14"/>
      <c r="N124" s="13"/>
      <c r="O124" s="14" t="s">
        <v>55</v>
      </c>
      <c r="P124" s="13"/>
      <c r="Q124" s="14"/>
      <c r="R124" s="13"/>
      <c r="S124" s="14" t="s">
        <v>55</v>
      </c>
      <c r="T124" s="15" t="n">
        <f>21.87</f>
        <v>21.87</v>
      </c>
      <c r="U124" s="16" t="str">
        <f>"－"</f>
        <v>－</v>
      </c>
      <c r="V124" s="16"/>
      <c r="W124" s="16"/>
      <c r="X124" s="16" t="str">
        <f>"－"</f>
        <v>－</v>
      </c>
      <c r="Y124" s="16"/>
      <c r="Z124" s="17"/>
      <c r="AA124" s="13"/>
      <c r="AB124" s="18" t="n">
        <f>147</f>
        <v>147.0</v>
      </c>
      <c r="AC124" s="18" t="str">
        <f>"－"</f>
        <v>－</v>
      </c>
      <c r="AD124" s="19" t="str">
        <f>"－"</f>
        <v>－</v>
      </c>
    </row>
    <row r="125">
      <c r="A125" s="9" t="s">
        <v>49</v>
      </c>
      <c r="B125" s="10" t="s">
        <v>246</v>
      </c>
      <c r="C125" s="10" t="s">
        <v>247</v>
      </c>
      <c r="D125" s="10" t="s">
        <v>72</v>
      </c>
      <c r="E125" s="11" t="s">
        <v>195</v>
      </c>
      <c r="F125" s="11" t="s">
        <v>255</v>
      </c>
      <c r="G125" s="12" t="n">
        <v>22800.0</v>
      </c>
      <c r="H125" s="13"/>
      <c r="I125" s="14" t="s">
        <v>55</v>
      </c>
      <c r="J125" s="13"/>
      <c r="K125" s="14" t="s">
        <v>55</v>
      </c>
      <c r="L125" s="13"/>
      <c r="M125" s="14"/>
      <c r="N125" s="13"/>
      <c r="O125" s="14" t="s">
        <v>55</v>
      </c>
      <c r="P125" s="13"/>
      <c r="Q125" s="14"/>
      <c r="R125" s="13"/>
      <c r="S125" s="14" t="s">
        <v>55</v>
      </c>
      <c r="T125" s="15" t="n">
        <f>21.17</f>
        <v>21.17</v>
      </c>
      <c r="U125" s="16" t="str">
        <f>"－"</f>
        <v>－</v>
      </c>
      <c r="V125" s="16"/>
      <c r="W125" s="16"/>
      <c r="X125" s="16" t="str">
        <f>"－"</f>
        <v>－</v>
      </c>
      <c r="Y125" s="16"/>
      <c r="Z125" s="17"/>
      <c r="AA125" s="13"/>
      <c r="AB125" s="18" t="n">
        <f>147</f>
        <v>147.0</v>
      </c>
      <c r="AC125" s="18" t="str">
        <f>"－"</f>
        <v>－</v>
      </c>
      <c r="AD125" s="19" t="str">
        <f>"－"</f>
        <v>－</v>
      </c>
    </row>
    <row r="126">
      <c r="A126" s="9" t="s">
        <v>49</v>
      </c>
      <c r="B126" s="10" t="s">
        <v>246</v>
      </c>
      <c r="C126" s="10" t="s">
        <v>247</v>
      </c>
      <c r="D126" s="10" t="s">
        <v>140</v>
      </c>
      <c r="E126" s="11" t="s">
        <v>199</v>
      </c>
      <c r="F126" s="11" t="s">
        <v>256</v>
      </c>
      <c r="G126" s="12" t="n">
        <v>21600.0</v>
      </c>
      <c r="H126" s="13"/>
      <c r="I126" s="14" t="s">
        <v>55</v>
      </c>
      <c r="J126" s="13"/>
      <c r="K126" s="14" t="s">
        <v>55</v>
      </c>
      <c r="L126" s="13"/>
      <c r="M126" s="14"/>
      <c r="N126" s="13"/>
      <c r="O126" s="14" t="s">
        <v>55</v>
      </c>
      <c r="P126" s="13"/>
      <c r="Q126" s="14"/>
      <c r="R126" s="13"/>
      <c r="S126" s="14" t="s">
        <v>55</v>
      </c>
      <c r="T126" s="15" t="n">
        <f>20.29</f>
        <v>20.29</v>
      </c>
      <c r="U126" s="16" t="str">
        <f>"－"</f>
        <v>－</v>
      </c>
      <c r="V126" s="16"/>
      <c r="W126" s="16"/>
      <c r="X126" s="16" t="str">
        <f>"－"</f>
        <v>－</v>
      </c>
      <c r="Y126" s="16"/>
      <c r="Z126" s="17"/>
      <c r="AA126" s="13"/>
      <c r="AB126" s="18" t="n">
        <f>147</f>
        <v>147.0</v>
      </c>
      <c r="AC126" s="18" t="str">
        <f>"－"</f>
        <v>－</v>
      </c>
      <c r="AD126" s="19" t="str">
        <f>"－"</f>
        <v>－</v>
      </c>
    </row>
    <row r="127">
      <c r="A127" s="9" t="s">
        <v>49</v>
      </c>
      <c r="B127" s="10" t="s">
        <v>246</v>
      </c>
      <c r="C127" s="10" t="s">
        <v>247</v>
      </c>
      <c r="D127" s="10" t="s">
        <v>143</v>
      </c>
      <c r="E127" s="11" t="s">
        <v>200</v>
      </c>
      <c r="F127" s="11" t="s">
        <v>201</v>
      </c>
      <c r="G127" s="12" t="n">
        <v>26400.0</v>
      </c>
      <c r="H127" s="13"/>
      <c r="I127" s="14" t="s">
        <v>55</v>
      </c>
      <c r="J127" s="13"/>
      <c r="K127" s="14" t="s">
        <v>55</v>
      </c>
      <c r="L127" s="13"/>
      <c r="M127" s="14"/>
      <c r="N127" s="13"/>
      <c r="O127" s="14" t="s">
        <v>55</v>
      </c>
      <c r="P127" s="13"/>
      <c r="Q127" s="14"/>
      <c r="R127" s="13"/>
      <c r="S127" s="14" t="s">
        <v>55</v>
      </c>
      <c r="T127" s="15" t="n">
        <f>18</f>
        <v>18.0</v>
      </c>
      <c r="U127" s="16" t="str">
        <f>"－"</f>
        <v>－</v>
      </c>
      <c r="V127" s="16"/>
      <c r="W127" s="16"/>
      <c r="X127" s="16" t="str">
        <f>"－"</f>
        <v>－</v>
      </c>
      <c r="Y127" s="16"/>
      <c r="Z127" s="17"/>
      <c r="AA127" s="13"/>
      <c r="AB127" s="18" t="n">
        <f>122</f>
        <v>122.0</v>
      </c>
      <c r="AC127" s="18" t="str">
        <f>"－"</f>
        <v>－</v>
      </c>
      <c r="AD127" s="19" t="str">
        <f>"－"</f>
        <v>－</v>
      </c>
    </row>
    <row r="128">
      <c r="A128" s="9" t="s">
        <v>49</v>
      </c>
      <c r="B128" s="10" t="s">
        <v>246</v>
      </c>
      <c r="C128" s="10" t="s">
        <v>247</v>
      </c>
      <c r="D128" s="10" t="s">
        <v>148</v>
      </c>
      <c r="E128" s="11" t="s">
        <v>202</v>
      </c>
      <c r="F128" s="11" t="s">
        <v>203</v>
      </c>
      <c r="G128" s="12" t="n">
        <v>25200.0</v>
      </c>
      <c r="H128" s="13"/>
      <c r="I128" s="14" t="s">
        <v>55</v>
      </c>
      <c r="J128" s="13"/>
      <c r="K128" s="14" t="s">
        <v>55</v>
      </c>
      <c r="L128" s="13"/>
      <c r="M128" s="14"/>
      <c r="N128" s="13"/>
      <c r="O128" s="14" t="s">
        <v>55</v>
      </c>
      <c r="P128" s="13"/>
      <c r="Q128" s="14"/>
      <c r="R128" s="13"/>
      <c r="S128" s="14" t="s">
        <v>55</v>
      </c>
      <c r="T128" s="15" t="n">
        <f>16.35</f>
        <v>16.35</v>
      </c>
      <c r="U128" s="16" t="str">
        <f>"－"</f>
        <v>－</v>
      </c>
      <c r="V128" s="16"/>
      <c r="W128" s="16"/>
      <c r="X128" s="16" t="str">
        <f>"－"</f>
        <v>－</v>
      </c>
      <c r="Y128" s="16"/>
      <c r="Z128" s="17"/>
      <c r="AA128" s="13"/>
      <c r="AB128" s="18" t="n">
        <f>2</f>
        <v>2.0</v>
      </c>
      <c r="AC128" s="18" t="str">
        <f>"－"</f>
        <v>－</v>
      </c>
      <c r="AD128" s="19" t="str">
        <f>"－"</f>
        <v>－</v>
      </c>
    </row>
    <row r="129">
      <c r="A129" s="9" t="s">
        <v>49</v>
      </c>
      <c r="B129" s="10" t="s">
        <v>246</v>
      </c>
      <c r="C129" s="10" t="s">
        <v>247</v>
      </c>
      <c r="D129" s="10" t="s">
        <v>151</v>
      </c>
      <c r="E129" s="11" t="s">
        <v>257</v>
      </c>
      <c r="F129" s="11" t="s">
        <v>204</v>
      </c>
      <c r="G129" s="12" t="n">
        <v>21600.0</v>
      </c>
      <c r="H129" s="13"/>
      <c r="I129" s="14" t="s">
        <v>55</v>
      </c>
      <c r="J129" s="13"/>
      <c r="K129" s="14" t="s">
        <v>55</v>
      </c>
      <c r="L129" s="13"/>
      <c r="M129" s="14"/>
      <c r="N129" s="13"/>
      <c r="O129" s="14" t="s">
        <v>55</v>
      </c>
      <c r="P129" s="13"/>
      <c r="Q129" s="14"/>
      <c r="R129" s="13"/>
      <c r="S129" s="14" t="s">
        <v>55</v>
      </c>
      <c r="T129" s="15" t="n">
        <f>16.84</f>
        <v>16.84</v>
      </c>
      <c r="U129" s="16" t="str">
        <f>"－"</f>
        <v>－</v>
      </c>
      <c r="V129" s="16"/>
      <c r="W129" s="16"/>
      <c r="X129" s="16" t="str">
        <f>"－"</f>
        <v>－</v>
      </c>
      <c r="Y129" s="16"/>
      <c r="Z129" s="17"/>
      <c r="AA129" s="13"/>
      <c r="AB129" s="18" t="n">
        <f>2</f>
        <v>2.0</v>
      </c>
      <c r="AC129" s="18" t="str">
        <f>"－"</f>
        <v>－</v>
      </c>
      <c r="AD129" s="19" t="str">
        <f>"－"</f>
        <v>－</v>
      </c>
    </row>
    <row r="130">
      <c r="A130" s="9" t="s">
        <v>49</v>
      </c>
      <c r="B130" s="10" t="s">
        <v>246</v>
      </c>
      <c r="C130" s="10" t="s">
        <v>247</v>
      </c>
      <c r="D130" s="10" t="s">
        <v>156</v>
      </c>
      <c r="E130" s="11" t="s">
        <v>205</v>
      </c>
      <c r="F130" s="11" t="s">
        <v>206</v>
      </c>
      <c r="G130" s="12" t="n">
        <v>26400.0</v>
      </c>
      <c r="H130" s="13"/>
      <c r="I130" s="14" t="s">
        <v>55</v>
      </c>
      <c r="J130" s="13"/>
      <c r="K130" s="14" t="s">
        <v>55</v>
      </c>
      <c r="L130" s="13"/>
      <c r="M130" s="14"/>
      <c r="N130" s="13"/>
      <c r="O130" s="14" t="s">
        <v>55</v>
      </c>
      <c r="P130" s="13"/>
      <c r="Q130" s="14"/>
      <c r="R130" s="13"/>
      <c r="S130" s="14" t="s">
        <v>55</v>
      </c>
      <c r="T130" s="15" t="n">
        <f>17.56</f>
        <v>17.56</v>
      </c>
      <c r="U130" s="16" t="str">
        <f>"－"</f>
        <v>－</v>
      </c>
      <c r="V130" s="16"/>
      <c r="W130" s="16"/>
      <c r="X130" s="16" t="str">
        <f>"－"</f>
        <v>－</v>
      </c>
      <c r="Y130" s="16"/>
      <c r="Z130" s="17"/>
      <c r="AA130" s="13"/>
      <c r="AB130" s="18" t="n">
        <f>2</f>
        <v>2.0</v>
      </c>
      <c r="AC130" s="18" t="str">
        <f>"－"</f>
        <v>－</v>
      </c>
      <c r="AD130" s="19" t="str">
        <f>"－"</f>
        <v>－</v>
      </c>
    </row>
    <row r="131">
      <c r="A131" s="9" t="s">
        <v>49</v>
      </c>
      <c r="B131" s="10" t="s">
        <v>246</v>
      </c>
      <c r="C131" s="10" t="s">
        <v>247</v>
      </c>
      <c r="D131" s="10" t="s">
        <v>159</v>
      </c>
      <c r="E131" s="11" t="s">
        <v>207</v>
      </c>
      <c r="F131" s="11" t="s">
        <v>258</v>
      </c>
      <c r="G131" s="12" t="n">
        <v>25200.0</v>
      </c>
      <c r="H131" s="13"/>
      <c r="I131" s="14" t="s">
        <v>55</v>
      </c>
      <c r="J131" s="13"/>
      <c r="K131" s="14" t="s">
        <v>55</v>
      </c>
      <c r="L131" s="13"/>
      <c r="M131" s="14"/>
      <c r="N131" s="13"/>
      <c r="O131" s="14" t="s">
        <v>55</v>
      </c>
      <c r="P131" s="13"/>
      <c r="Q131" s="14"/>
      <c r="R131" s="13"/>
      <c r="S131" s="14" t="s">
        <v>55</v>
      </c>
      <c r="T131" s="15" t="n">
        <f>19.64</f>
        <v>19.64</v>
      </c>
      <c r="U131" s="16" t="str">
        <f>"－"</f>
        <v>－</v>
      </c>
      <c r="V131" s="16"/>
      <c r="W131" s="16"/>
      <c r="X131" s="16" t="str">
        <f>"－"</f>
        <v>－</v>
      </c>
      <c r="Y131" s="16"/>
      <c r="Z131" s="17"/>
      <c r="AA131" s="13"/>
      <c r="AB131" s="18" t="n">
        <f>2</f>
        <v>2.0</v>
      </c>
      <c r="AC131" s="18" t="str">
        <f>"－"</f>
        <v>－</v>
      </c>
      <c r="AD131" s="19" t="str">
        <f>"－"</f>
        <v>－</v>
      </c>
    </row>
    <row r="132">
      <c r="A132" s="9" t="s">
        <v>49</v>
      </c>
      <c r="B132" s="10" t="s">
        <v>246</v>
      </c>
      <c r="C132" s="10" t="s">
        <v>247</v>
      </c>
      <c r="D132" s="10" t="s">
        <v>164</v>
      </c>
      <c r="E132" s="11" t="s">
        <v>259</v>
      </c>
      <c r="F132" s="11" t="s">
        <v>208</v>
      </c>
      <c r="G132" s="12" t="n">
        <v>25200.0</v>
      </c>
      <c r="H132" s="13"/>
      <c r="I132" s="14" t="s">
        <v>55</v>
      </c>
      <c r="J132" s="13"/>
      <c r="K132" s="14" t="s">
        <v>55</v>
      </c>
      <c r="L132" s="13"/>
      <c r="M132" s="14"/>
      <c r="N132" s="13"/>
      <c r="O132" s="14" t="s">
        <v>55</v>
      </c>
      <c r="P132" s="13"/>
      <c r="Q132" s="14"/>
      <c r="R132" s="13"/>
      <c r="S132" s="14" t="s">
        <v>55</v>
      </c>
      <c r="T132" s="15" t="n">
        <f>19.85</f>
        <v>19.85</v>
      </c>
      <c r="U132" s="16" t="str">
        <f>"－"</f>
        <v>－</v>
      </c>
      <c r="V132" s="16"/>
      <c r="W132" s="16"/>
      <c r="X132" s="16" t="str">
        <f>"－"</f>
        <v>－</v>
      </c>
      <c r="Y132" s="16"/>
      <c r="Z132" s="17"/>
      <c r="AA132" s="13"/>
      <c r="AB132" s="18" t="n">
        <f>2</f>
        <v>2.0</v>
      </c>
      <c r="AC132" s="18" t="str">
        <f>"－"</f>
        <v>－</v>
      </c>
      <c r="AD132" s="19" t="str">
        <f>"－"</f>
        <v>－</v>
      </c>
    </row>
    <row r="133">
      <c r="A133" s="9" t="s">
        <v>49</v>
      </c>
      <c r="B133" s="10" t="s">
        <v>246</v>
      </c>
      <c r="C133" s="10" t="s">
        <v>247</v>
      </c>
      <c r="D133" s="10" t="s">
        <v>209</v>
      </c>
      <c r="E133" s="11" t="s">
        <v>210</v>
      </c>
      <c r="F133" s="11" t="s">
        <v>211</v>
      </c>
      <c r="G133" s="12" t="n">
        <v>24000.0</v>
      </c>
      <c r="H133" s="13"/>
      <c r="I133" s="14" t="s">
        <v>55</v>
      </c>
      <c r="J133" s="13"/>
      <c r="K133" s="14" t="s">
        <v>55</v>
      </c>
      <c r="L133" s="13"/>
      <c r="M133" s="14"/>
      <c r="N133" s="13"/>
      <c r="O133" s="14" t="s">
        <v>55</v>
      </c>
      <c r="P133" s="13"/>
      <c r="Q133" s="14"/>
      <c r="R133" s="13"/>
      <c r="S133" s="14" t="s">
        <v>55</v>
      </c>
      <c r="T133" s="15" t="n">
        <f>19.68</f>
        <v>19.68</v>
      </c>
      <c r="U133" s="16" t="str">
        <f>"－"</f>
        <v>－</v>
      </c>
      <c r="V133" s="16"/>
      <c r="W133" s="16"/>
      <c r="X133" s="16" t="str">
        <f>"－"</f>
        <v>－</v>
      </c>
      <c r="Y133" s="16"/>
      <c r="Z133" s="17"/>
      <c r="AA133" s="13"/>
      <c r="AB133" s="18" t="n">
        <f>2</f>
        <v>2.0</v>
      </c>
      <c r="AC133" s="18" t="str">
        <f>"－"</f>
        <v>－</v>
      </c>
      <c r="AD133" s="19" t="str">
        <f>"－"</f>
        <v>－</v>
      </c>
    </row>
    <row r="134">
      <c r="A134" s="9" t="s">
        <v>49</v>
      </c>
      <c r="B134" s="10" t="s">
        <v>246</v>
      </c>
      <c r="C134" s="10" t="s">
        <v>247</v>
      </c>
      <c r="D134" s="10" t="s">
        <v>212</v>
      </c>
      <c r="E134" s="11" t="s">
        <v>213</v>
      </c>
      <c r="F134" s="11" t="s">
        <v>260</v>
      </c>
      <c r="G134" s="12" t="n">
        <v>24000.0</v>
      </c>
      <c r="H134" s="13"/>
      <c r="I134" s="14" t="s">
        <v>55</v>
      </c>
      <c r="J134" s="13"/>
      <c r="K134" s="14" t="s">
        <v>55</v>
      </c>
      <c r="L134" s="13"/>
      <c r="M134" s="14"/>
      <c r="N134" s="13"/>
      <c r="O134" s="14" t="s">
        <v>55</v>
      </c>
      <c r="P134" s="13"/>
      <c r="Q134" s="14"/>
      <c r="R134" s="13"/>
      <c r="S134" s="14" t="s">
        <v>55</v>
      </c>
      <c r="T134" s="15" t="n">
        <f>16.95</f>
        <v>16.95</v>
      </c>
      <c r="U134" s="16" t="str">
        <f>"－"</f>
        <v>－</v>
      </c>
      <c r="V134" s="16"/>
      <c r="W134" s="16"/>
      <c r="X134" s="16" t="str">
        <f>"－"</f>
        <v>－</v>
      </c>
      <c r="Y134" s="16"/>
      <c r="Z134" s="17"/>
      <c r="AA134" s="13"/>
      <c r="AB134" s="18" t="str">
        <f>"－"</f>
        <v>－</v>
      </c>
      <c r="AC134" s="18" t="str">
        <f>"－"</f>
        <v>－</v>
      </c>
      <c r="AD134" s="19" t="str">
        <f>"－"</f>
        <v>－</v>
      </c>
    </row>
    <row r="135">
      <c r="A135" s="9" t="s">
        <v>49</v>
      </c>
      <c r="B135" s="10" t="s">
        <v>246</v>
      </c>
      <c r="C135" s="10" t="s">
        <v>247</v>
      </c>
      <c r="D135" s="10" t="s">
        <v>215</v>
      </c>
      <c r="E135" s="11" t="s">
        <v>261</v>
      </c>
      <c r="F135" s="11" t="s">
        <v>216</v>
      </c>
      <c r="G135" s="12" t="n">
        <v>24000.0</v>
      </c>
      <c r="H135" s="13"/>
      <c r="I135" s="14" t="s">
        <v>55</v>
      </c>
      <c r="J135" s="13"/>
      <c r="K135" s="14" t="s">
        <v>55</v>
      </c>
      <c r="L135" s="13"/>
      <c r="M135" s="14"/>
      <c r="N135" s="13"/>
      <c r="O135" s="14" t="s">
        <v>55</v>
      </c>
      <c r="P135" s="13"/>
      <c r="Q135" s="14"/>
      <c r="R135" s="13"/>
      <c r="S135" s="14" t="s">
        <v>55</v>
      </c>
      <c r="T135" s="15" t="n">
        <f>17</f>
        <v>17.0</v>
      </c>
      <c r="U135" s="16" t="str">
        <f>"－"</f>
        <v>－</v>
      </c>
      <c r="V135" s="16"/>
      <c r="W135" s="16"/>
      <c r="X135" s="16" t="str">
        <f>"－"</f>
        <v>－</v>
      </c>
      <c r="Y135" s="16"/>
      <c r="Z135" s="17"/>
      <c r="AA135" s="13"/>
      <c r="AB135" s="18" t="str">
        <f>"－"</f>
        <v>－</v>
      </c>
      <c r="AC135" s="18" t="str">
        <f>"－"</f>
        <v>－</v>
      </c>
      <c r="AD135" s="19" t="str">
        <f>"－"</f>
        <v>－</v>
      </c>
    </row>
    <row r="136">
      <c r="A136" s="9" t="s">
        <v>49</v>
      </c>
      <c r="B136" s="10" t="s">
        <v>246</v>
      </c>
      <c r="C136" s="10" t="s">
        <v>247</v>
      </c>
      <c r="D136" s="10" t="s">
        <v>217</v>
      </c>
      <c r="E136" s="11" t="s">
        <v>262</v>
      </c>
      <c r="F136" s="11" t="s">
        <v>263</v>
      </c>
      <c r="G136" s="12" t="n">
        <v>25200.0</v>
      </c>
      <c r="H136" s="13"/>
      <c r="I136" s="14" t="s">
        <v>55</v>
      </c>
      <c r="J136" s="13"/>
      <c r="K136" s="14" t="s">
        <v>55</v>
      </c>
      <c r="L136" s="13"/>
      <c r="M136" s="14"/>
      <c r="N136" s="13"/>
      <c r="O136" s="14" t="s">
        <v>55</v>
      </c>
      <c r="P136" s="13"/>
      <c r="Q136" s="14"/>
      <c r="R136" s="13"/>
      <c r="S136" s="14" t="s">
        <v>55</v>
      </c>
      <c r="T136" s="15" t="n">
        <f>17.51</f>
        <v>17.51</v>
      </c>
      <c r="U136" s="16" t="str">
        <f>"－"</f>
        <v>－</v>
      </c>
      <c r="V136" s="16"/>
      <c r="W136" s="16"/>
      <c r="X136" s="16" t="str">
        <f>"－"</f>
        <v>－</v>
      </c>
      <c r="Y136" s="16"/>
      <c r="Z136" s="17"/>
      <c r="AA136" s="13"/>
      <c r="AB136" s="18" t="str">
        <f>"－"</f>
        <v>－</v>
      </c>
      <c r="AC136" s="18" t="str">
        <f>"－"</f>
        <v>－</v>
      </c>
      <c r="AD136" s="19" t="str">
        <f>"－"</f>
        <v>－</v>
      </c>
    </row>
    <row r="137">
      <c r="A137" s="9" t="s">
        <v>49</v>
      </c>
      <c r="B137" s="10" t="s">
        <v>246</v>
      </c>
      <c r="C137" s="10" t="s">
        <v>247</v>
      </c>
      <c r="D137" s="10" t="s">
        <v>219</v>
      </c>
      <c r="E137" s="11" t="s">
        <v>264</v>
      </c>
      <c r="F137" s="11" t="s">
        <v>220</v>
      </c>
      <c r="G137" s="12" t="n">
        <v>22800.0</v>
      </c>
      <c r="H137" s="13"/>
      <c r="I137" s="14" t="s">
        <v>55</v>
      </c>
      <c r="J137" s="13"/>
      <c r="K137" s="14" t="s">
        <v>55</v>
      </c>
      <c r="L137" s="13"/>
      <c r="M137" s="14"/>
      <c r="N137" s="13"/>
      <c r="O137" s="14" t="s">
        <v>55</v>
      </c>
      <c r="P137" s="13"/>
      <c r="Q137" s="14"/>
      <c r="R137" s="13"/>
      <c r="S137" s="14" t="s">
        <v>55</v>
      </c>
      <c r="T137" s="15" t="n">
        <f>17.58</f>
        <v>17.58</v>
      </c>
      <c r="U137" s="16" t="str">
        <f>"－"</f>
        <v>－</v>
      </c>
      <c r="V137" s="16"/>
      <c r="W137" s="16"/>
      <c r="X137" s="16" t="str">
        <f>"－"</f>
        <v>－</v>
      </c>
      <c r="Y137" s="16"/>
      <c r="Z137" s="17"/>
      <c r="AA137" s="13"/>
      <c r="AB137" s="18" t="str">
        <f>"－"</f>
        <v>－</v>
      </c>
      <c r="AC137" s="18" t="str">
        <f>"－"</f>
        <v>－</v>
      </c>
      <c r="AD137" s="19" t="str">
        <f>"－"</f>
        <v>－</v>
      </c>
    </row>
    <row r="138">
      <c r="A138" s="9" t="s">
        <v>49</v>
      </c>
      <c r="B138" s="10" t="s">
        <v>246</v>
      </c>
      <c r="C138" s="10" t="s">
        <v>247</v>
      </c>
      <c r="D138" s="10" t="s">
        <v>221</v>
      </c>
      <c r="E138" s="11" t="s">
        <v>265</v>
      </c>
      <c r="F138" s="11" t="s">
        <v>222</v>
      </c>
      <c r="G138" s="12" t="n">
        <v>22800.0</v>
      </c>
      <c r="H138" s="13"/>
      <c r="I138" s="14" t="s">
        <v>55</v>
      </c>
      <c r="J138" s="13"/>
      <c r="K138" s="14" t="s">
        <v>55</v>
      </c>
      <c r="L138" s="13"/>
      <c r="M138" s="14"/>
      <c r="N138" s="13"/>
      <c r="O138" s="14" t="s">
        <v>55</v>
      </c>
      <c r="P138" s="13"/>
      <c r="Q138" s="14"/>
      <c r="R138" s="13"/>
      <c r="S138" s="14" t="s">
        <v>55</v>
      </c>
      <c r="T138" s="15" t="n">
        <f>16.83</f>
        <v>16.83</v>
      </c>
      <c r="U138" s="16" t="str">
        <f>"－"</f>
        <v>－</v>
      </c>
      <c r="V138" s="16"/>
      <c r="W138" s="16"/>
      <c r="X138" s="16" t="str">
        <f>"－"</f>
        <v>－</v>
      </c>
      <c r="Y138" s="16"/>
      <c r="Z138" s="17"/>
      <c r="AA138" s="13"/>
      <c r="AB138" s="18" t="str">
        <f>"－"</f>
        <v>－</v>
      </c>
      <c r="AC138" s="18" t="str">
        <f>"－"</f>
        <v>－</v>
      </c>
      <c r="AD138" s="19" t="str">
        <f>"－"</f>
        <v>－</v>
      </c>
    </row>
    <row r="139">
      <c r="A139" s="9" t="s">
        <v>49</v>
      </c>
      <c r="B139" s="10" t="s">
        <v>246</v>
      </c>
      <c r="C139" s="10" t="s">
        <v>247</v>
      </c>
      <c r="D139" s="10" t="s">
        <v>223</v>
      </c>
      <c r="E139" s="11" t="s">
        <v>224</v>
      </c>
      <c r="F139" s="11" t="s">
        <v>225</v>
      </c>
      <c r="G139" s="12" t="n">
        <v>26400.0</v>
      </c>
      <c r="H139" s="13"/>
      <c r="I139" s="14" t="s">
        <v>55</v>
      </c>
      <c r="J139" s="13"/>
      <c r="K139" s="14" t="s">
        <v>55</v>
      </c>
      <c r="L139" s="13"/>
      <c r="M139" s="14"/>
      <c r="N139" s="13"/>
      <c r="O139" s="14" t="s">
        <v>55</v>
      </c>
      <c r="P139" s="13"/>
      <c r="Q139" s="14"/>
      <c r="R139" s="13"/>
      <c r="S139" s="14" t="s">
        <v>55</v>
      </c>
      <c r="T139" s="15" t="n">
        <f>15.25</f>
        <v>15.25</v>
      </c>
      <c r="U139" s="16" t="str">
        <f>"－"</f>
        <v>－</v>
      </c>
      <c r="V139" s="16"/>
      <c r="W139" s="16"/>
      <c r="X139" s="16" t="str">
        <f>"－"</f>
        <v>－</v>
      </c>
      <c r="Y139" s="16"/>
      <c r="Z139" s="17"/>
      <c r="AA139" s="13"/>
      <c r="AB139" s="18" t="str">
        <f>"－"</f>
        <v>－</v>
      </c>
      <c r="AC139" s="18" t="str">
        <f>"－"</f>
        <v>－</v>
      </c>
      <c r="AD139" s="19" t="str">
        <f>"－"</f>
        <v>－</v>
      </c>
    </row>
    <row r="140">
      <c r="A140" s="9" t="s">
        <v>49</v>
      </c>
      <c r="B140" s="10" t="s">
        <v>246</v>
      </c>
      <c r="C140" s="10" t="s">
        <v>247</v>
      </c>
      <c r="D140" s="10" t="s">
        <v>226</v>
      </c>
      <c r="E140" s="11" t="s">
        <v>227</v>
      </c>
      <c r="F140" s="11" t="s">
        <v>266</v>
      </c>
      <c r="G140" s="12" t="n">
        <v>24000.0</v>
      </c>
      <c r="H140" s="13"/>
      <c r="I140" s="14" t="s">
        <v>55</v>
      </c>
      <c r="J140" s="13"/>
      <c r="K140" s="14" t="s">
        <v>55</v>
      </c>
      <c r="L140" s="13"/>
      <c r="M140" s="14"/>
      <c r="N140" s="13"/>
      <c r="O140" s="14" t="s">
        <v>55</v>
      </c>
      <c r="P140" s="13"/>
      <c r="Q140" s="14"/>
      <c r="R140" s="13"/>
      <c r="S140" s="14" t="s">
        <v>55</v>
      </c>
      <c r="T140" s="15" t="n">
        <f>14.13</f>
        <v>14.13</v>
      </c>
      <c r="U140" s="16" t="str">
        <f>"－"</f>
        <v>－</v>
      </c>
      <c r="V140" s="16"/>
      <c r="W140" s="16"/>
      <c r="X140" s="16" t="str">
        <f>"－"</f>
        <v>－</v>
      </c>
      <c r="Y140" s="16"/>
      <c r="Z140" s="17"/>
      <c r="AA140" s="13"/>
      <c r="AB140" s="18" t="str">
        <f>"－"</f>
        <v>－</v>
      </c>
      <c r="AC140" s="18" t="str">
        <f>"－"</f>
        <v>－</v>
      </c>
      <c r="AD140" s="19" t="str">
        <f>"－"</f>
        <v>－</v>
      </c>
    </row>
    <row r="141">
      <c r="A141" s="9" t="s">
        <v>49</v>
      </c>
      <c r="B141" s="10" t="s">
        <v>246</v>
      </c>
      <c r="C141" s="10" t="s">
        <v>247</v>
      </c>
      <c r="D141" s="10" t="s">
        <v>229</v>
      </c>
      <c r="E141" s="11" t="s">
        <v>267</v>
      </c>
      <c r="F141" s="11" t="s">
        <v>230</v>
      </c>
      <c r="G141" s="12" t="n">
        <v>21600.0</v>
      </c>
      <c r="H141" s="13"/>
      <c r="I141" s="14" t="s">
        <v>55</v>
      </c>
      <c r="J141" s="13"/>
      <c r="K141" s="14" t="s">
        <v>55</v>
      </c>
      <c r="L141" s="13"/>
      <c r="M141" s="14"/>
      <c r="N141" s="13"/>
      <c r="O141" s="14" t="s">
        <v>55</v>
      </c>
      <c r="P141" s="13"/>
      <c r="Q141" s="14"/>
      <c r="R141" s="13"/>
      <c r="S141" s="14" t="s">
        <v>55</v>
      </c>
      <c r="T141" s="15" t="n">
        <f>14.69</f>
        <v>14.69</v>
      </c>
      <c r="U141" s="16" t="str">
        <f>"－"</f>
        <v>－</v>
      </c>
      <c r="V141" s="16"/>
      <c r="W141" s="16"/>
      <c r="X141" s="16" t="str">
        <f>"－"</f>
        <v>－</v>
      </c>
      <c r="Y141" s="16"/>
      <c r="Z141" s="17"/>
      <c r="AA141" s="13"/>
      <c r="AB141" s="18" t="str">
        <f>"－"</f>
        <v>－</v>
      </c>
      <c r="AC141" s="18" t="str">
        <f>"－"</f>
        <v>－</v>
      </c>
      <c r="AD141" s="19" t="str">
        <f>"－"</f>
        <v>－</v>
      </c>
    </row>
    <row r="142">
      <c r="A142" s="9" t="s">
        <v>49</v>
      </c>
      <c r="B142" s="10" t="s">
        <v>246</v>
      </c>
      <c r="C142" s="10" t="s">
        <v>247</v>
      </c>
      <c r="D142" s="10" t="s">
        <v>231</v>
      </c>
      <c r="E142" s="11" t="s">
        <v>82</v>
      </c>
      <c r="F142" s="11" t="s">
        <v>232</v>
      </c>
      <c r="G142" s="12" t="n">
        <v>26400.0</v>
      </c>
      <c r="H142" s="13"/>
      <c r="I142" s="14" t="s">
        <v>55</v>
      </c>
      <c r="J142" s="13"/>
      <c r="K142" s="14" t="s">
        <v>55</v>
      </c>
      <c r="L142" s="13"/>
      <c r="M142" s="14"/>
      <c r="N142" s="13"/>
      <c r="O142" s="14" t="s">
        <v>55</v>
      </c>
      <c r="P142" s="13"/>
      <c r="Q142" s="14"/>
      <c r="R142" s="13"/>
      <c r="S142" s="14" t="s">
        <v>55</v>
      </c>
      <c r="T142" s="15" t="n">
        <f>15.59</f>
        <v>15.59</v>
      </c>
      <c r="U142" s="16" t="str">
        <f>"－"</f>
        <v>－</v>
      </c>
      <c r="V142" s="16"/>
      <c r="W142" s="16"/>
      <c r="X142" s="16" t="str">
        <f>"－"</f>
        <v>－</v>
      </c>
      <c r="Y142" s="16"/>
      <c r="Z142" s="17"/>
      <c r="AA142" s="13"/>
      <c r="AB142" s="18" t="str">
        <f>"－"</f>
        <v>－</v>
      </c>
      <c r="AC142" s="18" t="str">
        <f>"－"</f>
        <v>－</v>
      </c>
      <c r="AD142" s="19" t="str">
        <f>"－"</f>
        <v>－</v>
      </c>
    </row>
    <row r="143">
      <c r="A143" s="9" t="s">
        <v>49</v>
      </c>
      <c r="B143" s="10" t="s">
        <v>268</v>
      </c>
      <c r="C143" s="10" t="s">
        <v>269</v>
      </c>
      <c r="D143" s="10" t="s">
        <v>49</v>
      </c>
      <c r="E143" s="11" t="s">
        <v>248</v>
      </c>
      <c r="F143" s="11" t="s">
        <v>175</v>
      </c>
      <c r="G143" s="12" t="n">
        <v>26400.0</v>
      </c>
      <c r="H143" s="13"/>
      <c r="I143" s="14" t="s">
        <v>55</v>
      </c>
      <c r="J143" s="13"/>
      <c r="K143" s="14" t="s">
        <v>55</v>
      </c>
      <c r="L143" s="13"/>
      <c r="M143" s="14"/>
      <c r="N143" s="13"/>
      <c r="O143" s="14" t="s">
        <v>55</v>
      </c>
      <c r="P143" s="13"/>
      <c r="Q143" s="14"/>
      <c r="R143" s="13"/>
      <c r="S143" s="14" t="s">
        <v>55</v>
      </c>
      <c r="T143" s="15" t="n">
        <f>20.22</f>
        <v>20.22</v>
      </c>
      <c r="U143" s="16" t="str">
        <f>"－"</f>
        <v>－</v>
      </c>
      <c r="V143" s="16"/>
      <c r="W143" s="16"/>
      <c r="X143" s="16" t="str">
        <f>"－"</f>
        <v>－</v>
      </c>
      <c r="Y143" s="16"/>
      <c r="Z143" s="17"/>
      <c r="AA143" s="13" t="s">
        <v>56</v>
      </c>
      <c r="AB143" s="18" t="n">
        <f>100</f>
        <v>100.0</v>
      </c>
      <c r="AC143" s="18" t="str">
        <f>"－"</f>
        <v>－</v>
      </c>
      <c r="AD143" s="19" t="str">
        <f>"－"</f>
        <v>－</v>
      </c>
    </row>
    <row r="144">
      <c r="A144" s="9" t="s">
        <v>49</v>
      </c>
      <c r="B144" s="10" t="s">
        <v>268</v>
      </c>
      <c r="C144" s="10" t="s">
        <v>269</v>
      </c>
      <c r="D144" s="10" t="s">
        <v>52</v>
      </c>
      <c r="E144" s="11" t="s">
        <v>176</v>
      </c>
      <c r="F144" s="11" t="s">
        <v>177</v>
      </c>
      <c r="G144" s="12" t="n">
        <v>26400.0</v>
      </c>
      <c r="H144" s="13"/>
      <c r="I144" s="14" t="s">
        <v>55</v>
      </c>
      <c r="J144" s="13"/>
      <c r="K144" s="14" t="s">
        <v>55</v>
      </c>
      <c r="L144" s="13" t="s">
        <v>154</v>
      </c>
      <c r="M144" s="14" t="s">
        <v>270</v>
      </c>
      <c r="N144" s="13"/>
      <c r="O144" s="14" t="s">
        <v>55</v>
      </c>
      <c r="P144" s="13" t="s">
        <v>236</v>
      </c>
      <c r="Q144" s="14" t="s">
        <v>271</v>
      </c>
      <c r="R144" s="13"/>
      <c r="S144" s="14" t="s">
        <v>55</v>
      </c>
      <c r="T144" s="15" t="n">
        <f>25.23</f>
        <v>25.23</v>
      </c>
      <c r="U144" s="16" t="n">
        <f>5</f>
        <v>5.0</v>
      </c>
      <c r="V144" s="16" t="n">
        <v>5.0</v>
      </c>
      <c r="W144" s="16"/>
      <c r="X144" s="16" t="n">
        <f>3620760</f>
        <v>3620760.0</v>
      </c>
      <c r="Y144" s="16" t="n">
        <v>3620760.0</v>
      </c>
      <c r="Z144" s="17"/>
      <c r="AA144" s="13"/>
      <c r="AB144" s="18" t="n">
        <f>142</f>
        <v>142.0</v>
      </c>
      <c r="AC144" s="18" t="str">
        <f>"－"</f>
        <v>－</v>
      </c>
      <c r="AD144" s="19" t="str">
        <f>"－"</f>
        <v>－</v>
      </c>
    </row>
    <row r="145">
      <c r="A145" s="9" t="s">
        <v>49</v>
      </c>
      <c r="B145" s="10" t="s">
        <v>268</v>
      </c>
      <c r="C145" s="10" t="s">
        <v>269</v>
      </c>
      <c r="D145" s="10" t="s">
        <v>57</v>
      </c>
      <c r="E145" s="11" t="s">
        <v>250</v>
      </c>
      <c r="F145" s="11" t="s">
        <v>184</v>
      </c>
      <c r="G145" s="12" t="n">
        <v>24000.0</v>
      </c>
      <c r="H145" s="13"/>
      <c r="I145" s="14" t="s">
        <v>55</v>
      </c>
      <c r="J145" s="13"/>
      <c r="K145" s="14" t="s">
        <v>55</v>
      </c>
      <c r="L145" s="13" t="s">
        <v>154</v>
      </c>
      <c r="M145" s="14" t="s">
        <v>270</v>
      </c>
      <c r="N145" s="13"/>
      <c r="O145" s="14" t="s">
        <v>55</v>
      </c>
      <c r="P145" s="13" t="s">
        <v>236</v>
      </c>
      <c r="Q145" s="14" t="s">
        <v>271</v>
      </c>
      <c r="R145" s="13"/>
      <c r="S145" s="14" t="s">
        <v>55</v>
      </c>
      <c r="T145" s="15" t="n">
        <f>26.08</f>
        <v>26.08</v>
      </c>
      <c r="U145" s="16" t="n">
        <f>5</f>
        <v>5.0</v>
      </c>
      <c r="V145" s="16" t="n">
        <v>5.0</v>
      </c>
      <c r="W145" s="16"/>
      <c r="X145" s="16" t="n">
        <f>3291600</f>
        <v>3291600.0</v>
      </c>
      <c r="Y145" s="16" t="n">
        <v>3291600.0</v>
      </c>
      <c r="Z145" s="17"/>
      <c r="AA145" s="13"/>
      <c r="AB145" s="18" t="n">
        <f>112</f>
        <v>112.0</v>
      </c>
      <c r="AC145" s="18" t="str">
        <f>"－"</f>
        <v>－</v>
      </c>
      <c r="AD145" s="19" t="str">
        <f>"－"</f>
        <v>－</v>
      </c>
    </row>
    <row r="146">
      <c r="A146" s="9" t="s">
        <v>49</v>
      </c>
      <c r="B146" s="10" t="s">
        <v>268</v>
      </c>
      <c r="C146" s="10" t="s">
        <v>269</v>
      </c>
      <c r="D146" s="10" t="s">
        <v>60</v>
      </c>
      <c r="E146" s="11" t="s">
        <v>188</v>
      </c>
      <c r="F146" s="11" t="s">
        <v>189</v>
      </c>
      <c r="G146" s="12" t="n">
        <v>22800.0</v>
      </c>
      <c r="H146" s="13"/>
      <c r="I146" s="14" t="s">
        <v>55</v>
      </c>
      <c r="J146" s="13"/>
      <c r="K146" s="14" t="s">
        <v>55</v>
      </c>
      <c r="L146" s="13" t="s">
        <v>154</v>
      </c>
      <c r="M146" s="14" t="s">
        <v>270</v>
      </c>
      <c r="N146" s="13"/>
      <c r="O146" s="14" t="s">
        <v>55</v>
      </c>
      <c r="P146" s="13" t="s">
        <v>236</v>
      </c>
      <c r="Q146" s="14" t="s">
        <v>271</v>
      </c>
      <c r="R146" s="13"/>
      <c r="S146" s="14" t="s">
        <v>55</v>
      </c>
      <c r="T146" s="15" t="n">
        <f>24.29</f>
        <v>24.29</v>
      </c>
      <c r="U146" s="16" t="n">
        <f>5</f>
        <v>5.0</v>
      </c>
      <c r="V146" s="16" t="n">
        <v>5.0</v>
      </c>
      <c r="W146" s="16"/>
      <c r="X146" s="16" t="n">
        <f>3127020</f>
        <v>3127020.0</v>
      </c>
      <c r="Y146" s="16" t="n">
        <v>3127020.0</v>
      </c>
      <c r="Z146" s="17"/>
      <c r="AA146" s="13"/>
      <c r="AB146" s="18" t="n">
        <f>112</f>
        <v>112.0</v>
      </c>
      <c r="AC146" s="18" t="str">
        <f>"－"</f>
        <v>－</v>
      </c>
      <c r="AD146" s="19" t="str">
        <f>"－"</f>
        <v>－</v>
      </c>
    </row>
    <row r="147">
      <c r="A147" s="9" t="s">
        <v>49</v>
      </c>
      <c r="B147" s="10" t="s">
        <v>268</v>
      </c>
      <c r="C147" s="10" t="s">
        <v>269</v>
      </c>
      <c r="D147" s="10" t="s">
        <v>63</v>
      </c>
      <c r="E147" s="11" t="s">
        <v>191</v>
      </c>
      <c r="F147" s="11" t="s">
        <v>251</v>
      </c>
      <c r="G147" s="12" t="n">
        <v>25200.0</v>
      </c>
      <c r="H147" s="13"/>
      <c r="I147" s="14" t="s">
        <v>55</v>
      </c>
      <c r="J147" s="13"/>
      <c r="K147" s="14" t="s">
        <v>55</v>
      </c>
      <c r="L147" s="13"/>
      <c r="M147" s="14"/>
      <c r="N147" s="13"/>
      <c r="O147" s="14" t="s">
        <v>55</v>
      </c>
      <c r="P147" s="13"/>
      <c r="Q147" s="14"/>
      <c r="R147" s="13"/>
      <c r="S147" s="14" t="s">
        <v>55</v>
      </c>
      <c r="T147" s="15" t="n">
        <f>17.92</f>
        <v>17.92</v>
      </c>
      <c r="U147" s="16" t="str">
        <f>"－"</f>
        <v>－</v>
      </c>
      <c r="V147" s="16"/>
      <c r="W147" s="16"/>
      <c r="X147" s="16" t="str">
        <f>"－"</f>
        <v>－</v>
      </c>
      <c r="Y147" s="16"/>
      <c r="Z147" s="17"/>
      <c r="AA147" s="13"/>
      <c r="AB147" s="18" t="n">
        <f>25</f>
        <v>25.0</v>
      </c>
      <c r="AC147" s="18" t="str">
        <f>"－"</f>
        <v>－</v>
      </c>
      <c r="AD147" s="19" t="str">
        <f>"－"</f>
        <v>－</v>
      </c>
    </row>
    <row r="148">
      <c r="A148" s="9" t="s">
        <v>49</v>
      </c>
      <c r="B148" s="10" t="s">
        <v>268</v>
      </c>
      <c r="C148" s="10" t="s">
        <v>269</v>
      </c>
      <c r="D148" s="10" t="s">
        <v>66</v>
      </c>
      <c r="E148" s="11" t="s">
        <v>252</v>
      </c>
      <c r="F148" s="11" t="s">
        <v>193</v>
      </c>
      <c r="G148" s="12" t="n">
        <v>22800.0</v>
      </c>
      <c r="H148" s="13"/>
      <c r="I148" s="14" t="s">
        <v>55</v>
      </c>
      <c r="J148" s="13"/>
      <c r="K148" s="14" t="s">
        <v>55</v>
      </c>
      <c r="L148" s="13"/>
      <c r="M148" s="14"/>
      <c r="N148" s="13"/>
      <c r="O148" s="14" t="s">
        <v>55</v>
      </c>
      <c r="P148" s="13"/>
      <c r="Q148" s="14"/>
      <c r="R148" s="13"/>
      <c r="S148" s="14" t="s">
        <v>55</v>
      </c>
      <c r="T148" s="15" t="n">
        <f>18.17</f>
        <v>18.17</v>
      </c>
      <c r="U148" s="16" t="str">
        <f>"－"</f>
        <v>－</v>
      </c>
      <c r="V148" s="16"/>
      <c r="W148" s="16"/>
      <c r="X148" s="16" t="str">
        <f>"－"</f>
        <v>－</v>
      </c>
      <c r="Y148" s="16"/>
      <c r="Z148" s="17"/>
      <c r="AA148" s="13"/>
      <c r="AB148" s="18" t="n">
        <f>25</f>
        <v>25.0</v>
      </c>
      <c r="AC148" s="18" t="str">
        <f>"－"</f>
        <v>－</v>
      </c>
      <c r="AD148" s="19" t="str">
        <f>"－"</f>
        <v>－</v>
      </c>
    </row>
    <row r="149">
      <c r="A149" s="9" t="s">
        <v>49</v>
      </c>
      <c r="B149" s="10" t="s">
        <v>268</v>
      </c>
      <c r="C149" s="10" t="s">
        <v>269</v>
      </c>
      <c r="D149" s="10" t="s">
        <v>69</v>
      </c>
      <c r="E149" s="11" t="s">
        <v>253</v>
      </c>
      <c r="F149" s="11" t="s">
        <v>254</v>
      </c>
      <c r="G149" s="12" t="n">
        <v>25200.0</v>
      </c>
      <c r="H149" s="13"/>
      <c r="I149" s="14" t="s">
        <v>55</v>
      </c>
      <c r="J149" s="13"/>
      <c r="K149" s="14" t="s">
        <v>55</v>
      </c>
      <c r="L149" s="13"/>
      <c r="M149" s="14"/>
      <c r="N149" s="13"/>
      <c r="O149" s="14" t="s">
        <v>55</v>
      </c>
      <c r="P149" s="13"/>
      <c r="Q149" s="14"/>
      <c r="R149" s="13"/>
      <c r="S149" s="14" t="s">
        <v>55</v>
      </c>
      <c r="T149" s="15" t="n">
        <f>17.87</f>
        <v>17.87</v>
      </c>
      <c r="U149" s="16" t="str">
        <f>"－"</f>
        <v>－</v>
      </c>
      <c r="V149" s="16"/>
      <c r="W149" s="16"/>
      <c r="X149" s="16" t="str">
        <f>"－"</f>
        <v>－</v>
      </c>
      <c r="Y149" s="16"/>
      <c r="Z149" s="17"/>
      <c r="AA149" s="13"/>
      <c r="AB149" s="18" t="n">
        <f>26</f>
        <v>26.0</v>
      </c>
      <c r="AC149" s="18" t="str">
        <f>"－"</f>
        <v>－</v>
      </c>
      <c r="AD149" s="19" t="str">
        <f>"－"</f>
        <v>－</v>
      </c>
    </row>
    <row r="150">
      <c r="A150" s="9" t="s">
        <v>49</v>
      </c>
      <c r="B150" s="10" t="s">
        <v>268</v>
      </c>
      <c r="C150" s="10" t="s">
        <v>269</v>
      </c>
      <c r="D150" s="10" t="s">
        <v>72</v>
      </c>
      <c r="E150" s="11" t="s">
        <v>195</v>
      </c>
      <c r="F150" s="11" t="s">
        <v>255</v>
      </c>
      <c r="G150" s="12" t="n">
        <v>22800.0</v>
      </c>
      <c r="H150" s="13"/>
      <c r="I150" s="14" t="s">
        <v>55</v>
      </c>
      <c r="J150" s="13"/>
      <c r="K150" s="14" t="s">
        <v>55</v>
      </c>
      <c r="L150" s="13"/>
      <c r="M150" s="14"/>
      <c r="N150" s="13"/>
      <c r="O150" s="14" t="s">
        <v>55</v>
      </c>
      <c r="P150" s="13"/>
      <c r="Q150" s="14"/>
      <c r="R150" s="13"/>
      <c r="S150" s="14" t="s">
        <v>55</v>
      </c>
      <c r="T150" s="15" t="n">
        <f>19.5</f>
        <v>19.5</v>
      </c>
      <c r="U150" s="16" t="str">
        <f>"－"</f>
        <v>－</v>
      </c>
      <c r="V150" s="16"/>
      <c r="W150" s="16"/>
      <c r="X150" s="16" t="str">
        <f>"－"</f>
        <v>－</v>
      </c>
      <c r="Y150" s="16"/>
      <c r="Z150" s="17"/>
      <c r="AA150" s="13"/>
      <c r="AB150" s="18" t="n">
        <f>27</f>
        <v>27.0</v>
      </c>
      <c r="AC150" s="18" t="str">
        <f>"－"</f>
        <v>－</v>
      </c>
      <c r="AD150" s="19" t="str">
        <f>"－"</f>
        <v>－</v>
      </c>
    </row>
    <row r="151">
      <c r="A151" s="9" t="s">
        <v>49</v>
      </c>
      <c r="B151" s="10" t="s">
        <v>268</v>
      </c>
      <c r="C151" s="10" t="s">
        <v>269</v>
      </c>
      <c r="D151" s="10" t="s">
        <v>140</v>
      </c>
      <c r="E151" s="11" t="s">
        <v>199</v>
      </c>
      <c r="F151" s="11" t="s">
        <v>256</v>
      </c>
      <c r="G151" s="12" t="n">
        <v>21600.0</v>
      </c>
      <c r="H151" s="13"/>
      <c r="I151" s="14" t="s">
        <v>55</v>
      </c>
      <c r="J151" s="13"/>
      <c r="K151" s="14" t="s">
        <v>55</v>
      </c>
      <c r="L151" s="13"/>
      <c r="M151" s="14"/>
      <c r="N151" s="13"/>
      <c r="O151" s="14" t="s">
        <v>55</v>
      </c>
      <c r="P151" s="13"/>
      <c r="Q151" s="14"/>
      <c r="R151" s="13"/>
      <c r="S151" s="14" t="s">
        <v>55</v>
      </c>
      <c r="T151" s="15" t="n">
        <f>18.43</f>
        <v>18.43</v>
      </c>
      <c r="U151" s="16" t="str">
        <f>"－"</f>
        <v>－</v>
      </c>
      <c r="V151" s="16"/>
      <c r="W151" s="16"/>
      <c r="X151" s="16" t="str">
        <f>"－"</f>
        <v>－</v>
      </c>
      <c r="Y151" s="16"/>
      <c r="Z151" s="17"/>
      <c r="AA151" s="13"/>
      <c r="AB151" s="18" t="n">
        <f>25</f>
        <v>25.0</v>
      </c>
      <c r="AC151" s="18" t="str">
        <f>"－"</f>
        <v>－</v>
      </c>
      <c r="AD151" s="19" t="str">
        <f>"－"</f>
        <v>－</v>
      </c>
    </row>
    <row r="152">
      <c r="A152" s="9" t="s">
        <v>49</v>
      </c>
      <c r="B152" s="10" t="s">
        <v>268</v>
      </c>
      <c r="C152" s="10" t="s">
        <v>269</v>
      </c>
      <c r="D152" s="10" t="s">
        <v>143</v>
      </c>
      <c r="E152" s="11" t="s">
        <v>200</v>
      </c>
      <c r="F152" s="11" t="s">
        <v>201</v>
      </c>
      <c r="G152" s="12" t="n">
        <v>26400.0</v>
      </c>
      <c r="H152" s="13"/>
      <c r="I152" s="14" t="s">
        <v>55</v>
      </c>
      <c r="J152" s="13"/>
      <c r="K152" s="14" t="s">
        <v>55</v>
      </c>
      <c r="L152" s="13"/>
      <c r="M152" s="14"/>
      <c r="N152" s="13"/>
      <c r="O152" s="14" t="s">
        <v>55</v>
      </c>
      <c r="P152" s="13"/>
      <c r="Q152" s="14"/>
      <c r="R152" s="13"/>
      <c r="S152" s="14" t="s">
        <v>55</v>
      </c>
      <c r="T152" s="15" t="n">
        <f>16.16</f>
        <v>16.16</v>
      </c>
      <c r="U152" s="16" t="str">
        <f>"－"</f>
        <v>－</v>
      </c>
      <c r="V152" s="16"/>
      <c r="W152" s="16"/>
      <c r="X152" s="16" t="str">
        <f>"－"</f>
        <v>－</v>
      </c>
      <c r="Y152" s="16"/>
      <c r="Z152" s="17"/>
      <c r="AA152" s="13"/>
      <c r="AB152" s="18" t="n">
        <f>25</f>
        <v>25.0</v>
      </c>
      <c r="AC152" s="18" t="str">
        <f>"－"</f>
        <v>－</v>
      </c>
      <c r="AD152" s="19" t="str">
        <f>"－"</f>
        <v>－</v>
      </c>
    </row>
    <row r="153">
      <c r="A153" s="9" t="s">
        <v>49</v>
      </c>
      <c r="B153" s="10" t="s">
        <v>268</v>
      </c>
      <c r="C153" s="10" t="s">
        <v>269</v>
      </c>
      <c r="D153" s="10" t="s">
        <v>148</v>
      </c>
      <c r="E153" s="11" t="s">
        <v>202</v>
      </c>
      <c r="F153" s="11" t="s">
        <v>203</v>
      </c>
      <c r="G153" s="12" t="n">
        <v>25200.0</v>
      </c>
      <c r="H153" s="13"/>
      <c r="I153" s="14" t="s">
        <v>55</v>
      </c>
      <c r="J153" s="13"/>
      <c r="K153" s="14" t="s">
        <v>55</v>
      </c>
      <c r="L153" s="13"/>
      <c r="M153" s="14"/>
      <c r="N153" s="13"/>
      <c r="O153" s="14" t="s">
        <v>55</v>
      </c>
      <c r="P153" s="13"/>
      <c r="Q153" s="14"/>
      <c r="R153" s="13"/>
      <c r="S153" s="14" t="s">
        <v>55</v>
      </c>
      <c r="T153" s="15" t="n">
        <f>14.8</f>
        <v>14.8</v>
      </c>
      <c r="U153" s="16" t="str">
        <f>"－"</f>
        <v>－</v>
      </c>
      <c r="V153" s="16"/>
      <c r="W153" s="16"/>
      <c r="X153" s="16" t="str">
        <f>"－"</f>
        <v>－</v>
      </c>
      <c r="Y153" s="16"/>
      <c r="Z153" s="17"/>
      <c r="AA153" s="13"/>
      <c r="AB153" s="18" t="str">
        <f>"－"</f>
        <v>－</v>
      </c>
      <c r="AC153" s="18" t="str">
        <f>"－"</f>
        <v>－</v>
      </c>
      <c r="AD153" s="19" t="str">
        <f>"－"</f>
        <v>－</v>
      </c>
    </row>
    <row r="154">
      <c r="A154" s="9" t="s">
        <v>49</v>
      </c>
      <c r="B154" s="10" t="s">
        <v>268</v>
      </c>
      <c r="C154" s="10" t="s">
        <v>269</v>
      </c>
      <c r="D154" s="10" t="s">
        <v>151</v>
      </c>
      <c r="E154" s="11" t="s">
        <v>257</v>
      </c>
      <c r="F154" s="11" t="s">
        <v>204</v>
      </c>
      <c r="G154" s="12" t="n">
        <v>21600.0</v>
      </c>
      <c r="H154" s="13"/>
      <c r="I154" s="14" t="s">
        <v>55</v>
      </c>
      <c r="J154" s="13"/>
      <c r="K154" s="14" t="s">
        <v>55</v>
      </c>
      <c r="L154" s="13"/>
      <c r="M154" s="14"/>
      <c r="N154" s="13"/>
      <c r="O154" s="14" t="s">
        <v>55</v>
      </c>
      <c r="P154" s="13"/>
      <c r="Q154" s="14"/>
      <c r="R154" s="13"/>
      <c r="S154" s="14" t="s">
        <v>55</v>
      </c>
      <c r="T154" s="15" t="n">
        <f>15.05</f>
        <v>15.05</v>
      </c>
      <c r="U154" s="16" t="str">
        <f>"－"</f>
        <v>－</v>
      </c>
      <c r="V154" s="16"/>
      <c r="W154" s="16"/>
      <c r="X154" s="16" t="str">
        <f>"－"</f>
        <v>－</v>
      </c>
      <c r="Y154" s="16"/>
      <c r="Z154" s="17"/>
      <c r="AA154" s="13"/>
      <c r="AB154" s="18" t="str">
        <f>"－"</f>
        <v>－</v>
      </c>
      <c r="AC154" s="18" t="str">
        <f>"－"</f>
        <v>－</v>
      </c>
      <c r="AD154" s="19" t="str">
        <f>"－"</f>
        <v>－</v>
      </c>
    </row>
    <row r="155">
      <c r="A155" s="9" t="s">
        <v>49</v>
      </c>
      <c r="B155" s="10" t="s">
        <v>268</v>
      </c>
      <c r="C155" s="10" t="s">
        <v>269</v>
      </c>
      <c r="D155" s="10" t="s">
        <v>156</v>
      </c>
      <c r="E155" s="11" t="s">
        <v>205</v>
      </c>
      <c r="F155" s="11" t="s">
        <v>206</v>
      </c>
      <c r="G155" s="12" t="n">
        <v>26400.0</v>
      </c>
      <c r="H155" s="13"/>
      <c r="I155" s="14" t="s">
        <v>55</v>
      </c>
      <c r="J155" s="13"/>
      <c r="K155" s="14" t="s">
        <v>55</v>
      </c>
      <c r="L155" s="13"/>
      <c r="M155" s="14"/>
      <c r="N155" s="13"/>
      <c r="O155" s="14" t="s">
        <v>55</v>
      </c>
      <c r="P155" s="13"/>
      <c r="Q155" s="14"/>
      <c r="R155" s="13"/>
      <c r="S155" s="14" t="s">
        <v>55</v>
      </c>
      <c r="T155" s="15" t="n">
        <f>16.95</f>
        <v>16.95</v>
      </c>
      <c r="U155" s="16" t="str">
        <f>"－"</f>
        <v>－</v>
      </c>
      <c r="V155" s="16"/>
      <c r="W155" s="16"/>
      <c r="X155" s="16" t="str">
        <f>"－"</f>
        <v>－</v>
      </c>
      <c r="Y155" s="16"/>
      <c r="Z155" s="17"/>
      <c r="AA155" s="13"/>
      <c r="AB155" s="18" t="str">
        <f>"－"</f>
        <v>－</v>
      </c>
      <c r="AC155" s="18" t="str">
        <f>"－"</f>
        <v>－</v>
      </c>
      <c r="AD155" s="19" t="str">
        <f>"－"</f>
        <v>－</v>
      </c>
    </row>
    <row r="156">
      <c r="A156" s="9" t="s">
        <v>49</v>
      </c>
      <c r="B156" s="10" t="s">
        <v>268</v>
      </c>
      <c r="C156" s="10" t="s">
        <v>269</v>
      </c>
      <c r="D156" s="10" t="s">
        <v>159</v>
      </c>
      <c r="E156" s="11" t="s">
        <v>207</v>
      </c>
      <c r="F156" s="11" t="s">
        <v>258</v>
      </c>
      <c r="G156" s="12" t="n">
        <v>25200.0</v>
      </c>
      <c r="H156" s="13"/>
      <c r="I156" s="14" t="s">
        <v>55</v>
      </c>
      <c r="J156" s="13"/>
      <c r="K156" s="14" t="s">
        <v>55</v>
      </c>
      <c r="L156" s="13"/>
      <c r="M156" s="14"/>
      <c r="N156" s="13"/>
      <c r="O156" s="14" t="s">
        <v>55</v>
      </c>
      <c r="P156" s="13"/>
      <c r="Q156" s="14"/>
      <c r="R156" s="13"/>
      <c r="S156" s="14" t="s">
        <v>55</v>
      </c>
      <c r="T156" s="15" t="n">
        <f>18.36</f>
        <v>18.36</v>
      </c>
      <c r="U156" s="16" t="str">
        <f>"－"</f>
        <v>－</v>
      </c>
      <c r="V156" s="16"/>
      <c r="W156" s="16"/>
      <c r="X156" s="16" t="str">
        <f>"－"</f>
        <v>－</v>
      </c>
      <c r="Y156" s="16"/>
      <c r="Z156" s="17"/>
      <c r="AA156" s="13"/>
      <c r="AB156" s="18" t="str">
        <f>"－"</f>
        <v>－</v>
      </c>
      <c r="AC156" s="18" t="str">
        <f>"－"</f>
        <v>－</v>
      </c>
      <c r="AD156" s="19" t="str">
        <f>"－"</f>
        <v>－</v>
      </c>
    </row>
    <row r="157">
      <c r="A157" s="9" t="s">
        <v>49</v>
      </c>
      <c r="B157" s="10" t="s">
        <v>268</v>
      </c>
      <c r="C157" s="10" t="s">
        <v>269</v>
      </c>
      <c r="D157" s="10" t="s">
        <v>164</v>
      </c>
      <c r="E157" s="11" t="s">
        <v>259</v>
      </c>
      <c r="F157" s="11" t="s">
        <v>208</v>
      </c>
      <c r="G157" s="12" t="n">
        <v>25200.0</v>
      </c>
      <c r="H157" s="13"/>
      <c r="I157" s="14" t="s">
        <v>55</v>
      </c>
      <c r="J157" s="13"/>
      <c r="K157" s="14" t="s">
        <v>55</v>
      </c>
      <c r="L157" s="13"/>
      <c r="M157" s="14"/>
      <c r="N157" s="13"/>
      <c r="O157" s="14" t="s">
        <v>55</v>
      </c>
      <c r="P157" s="13"/>
      <c r="Q157" s="14"/>
      <c r="R157" s="13"/>
      <c r="S157" s="14" t="s">
        <v>55</v>
      </c>
      <c r="T157" s="15" t="n">
        <f>18.75</f>
        <v>18.75</v>
      </c>
      <c r="U157" s="16" t="str">
        <f>"－"</f>
        <v>－</v>
      </c>
      <c r="V157" s="16"/>
      <c r="W157" s="16"/>
      <c r="X157" s="16" t="str">
        <f>"－"</f>
        <v>－</v>
      </c>
      <c r="Y157" s="16"/>
      <c r="Z157" s="17"/>
      <c r="AA157" s="13"/>
      <c r="AB157" s="18" t="str">
        <f>"－"</f>
        <v>－</v>
      </c>
      <c r="AC157" s="18" t="str">
        <f>"－"</f>
        <v>－</v>
      </c>
      <c r="AD157" s="19" t="str">
        <f>"－"</f>
        <v>－</v>
      </c>
    </row>
    <row r="158">
      <c r="A158" s="9" t="s">
        <v>49</v>
      </c>
      <c r="B158" s="10" t="s">
        <v>268</v>
      </c>
      <c r="C158" s="10" t="s">
        <v>269</v>
      </c>
      <c r="D158" s="10" t="s">
        <v>209</v>
      </c>
      <c r="E158" s="11" t="s">
        <v>210</v>
      </c>
      <c r="F158" s="11" t="s">
        <v>211</v>
      </c>
      <c r="G158" s="12" t="n">
        <v>24000.0</v>
      </c>
      <c r="H158" s="13"/>
      <c r="I158" s="14" t="s">
        <v>55</v>
      </c>
      <c r="J158" s="13"/>
      <c r="K158" s="14" t="s">
        <v>55</v>
      </c>
      <c r="L158" s="13"/>
      <c r="M158" s="14"/>
      <c r="N158" s="13"/>
      <c r="O158" s="14" t="s">
        <v>55</v>
      </c>
      <c r="P158" s="13"/>
      <c r="Q158" s="14"/>
      <c r="R158" s="13"/>
      <c r="S158" s="14" t="s">
        <v>55</v>
      </c>
      <c r="T158" s="15" t="n">
        <f>18.03</f>
        <v>18.03</v>
      </c>
      <c r="U158" s="16" t="str">
        <f>"－"</f>
        <v>－</v>
      </c>
      <c r="V158" s="16"/>
      <c r="W158" s="16"/>
      <c r="X158" s="16" t="str">
        <f>"－"</f>
        <v>－</v>
      </c>
      <c r="Y158" s="16"/>
      <c r="Z158" s="17"/>
      <c r="AA158" s="13"/>
      <c r="AB158" s="18" t="str">
        <f>"－"</f>
        <v>－</v>
      </c>
      <c r="AC158" s="18" t="str">
        <f>"－"</f>
        <v>－</v>
      </c>
      <c r="AD158" s="19" t="str">
        <f>"－"</f>
        <v>－</v>
      </c>
    </row>
    <row r="159">
      <c r="A159" s="9" t="s">
        <v>49</v>
      </c>
      <c r="B159" s="10" t="s">
        <v>268</v>
      </c>
      <c r="C159" s="10" t="s">
        <v>269</v>
      </c>
      <c r="D159" s="10" t="s">
        <v>212</v>
      </c>
      <c r="E159" s="11" t="s">
        <v>213</v>
      </c>
      <c r="F159" s="11" t="s">
        <v>260</v>
      </c>
      <c r="G159" s="12" t="n">
        <v>24000.0</v>
      </c>
      <c r="H159" s="13"/>
      <c r="I159" s="14" t="s">
        <v>55</v>
      </c>
      <c r="J159" s="13"/>
      <c r="K159" s="14" t="s">
        <v>55</v>
      </c>
      <c r="L159" s="13"/>
      <c r="M159" s="14"/>
      <c r="N159" s="13"/>
      <c r="O159" s="14" t="s">
        <v>55</v>
      </c>
      <c r="P159" s="13"/>
      <c r="Q159" s="14"/>
      <c r="R159" s="13"/>
      <c r="S159" s="14" t="s">
        <v>55</v>
      </c>
      <c r="T159" s="15" t="n">
        <f>14.73</f>
        <v>14.73</v>
      </c>
      <c r="U159" s="16" t="str">
        <f>"－"</f>
        <v>－</v>
      </c>
      <c r="V159" s="16"/>
      <c r="W159" s="16"/>
      <c r="X159" s="16" t="str">
        <f>"－"</f>
        <v>－</v>
      </c>
      <c r="Y159" s="16"/>
      <c r="Z159" s="17"/>
      <c r="AA159" s="13"/>
      <c r="AB159" s="18" t="str">
        <f>"－"</f>
        <v>－</v>
      </c>
      <c r="AC159" s="18" t="str">
        <f>"－"</f>
        <v>－</v>
      </c>
      <c r="AD159" s="19" t="str">
        <f>"－"</f>
        <v>－</v>
      </c>
    </row>
    <row r="160">
      <c r="A160" s="9" t="s">
        <v>49</v>
      </c>
      <c r="B160" s="10" t="s">
        <v>268</v>
      </c>
      <c r="C160" s="10" t="s">
        <v>269</v>
      </c>
      <c r="D160" s="10" t="s">
        <v>215</v>
      </c>
      <c r="E160" s="11" t="s">
        <v>261</v>
      </c>
      <c r="F160" s="11" t="s">
        <v>216</v>
      </c>
      <c r="G160" s="12" t="n">
        <v>24000.0</v>
      </c>
      <c r="H160" s="13"/>
      <c r="I160" s="14" t="s">
        <v>55</v>
      </c>
      <c r="J160" s="13"/>
      <c r="K160" s="14" t="s">
        <v>55</v>
      </c>
      <c r="L160" s="13"/>
      <c r="M160" s="14"/>
      <c r="N160" s="13"/>
      <c r="O160" s="14" t="s">
        <v>55</v>
      </c>
      <c r="P160" s="13"/>
      <c r="Q160" s="14"/>
      <c r="R160" s="13"/>
      <c r="S160" s="14" t="s">
        <v>55</v>
      </c>
      <c r="T160" s="15" t="n">
        <f>14.97</f>
        <v>14.97</v>
      </c>
      <c r="U160" s="16" t="str">
        <f>"－"</f>
        <v>－</v>
      </c>
      <c r="V160" s="16"/>
      <c r="W160" s="16"/>
      <c r="X160" s="16" t="str">
        <f>"－"</f>
        <v>－</v>
      </c>
      <c r="Y160" s="16"/>
      <c r="Z160" s="17"/>
      <c r="AA160" s="13"/>
      <c r="AB160" s="18" t="str">
        <f>"－"</f>
        <v>－</v>
      </c>
      <c r="AC160" s="18" t="str">
        <f>"－"</f>
        <v>－</v>
      </c>
      <c r="AD160" s="19" t="str">
        <f>"－"</f>
        <v>－</v>
      </c>
    </row>
    <row r="161">
      <c r="A161" s="9" t="s">
        <v>49</v>
      </c>
      <c r="B161" s="10" t="s">
        <v>268</v>
      </c>
      <c r="C161" s="10" t="s">
        <v>269</v>
      </c>
      <c r="D161" s="10" t="s">
        <v>217</v>
      </c>
      <c r="E161" s="11" t="s">
        <v>262</v>
      </c>
      <c r="F161" s="11" t="s">
        <v>263</v>
      </c>
      <c r="G161" s="12" t="n">
        <v>25200.0</v>
      </c>
      <c r="H161" s="13"/>
      <c r="I161" s="14" t="s">
        <v>55</v>
      </c>
      <c r="J161" s="13"/>
      <c r="K161" s="14" t="s">
        <v>55</v>
      </c>
      <c r="L161" s="13"/>
      <c r="M161" s="14"/>
      <c r="N161" s="13"/>
      <c r="O161" s="14" t="s">
        <v>55</v>
      </c>
      <c r="P161" s="13"/>
      <c r="Q161" s="14"/>
      <c r="R161" s="13"/>
      <c r="S161" s="14" t="s">
        <v>55</v>
      </c>
      <c r="T161" s="15" t="n">
        <f>15.63</f>
        <v>15.63</v>
      </c>
      <c r="U161" s="16" t="str">
        <f>"－"</f>
        <v>－</v>
      </c>
      <c r="V161" s="16"/>
      <c r="W161" s="16"/>
      <c r="X161" s="16" t="str">
        <f>"－"</f>
        <v>－</v>
      </c>
      <c r="Y161" s="16"/>
      <c r="Z161" s="17"/>
      <c r="AA161" s="13"/>
      <c r="AB161" s="18" t="str">
        <f>"－"</f>
        <v>－</v>
      </c>
      <c r="AC161" s="18" t="str">
        <f>"－"</f>
        <v>－</v>
      </c>
      <c r="AD161" s="19" t="str">
        <f>"－"</f>
        <v>－</v>
      </c>
    </row>
    <row r="162">
      <c r="A162" s="9" t="s">
        <v>49</v>
      </c>
      <c r="B162" s="10" t="s">
        <v>268</v>
      </c>
      <c r="C162" s="10" t="s">
        <v>269</v>
      </c>
      <c r="D162" s="10" t="s">
        <v>219</v>
      </c>
      <c r="E162" s="11" t="s">
        <v>264</v>
      </c>
      <c r="F162" s="11" t="s">
        <v>220</v>
      </c>
      <c r="G162" s="12" t="n">
        <v>22800.0</v>
      </c>
      <c r="H162" s="13"/>
      <c r="I162" s="14" t="s">
        <v>55</v>
      </c>
      <c r="J162" s="13"/>
      <c r="K162" s="14" t="s">
        <v>55</v>
      </c>
      <c r="L162" s="13"/>
      <c r="M162" s="14"/>
      <c r="N162" s="13"/>
      <c r="O162" s="14" t="s">
        <v>55</v>
      </c>
      <c r="P162" s="13"/>
      <c r="Q162" s="14"/>
      <c r="R162" s="13"/>
      <c r="S162" s="14" t="s">
        <v>55</v>
      </c>
      <c r="T162" s="15" t="n">
        <f>15.88</f>
        <v>15.88</v>
      </c>
      <c r="U162" s="16" t="str">
        <f>"－"</f>
        <v>－</v>
      </c>
      <c r="V162" s="16"/>
      <c r="W162" s="16"/>
      <c r="X162" s="16" t="str">
        <f>"－"</f>
        <v>－</v>
      </c>
      <c r="Y162" s="16"/>
      <c r="Z162" s="17"/>
      <c r="AA162" s="13"/>
      <c r="AB162" s="18" t="str">
        <f>"－"</f>
        <v>－</v>
      </c>
      <c r="AC162" s="18" t="str">
        <f>"－"</f>
        <v>－</v>
      </c>
      <c r="AD162" s="19" t="str">
        <f>"－"</f>
        <v>－</v>
      </c>
    </row>
    <row r="163">
      <c r="A163" s="9" t="s">
        <v>49</v>
      </c>
      <c r="B163" s="10" t="s">
        <v>268</v>
      </c>
      <c r="C163" s="10" t="s">
        <v>269</v>
      </c>
      <c r="D163" s="10" t="s">
        <v>221</v>
      </c>
      <c r="E163" s="11" t="s">
        <v>265</v>
      </c>
      <c r="F163" s="11" t="s">
        <v>222</v>
      </c>
      <c r="G163" s="12" t="n">
        <v>22800.0</v>
      </c>
      <c r="H163" s="13"/>
      <c r="I163" s="14" t="s">
        <v>55</v>
      </c>
      <c r="J163" s="13"/>
      <c r="K163" s="14" t="s">
        <v>55</v>
      </c>
      <c r="L163" s="13"/>
      <c r="M163" s="14"/>
      <c r="N163" s="13"/>
      <c r="O163" s="14" t="s">
        <v>55</v>
      </c>
      <c r="P163" s="13"/>
      <c r="Q163" s="14"/>
      <c r="R163" s="13"/>
      <c r="S163" s="14" t="s">
        <v>55</v>
      </c>
      <c r="T163" s="15" t="n">
        <f>14.79</f>
        <v>14.79</v>
      </c>
      <c r="U163" s="16" t="str">
        <f>"－"</f>
        <v>－</v>
      </c>
      <c r="V163" s="16"/>
      <c r="W163" s="16"/>
      <c r="X163" s="16" t="str">
        <f>"－"</f>
        <v>－</v>
      </c>
      <c r="Y163" s="16"/>
      <c r="Z163" s="17"/>
      <c r="AA163" s="13"/>
      <c r="AB163" s="18" t="str">
        <f>"－"</f>
        <v>－</v>
      </c>
      <c r="AC163" s="18" t="str">
        <f>"－"</f>
        <v>－</v>
      </c>
      <c r="AD163" s="19" t="str">
        <f>"－"</f>
        <v>－</v>
      </c>
    </row>
    <row r="164">
      <c r="A164" s="9" t="s">
        <v>49</v>
      </c>
      <c r="B164" s="10" t="s">
        <v>268</v>
      </c>
      <c r="C164" s="10" t="s">
        <v>269</v>
      </c>
      <c r="D164" s="10" t="s">
        <v>223</v>
      </c>
      <c r="E164" s="11" t="s">
        <v>224</v>
      </c>
      <c r="F164" s="11" t="s">
        <v>225</v>
      </c>
      <c r="G164" s="12" t="n">
        <v>26400.0</v>
      </c>
      <c r="H164" s="13"/>
      <c r="I164" s="14" t="s">
        <v>55</v>
      </c>
      <c r="J164" s="13"/>
      <c r="K164" s="14" t="s">
        <v>55</v>
      </c>
      <c r="L164" s="13"/>
      <c r="M164" s="14"/>
      <c r="N164" s="13"/>
      <c r="O164" s="14" t="s">
        <v>55</v>
      </c>
      <c r="P164" s="13"/>
      <c r="Q164" s="14"/>
      <c r="R164" s="13"/>
      <c r="S164" s="14" t="s">
        <v>55</v>
      </c>
      <c r="T164" s="15" t="n">
        <f>13.2</f>
        <v>13.2</v>
      </c>
      <c r="U164" s="16" t="str">
        <f>"－"</f>
        <v>－</v>
      </c>
      <c r="V164" s="16"/>
      <c r="W164" s="16"/>
      <c r="X164" s="16" t="str">
        <f>"－"</f>
        <v>－</v>
      </c>
      <c r="Y164" s="16"/>
      <c r="Z164" s="17"/>
      <c r="AA164" s="13"/>
      <c r="AB164" s="18" t="str">
        <f>"－"</f>
        <v>－</v>
      </c>
      <c r="AC164" s="18" t="str">
        <f>"－"</f>
        <v>－</v>
      </c>
      <c r="AD164" s="19" t="str">
        <f>"－"</f>
        <v>－</v>
      </c>
    </row>
    <row r="165">
      <c r="A165" s="9" t="s">
        <v>49</v>
      </c>
      <c r="B165" s="10" t="s">
        <v>268</v>
      </c>
      <c r="C165" s="10" t="s">
        <v>269</v>
      </c>
      <c r="D165" s="10" t="s">
        <v>226</v>
      </c>
      <c r="E165" s="11" t="s">
        <v>227</v>
      </c>
      <c r="F165" s="11" t="s">
        <v>266</v>
      </c>
      <c r="G165" s="12" t="n">
        <v>24000.0</v>
      </c>
      <c r="H165" s="13"/>
      <c r="I165" s="14" t="s">
        <v>55</v>
      </c>
      <c r="J165" s="13"/>
      <c r="K165" s="14" t="s">
        <v>55</v>
      </c>
      <c r="L165" s="13"/>
      <c r="M165" s="14"/>
      <c r="N165" s="13"/>
      <c r="O165" s="14" t="s">
        <v>55</v>
      </c>
      <c r="P165" s="13"/>
      <c r="Q165" s="14"/>
      <c r="R165" s="13"/>
      <c r="S165" s="14" t="s">
        <v>55</v>
      </c>
      <c r="T165" s="15" t="n">
        <f>12.74</f>
        <v>12.74</v>
      </c>
      <c r="U165" s="16" t="str">
        <f>"－"</f>
        <v>－</v>
      </c>
      <c r="V165" s="16"/>
      <c r="W165" s="16"/>
      <c r="X165" s="16" t="str">
        <f>"－"</f>
        <v>－</v>
      </c>
      <c r="Y165" s="16"/>
      <c r="Z165" s="17"/>
      <c r="AA165" s="13"/>
      <c r="AB165" s="18" t="str">
        <f>"－"</f>
        <v>－</v>
      </c>
      <c r="AC165" s="18" t="str">
        <f>"－"</f>
        <v>－</v>
      </c>
      <c r="AD165" s="19" t="str">
        <f>"－"</f>
        <v>－</v>
      </c>
    </row>
    <row r="166">
      <c r="A166" s="9" t="s">
        <v>49</v>
      </c>
      <c r="B166" s="10" t="s">
        <v>268</v>
      </c>
      <c r="C166" s="10" t="s">
        <v>269</v>
      </c>
      <c r="D166" s="10" t="s">
        <v>229</v>
      </c>
      <c r="E166" s="11" t="s">
        <v>267</v>
      </c>
      <c r="F166" s="11" t="s">
        <v>230</v>
      </c>
      <c r="G166" s="12" t="n">
        <v>21600.0</v>
      </c>
      <c r="H166" s="13"/>
      <c r="I166" s="14" t="s">
        <v>55</v>
      </c>
      <c r="J166" s="13"/>
      <c r="K166" s="14" t="s">
        <v>55</v>
      </c>
      <c r="L166" s="13"/>
      <c r="M166" s="14"/>
      <c r="N166" s="13"/>
      <c r="O166" s="14" t="s">
        <v>55</v>
      </c>
      <c r="P166" s="13"/>
      <c r="Q166" s="14"/>
      <c r="R166" s="13"/>
      <c r="S166" s="14" t="s">
        <v>55</v>
      </c>
      <c r="T166" s="15" t="n">
        <f>12.77</f>
        <v>12.77</v>
      </c>
      <c r="U166" s="16" t="str">
        <f>"－"</f>
        <v>－</v>
      </c>
      <c r="V166" s="16"/>
      <c r="W166" s="16"/>
      <c r="X166" s="16" t="str">
        <f>"－"</f>
        <v>－</v>
      </c>
      <c r="Y166" s="16"/>
      <c r="Z166" s="17"/>
      <c r="AA166" s="13"/>
      <c r="AB166" s="18" t="str">
        <f>"－"</f>
        <v>－</v>
      </c>
      <c r="AC166" s="18" t="str">
        <f>"－"</f>
        <v>－</v>
      </c>
      <c r="AD166" s="19" t="str">
        <f>"－"</f>
        <v>－</v>
      </c>
    </row>
    <row r="167">
      <c r="A167" s="9" t="s">
        <v>49</v>
      </c>
      <c r="B167" s="10" t="s">
        <v>268</v>
      </c>
      <c r="C167" s="10" t="s">
        <v>269</v>
      </c>
      <c r="D167" s="10" t="s">
        <v>231</v>
      </c>
      <c r="E167" s="11" t="s">
        <v>82</v>
      </c>
      <c r="F167" s="11" t="s">
        <v>232</v>
      </c>
      <c r="G167" s="12" t="n">
        <v>26400.0</v>
      </c>
      <c r="H167" s="13"/>
      <c r="I167" s="14" t="s">
        <v>55</v>
      </c>
      <c r="J167" s="13"/>
      <c r="K167" s="14" t="s">
        <v>55</v>
      </c>
      <c r="L167" s="13"/>
      <c r="M167" s="14"/>
      <c r="N167" s="13"/>
      <c r="O167" s="14" t="s">
        <v>55</v>
      </c>
      <c r="P167" s="13"/>
      <c r="Q167" s="14"/>
      <c r="R167" s="13"/>
      <c r="S167" s="14" t="s">
        <v>55</v>
      </c>
      <c r="T167" s="15" t="n">
        <f>14.42</f>
        <v>14.42</v>
      </c>
      <c r="U167" s="16" t="str">
        <f>"－"</f>
        <v>－</v>
      </c>
      <c r="V167" s="16"/>
      <c r="W167" s="16"/>
      <c r="X167" s="16" t="str">
        <f>"－"</f>
        <v>－</v>
      </c>
      <c r="Y167" s="16"/>
      <c r="Z167" s="17"/>
      <c r="AA167" s="13"/>
      <c r="AB167" s="18" t="str">
        <f>"－"</f>
        <v>－</v>
      </c>
      <c r="AC167" s="18" t="str">
        <f>"－"</f>
        <v>－</v>
      </c>
      <c r="AD167" s="19" t="str">
        <f>"－"</f>
        <v>－</v>
      </c>
    </row>
    <row r="168">
      <c r="A168" s="9" t="s">
        <v>49</v>
      </c>
      <c r="B168" s="10" t="s">
        <v>272</v>
      </c>
      <c r="C168" s="10" t="s">
        <v>273</v>
      </c>
      <c r="D168" s="10" t="s">
        <v>49</v>
      </c>
      <c r="E168" s="11" t="s">
        <v>241</v>
      </c>
      <c r="F168" s="11" t="s">
        <v>175</v>
      </c>
      <c r="G168" s="12" t="n">
        <v>26400.0</v>
      </c>
      <c r="H168" s="13"/>
      <c r="I168" s="14" t="s">
        <v>55</v>
      </c>
      <c r="J168" s="13"/>
      <c r="K168" s="14" t="s">
        <v>55</v>
      </c>
      <c r="L168" s="13"/>
      <c r="M168" s="14"/>
      <c r="N168" s="13"/>
      <c r="O168" s="14" t="s">
        <v>55</v>
      </c>
      <c r="P168" s="13"/>
      <c r="Q168" s="14"/>
      <c r="R168" s="13"/>
      <c r="S168" s="14" t="s">
        <v>55</v>
      </c>
      <c r="T168" s="15" t="n">
        <f>22.88</f>
        <v>22.88</v>
      </c>
      <c r="U168" s="16" t="str">
        <f>"－"</f>
        <v>－</v>
      </c>
      <c r="V168" s="16"/>
      <c r="W168" s="16"/>
      <c r="X168" s="16" t="str">
        <f>"－"</f>
        <v>－</v>
      </c>
      <c r="Y168" s="16"/>
      <c r="Z168" s="17"/>
      <c r="AA168" s="13" t="s">
        <v>56</v>
      </c>
      <c r="AB168" s="18" t="str">
        <f>"－"</f>
        <v>－</v>
      </c>
      <c r="AC168" s="18" t="str">
        <f>"－"</f>
        <v>－</v>
      </c>
      <c r="AD168" s="19" t="str">
        <f>"－"</f>
        <v>－</v>
      </c>
    </row>
    <row r="169">
      <c r="A169" s="9" t="s">
        <v>49</v>
      </c>
      <c r="B169" s="10" t="s">
        <v>272</v>
      </c>
      <c r="C169" s="10" t="s">
        <v>273</v>
      </c>
      <c r="D169" s="10" t="s">
        <v>52</v>
      </c>
      <c r="E169" s="11" t="s">
        <v>241</v>
      </c>
      <c r="F169" s="11" t="s">
        <v>177</v>
      </c>
      <c r="G169" s="12" t="n">
        <v>26400.0</v>
      </c>
      <c r="H169" s="13"/>
      <c r="I169" s="14" t="s">
        <v>55</v>
      </c>
      <c r="J169" s="13"/>
      <c r="K169" s="14" t="s">
        <v>55</v>
      </c>
      <c r="L169" s="13"/>
      <c r="M169" s="14"/>
      <c r="N169" s="13"/>
      <c r="O169" s="14" t="s">
        <v>55</v>
      </c>
      <c r="P169" s="13"/>
      <c r="Q169" s="14"/>
      <c r="R169" s="13"/>
      <c r="S169" s="14" t="s">
        <v>55</v>
      </c>
      <c r="T169" s="15" t="n">
        <f>26.33</f>
        <v>26.33</v>
      </c>
      <c r="U169" s="16" t="str">
        <f>"－"</f>
        <v>－</v>
      </c>
      <c r="V169" s="16"/>
      <c r="W169" s="16"/>
      <c r="X169" s="16" t="str">
        <f>"－"</f>
        <v>－</v>
      </c>
      <c r="Y169" s="16"/>
      <c r="Z169" s="17"/>
      <c r="AA169" s="13"/>
      <c r="AB169" s="18" t="str">
        <f>"－"</f>
        <v>－</v>
      </c>
      <c r="AC169" s="18" t="str">
        <f>"－"</f>
        <v>－</v>
      </c>
      <c r="AD169" s="19" t="str">
        <f>"－"</f>
        <v>－</v>
      </c>
    </row>
    <row r="170">
      <c r="A170" s="9" t="s">
        <v>49</v>
      </c>
      <c r="B170" s="10" t="s">
        <v>272</v>
      </c>
      <c r="C170" s="10" t="s">
        <v>273</v>
      </c>
      <c r="D170" s="10" t="s">
        <v>57</v>
      </c>
      <c r="E170" s="11" t="s">
        <v>241</v>
      </c>
      <c r="F170" s="11" t="s">
        <v>184</v>
      </c>
      <c r="G170" s="12" t="n">
        <v>24000.0</v>
      </c>
      <c r="H170" s="13"/>
      <c r="I170" s="14" t="s">
        <v>55</v>
      </c>
      <c r="J170" s="13"/>
      <c r="K170" s="14" t="s">
        <v>55</v>
      </c>
      <c r="L170" s="13"/>
      <c r="M170" s="14"/>
      <c r="N170" s="13"/>
      <c r="O170" s="14" t="s">
        <v>55</v>
      </c>
      <c r="P170" s="13"/>
      <c r="Q170" s="14"/>
      <c r="R170" s="13"/>
      <c r="S170" s="14" t="s">
        <v>55</v>
      </c>
      <c r="T170" s="15" t="n">
        <f>26.86</f>
        <v>26.86</v>
      </c>
      <c r="U170" s="16" t="str">
        <f>"－"</f>
        <v>－</v>
      </c>
      <c r="V170" s="16"/>
      <c r="W170" s="16"/>
      <c r="X170" s="16" t="str">
        <f>"－"</f>
        <v>－</v>
      </c>
      <c r="Y170" s="16"/>
      <c r="Z170" s="17"/>
      <c r="AA170" s="13"/>
      <c r="AB170" s="18" t="str">
        <f>"－"</f>
        <v>－</v>
      </c>
      <c r="AC170" s="18" t="str">
        <f>"－"</f>
        <v>－</v>
      </c>
      <c r="AD170" s="19" t="str">
        <f>"－"</f>
        <v>－</v>
      </c>
    </row>
    <row r="171">
      <c r="A171" s="9" t="s">
        <v>49</v>
      </c>
      <c r="B171" s="10" t="s">
        <v>272</v>
      </c>
      <c r="C171" s="10" t="s">
        <v>273</v>
      </c>
      <c r="D171" s="10" t="s">
        <v>60</v>
      </c>
      <c r="E171" s="11" t="s">
        <v>241</v>
      </c>
      <c r="F171" s="11" t="s">
        <v>189</v>
      </c>
      <c r="G171" s="12" t="n">
        <v>22800.0</v>
      </c>
      <c r="H171" s="13"/>
      <c r="I171" s="14" t="s">
        <v>55</v>
      </c>
      <c r="J171" s="13"/>
      <c r="K171" s="14" t="s">
        <v>55</v>
      </c>
      <c r="L171" s="13"/>
      <c r="M171" s="14"/>
      <c r="N171" s="13"/>
      <c r="O171" s="14" t="s">
        <v>55</v>
      </c>
      <c r="P171" s="13"/>
      <c r="Q171" s="14"/>
      <c r="R171" s="13"/>
      <c r="S171" s="14" t="s">
        <v>55</v>
      </c>
      <c r="T171" s="15" t="n">
        <f>26.17</f>
        <v>26.17</v>
      </c>
      <c r="U171" s="16" t="str">
        <f>"－"</f>
        <v>－</v>
      </c>
      <c r="V171" s="16"/>
      <c r="W171" s="16"/>
      <c r="X171" s="16" t="str">
        <f>"－"</f>
        <v>－</v>
      </c>
      <c r="Y171" s="16"/>
      <c r="Z171" s="17"/>
      <c r="AA171" s="13"/>
      <c r="AB171" s="18" t="str">
        <f>"－"</f>
        <v>－</v>
      </c>
      <c r="AC171" s="18" t="str">
        <f>"－"</f>
        <v>－</v>
      </c>
      <c r="AD171" s="19" t="str">
        <f>"－"</f>
        <v>－</v>
      </c>
    </row>
    <row r="172">
      <c r="A172" s="9" t="s">
        <v>49</v>
      </c>
      <c r="B172" s="10" t="s">
        <v>272</v>
      </c>
      <c r="C172" s="10" t="s">
        <v>273</v>
      </c>
      <c r="D172" s="10" t="s">
        <v>63</v>
      </c>
      <c r="E172" s="11" t="s">
        <v>241</v>
      </c>
      <c r="F172" s="11" t="s">
        <v>251</v>
      </c>
      <c r="G172" s="12" t="n">
        <v>25200.0</v>
      </c>
      <c r="H172" s="13"/>
      <c r="I172" s="14" t="s">
        <v>55</v>
      </c>
      <c r="J172" s="13"/>
      <c r="K172" s="14" t="s">
        <v>55</v>
      </c>
      <c r="L172" s="13"/>
      <c r="M172" s="14"/>
      <c r="N172" s="13"/>
      <c r="O172" s="14" t="s">
        <v>55</v>
      </c>
      <c r="P172" s="13"/>
      <c r="Q172" s="14"/>
      <c r="R172" s="13"/>
      <c r="S172" s="14" t="s">
        <v>55</v>
      </c>
      <c r="T172" s="15" t="n">
        <f>19.75</f>
        <v>19.75</v>
      </c>
      <c r="U172" s="16" t="str">
        <f>"－"</f>
        <v>－</v>
      </c>
      <c r="V172" s="16"/>
      <c r="W172" s="16"/>
      <c r="X172" s="16" t="str">
        <f>"－"</f>
        <v>－</v>
      </c>
      <c r="Y172" s="16"/>
      <c r="Z172" s="17"/>
      <c r="AA172" s="13"/>
      <c r="AB172" s="18" t="str">
        <f>"－"</f>
        <v>－</v>
      </c>
      <c r="AC172" s="18" t="str">
        <f>"－"</f>
        <v>－</v>
      </c>
      <c r="AD172" s="19" t="str">
        <f>"－"</f>
        <v>－</v>
      </c>
    </row>
    <row r="173">
      <c r="A173" s="9" t="s">
        <v>49</v>
      </c>
      <c r="B173" s="10" t="s">
        <v>272</v>
      </c>
      <c r="C173" s="10" t="s">
        <v>273</v>
      </c>
      <c r="D173" s="10" t="s">
        <v>66</v>
      </c>
      <c r="E173" s="11" t="s">
        <v>241</v>
      </c>
      <c r="F173" s="11" t="s">
        <v>193</v>
      </c>
      <c r="G173" s="12" t="n">
        <v>22800.0</v>
      </c>
      <c r="H173" s="13"/>
      <c r="I173" s="14" t="s">
        <v>55</v>
      </c>
      <c r="J173" s="13"/>
      <c r="K173" s="14" t="s">
        <v>55</v>
      </c>
      <c r="L173" s="13"/>
      <c r="M173" s="14"/>
      <c r="N173" s="13"/>
      <c r="O173" s="14" t="s">
        <v>55</v>
      </c>
      <c r="P173" s="13"/>
      <c r="Q173" s="14"/>
      <c r="R173" s="13"/>
      <c r="S173" s="14" t="s">
        <v>55</v>
      </c>
      <c r="T173" s="15" t="n">
        <f>19.4</f>
        <v>19.4</v>
      </c>
      <c r="U173" s="16" t="str">
        <f>"－"</f>
        <v>－</v>
      </c>
      <c r="V173" s="16"/>
      <c r="W173" s="16"/>
      <c r="X173" s="16" t="str">
        <f>"－"</f>
        <v>－</v>
      </c>
      <c r="Y173" s="16"/>
      <c r="Z173" s="17"/>
      <c r="AA173" s="13"/>
      <c r="AB173" s="18" t="str">
        <f>"－"</f>
        <v>－</v>
      </c>
      <c r="AC173" s="18" t="str">
        <f>"－"</f>
        <v>－</v>
      </c>
      <c r="AD173" s="19" t="str">
        <f>"－"</f>
        <v>－</v>
      </c>
    </row>
    <row r="174">
      <c r="A174" s="9" t="s">
        <v>49</v>
      </c>
      <c r="B174" s="10" t="s">
        <v>272</v>
      </c>
      <c r="C174" s="10" t="s">
        <v>273</v>
      </c>
      <c r="D174" s="10" t="s">
        <v>69</v>
      </c>
      <c r="E174" s="11" t="s">
        <v>241</v>
      </c>
      <c r="F174" s="11" t="s">
        <v>254</v>
      </c>
      <c r="G174" s="12" t="n">
        <v>25200.0</v>
      </c>
      <c r="H174" s="13"/>
      <c r="I174" s="14" t="s">
        <v>55</v>
      </c>
      <c r="J174" s="13"/>
      <c r="K174" s="14" t="s">
        <v>55</v>
      </c>
      <c r="L174" s="13"/>
      <c r="M174" s="14"/>
      <c r="N174" s="13"/>
      <c r="O174" s="14" t="s">
        <v>55</v>
      </c>
      <c r="P174" s="13"/>
      <c r="Q174" s="14"/>
      <c r="R174" s="13"/>
      <c r="S174" s="14" t="s">
        <v>55</v>
      </c>
      <c r="T174" s="15" t="n">
        <f>19.35</f>
        <v>19.35</v>
      </c>
      <c r="U174" s="16" t="str">
        <f>"－"</f>
        <v>－</v>
      </c>
      <c r="V174" s="16"/>
      <c r="W174" s="16"/>
      <c r="X174" s="16" t="str">
        <f>"－"</f>
        <v>－</v>
      </c>
      <c r="Y174" s="16"/>
      <c r="Z174" s="17"/>
      <c r="AA174" s="13"/>
      <c r="AB174" s="18" t="str">
        <f>"－"</f>
        <v>－</v>
      </c>
      <c r="AC174" s="18" t="str">
        <f>"－"</f>
        <v>－</v>
      </c>
      <c r="AD174" s="19" t="str">
        <f>"－"</f>
        <v>－</v>
      </c>
    </row>
    <row r="175">
      <c r="A175" s="9" t="s">
        <v>49</v>
      </c>
      <c r="B175" s="10" t="s">
        <v>272</v>
      </c>
      <c r="C175" s="10" t="s">
        <v>273</v>
      </c>
      <c r="D175" s="10" t="s">
        <v>72</v>
      </c>
      <c r="E175" s="11" t="s">
        <v>241</v>
      </c>
      <c r="F175" s="11" t="s">
        <v>255</v>
      </c>
      <c r="G175" s="12" t="n">
        <v>22800.0</v>
      </c>
      <c r="H175" s="13"/>
      <c r="I175" s="14" t="s">
        <v>55</v>
      </c>
      <c r="J175" s="13"/>
      <c r="K175" s="14" t="s">
        <v>55</v>
      </c>
      <c r="L175" s="13"/>
      <c r="M175" s="14"/>
      <c r="N175" s="13"/>
      <c r="O175" s="14" t="s">
        <v>55</v>
      </c>
      <c r="P175" s="13"/>
      <c r="Q175" s="14"/>
      <c r="R175" s="13"/>
      <c r="S175" s="14" t="s">
        <v>55</v>
      </c>
      <c r="T175" s="15" t="n">
        <f>19.63</f>
        <v>19.63</v>
      </c>
      <c r="U175" s="16" t="str">
        <f>"－"</f>
        <v>－</v>
      </c>
      <c r="V175" s="16"/>
      <c r="W175" s="16"/>
      <c r="X175" s="16" t="str">
        <f>"－"</f>
        <v>－</v>
      </c>
      <c r="Y175" s="16"/>
      <c r="Z175" s="17"/>
      <c r="AA175" s="13"/>
      <c r="AB175" s="18" t="str">
        <f>"－"</f>
        <v>－</v>
      </c>
      <c r="AC175" s="18" t="str">
        <f>"－"</f>
        <v>－</v>
      </c>
      <c r="AD175" s="19" t="str">
        <f>"－"</f>
        <v>－</v>
      </c>
    </row>
    <row r="176">
      <c r="A176" s="9" t="s">
        <v>49</v>
      </c>
      <c r="B176" s="10" t="s">
        <v>272</v>
      </c>
      <c r="C176" s="10" t="s">
        <v>273</v>
      </c>
      <c r="D176" s="10" t="s">
        <v>140</v>
      </c>
      <c r="E176" s="11" t="s">
        <v>241</v>
      </c>
      <c r="F176" s="11" t="s">
        <v>256</v>
      </c>
      <c r="G176" s="12" t="n">
        <v>21600.0</v>
      </c>
      <c r="H176" s="13"/>
      <c r="I176" s="14" t="s">
        <v>55</v>
      </c>
      <c r="J176" s="13"/>
      <c r="K176" s="14" t="s">
        <v>55</v>
      </c>
      <c r="L176" s="13"/>
      <c r="M176" s="14"/>
      <c r="N176" s="13"/>
      <c r="O176" s="14" t="s">
        <v>55</v>
      </c>
      <c r="P176" s="13"/>
      <c r="Q176" s="14"/>
      <c r="R176" s="13"/>
      <c r="S176" s="14" t="s">
        <v>55</v>
      </c>
      <c r="T176" s="15" t="n">
        <f>18.82</f>
        <v>18.82</v>
      </c>
      <c r="U176" s="16" t="str">
        <f>"－"</f>
        <v>－</v>
      </c>
      <c r="V176" s="16"/>
      <c r="W176" s="16"/>
      <c r="X176" s="16" t="str">
        <f>"－"</f>
        <v>－</v>
      </c>
      <c r="Y176" s="16"/>
      <c r="Z176" s="17"/>
      <c r="AA176" s="13"/>
      <c r="AB176" s="18" t="str">
        <f>"－"</f>
        <v>－</v>
      </c>
      <c r="AC176" s="18" t="str">
        <f>"－"</f>
        <v>－</v>
      </c>
      <c r="AD176" s="19" t="str">
        <f>"－"</f>
        <v>－</v>
      </c>
    </row>
    <row r="177">
      <c r="A177" s="9" t="s">
        <v>49</v>
      </c>
      <c r="B177" s="10" t="s">
        <v>272</v>
      </c>
      <c r="C177" s="10" t="s">
        <v>273</v>
      </c>
      <c r="D177" s="10" t="s">
        <v>143</v>
      </c>
      <c r="E177" s="11" t="s">
        <v>241</v>
      </c>
      <c r="F177" s="11" t="s">
        <v>201</v>
      </c>
      <c r="G177" s="12" t="n">
        <v>26400.0</v>
      </c>
      <c r="H177" s="13"/>
      <c r="I177" s="14" t="s">
        <v>55</v>
      </c>
      <c r="J177" s="13"/>
      <c r="K177" s="14" t="s">
        <v>55</v>
      </c>
      <c r="L177" s="13"/>
      <c r="M177" s="14"/>
      <c r="N177" s="13"/>
      <c r="O177" s="14" t="s">
        <v>55</v>
      </c>
      <c r="P177" s="13"/>
      <c r="Q177" s="14"/>
      <c r="R177" s="13"/>
      <c r="S177" s="14" t="s">
        <v>55</v>
      </c>
      <c r="T177" s="15" t="n">
        <f>16.8</f>
        <v>16.8</v>
      </c>
      <c r="U177" s="16" t="str">
        <f>"－"</f>
        <v>－</v>
      </c>
      <c r="V177" s="16"/>
      <c r="W177" s="16"/>
      <c r="X177" s="16" t="str">
        <f>"－"</f>
        <v>－</v>
      </c>
      <c r="Y177" s="16"/>
      <c r="Z177" s="17"/>
      <c r="AA177" s="13"/>
      <c r="AB177" s="18" t="str">
        <f>"－"</f>
        <v>－</v>
      </c>
      <c r="AC177" s="18" t="str">
        <f>"－"</f>
        <v>－</v>
      </c>
      <c r="AD177" s="19" t="str">
        <f>"－"</f>
        <v>－</v>
      </c>
    </row>
    <row r="178">
      <c r="A178" s="9" t="s">
        <v>49</v>
      </c>
      <c r="B178" s="10" t="s">
        <v>272</v>
      </c>
      <c r="C178" s="10" t="s">
        <v>273</v>
      </c>
      <c r="D178" s="10" t="s">
        <v>148</v>
      </c>
      <c r="E178" s="11" t="s">
        <v>241</v>
      </c>
      <c r="F178" s="11" t="s">
        <v>203</v>
      </c>
      <c r="G178" s="12" t="n">
        <v>25200.0</v>
      </c>
      <c r="H178" s="13"/>
      <c r="I178" s="14" t="s">
        <v>55</v>
      </c>
      <c r="J178" s="13"/>
      <c r="K178" s="14" t="s">
        <v>55</v>
      </c>
      <c r="L178" s="13"/>
      <c r="M178" s="14"/>
      <c r="N178" s="13"/>
      <c r="O178" s="14" t="s">
        <v>55</v>
      </c>
      <c r="P178" s="13"/>
      <c r="Q178" s="14"/>
      <c r="R178" s="13"/>
      <c r="S178" s="14" t="s">
        <v>55</v>
      </c>
      <c r="T178" s="15" t="n">
        <f>15.1</f>
        <v>15.1</v>
      </c>
      <c r="U178" s="16" t="str">
        <f>"－"</f>
        <v>－</v>
      </c>
      <c r="V178" s="16"/>
      <c r="W178" s="16"/>
      <c r="X178" s="16" t="str">
        <f>"－"</f>
        <v>－</v>
      </c>
      <c r="Y178" s="16"/>
      <c r="Z178" s="17"/>
      <c r="AA178" s="13"/>
      <c r="AB178" s="18" t="str">
        <f>"－"</f>
        <v>－</v>
      </c>
      <c r="AC178" s="18" t="str">
        <f>"－"</f>
        <v>－</v>
      </c>
      <c r="AD178" s="19" t="str">
        <f>"－"</f>
        <v>－</v>
      </c>
    </row>
    <row r="179">
      <c r="A179" s="9" t="s">
        <v>49</v>
      </c>
      <c r="B179" s="10" t="s">
        <v>272</v>
      </c>
      <c r="C179" s="10" t="s">
        <v>273</v>
      </c>
      <c r="D179" s="10" t="s">
        <v>151</v>
      </c>
      <c r="E179" s="11" t="s">
        <v>241</v>
      </c>
      <c r="F179" s="11" t="s">
        <v>204</v>
      </c>
      <c r="G179" s="12" t="n">
        <v>21600.0</v>
      </c>
      <c r="H179" s="13"/>
      <c r="I179" s="14" t="s">
        <v>55</v>
      </c>
      <c r="J179" s="13"/>
      <c r="K179" s="14" t="s">
        <v>55</v>
      </c>
      <c r="L179" s="13"/>
      <c r="M179" s="14"/>
      <c r="N179" s="13"/>
      <c r="O179" s="14" t="s">
        <v>55</v>
      </c>
      <c r="P179" s="13"/>
      <c r="Q179" s="14"/>
      <c r="R179" s="13"/>
      <c r="S179" s="14" t="s">
        <v>55</v>
      </c>
      <c r="T179" s="15" t="n">
        <f>15.29</f>
        <v>15.29</v>
      </c>
      <c r="U179" s="16" t="str">
        <f>"－"</f>
        <v>－</v>
      </c>
      <c r="V179" s="16"/>
      <c r="W179" s="16"/>
      <c r="X179" s="16" t="str">
        <f>"－"</f>
        <v>－</v>
      </c>
      <c r="Y179" s="16"/>
      <c r="Z179" s="17"/>
      <c r="AA179" s="13"/>
      <c r="AB179" s="18" t="str">
        <f>"－"</f>
        <v>－</v>
      </c>
      <c r="AC179" s="18" t="str">
        <f>"－"</f>
        <v>－</v>
      </c>
      <c r="AD179" s="19" t="str">
        <f>"－"</f>
        <v>－</v>
      </c>
    </row>
    <row r="180">
      <c r="A180" s="9" t="s">
        <v>49</v>
      </c>
      <c r="B180" s="10" t="s">
        <v>272</v>
      </c>
      <c r="C180" s="10" t="s">
        <v>273</v>
      </c>
      <c r="D180" s="10" t="s">
        <v>156</v>
      </c>
      <c r="E180" s="11" t="s">
        <v>241</v>
      </c>
      <c r="F180" s="11" t="s">
        <v>206</v>
      </c>
      <c r="G180" s="12" t="n">
        <v>26400.0</v>
      </c>
      <c r="H180" s="13"/>
      <c r="I180" s="14" t="s">
        <v>55</v>
      </c>
      <c r="J180" s="13"/>
      <c r="K180" s="14" t="s">
        <v>55</v>
      </c>
      <c r="L180" s="13"/>
      <c r="M180" s="14"/>
      <c r="N180" s="13"/>
      <c r="O180" s="14" t="s">
        <v>55</v>
      </c>
      <c r="P180" s="13"/>
      <c r="Q180" s="14"/>
      <c r="R180" s="13"/>
      <c r="S180" s="14" t="s">
        <v>55</v>
      </c>
      <c r="T180" s="15" t="n">
        <f>16.93</f>
        <v>16.93</v>
      </c>
      <c r="U180" s="16" t="str">
        <f>"－"</f>
        <v>－</v>
      </c>
      <c r="V180" s="16"/>
      <c r="W180" s="16"/>
      <c r="X180" s="16" t="str">
        <f>"－"</f>
        <v>－</v>
      </c>
      <c r="Y180" s="16"/>
      <c r="Z180" s="17"/>
      <c r="AA180" s="13"/>
      <c r="AB180" s="18" t="str">
        <f>"－"</f>
        <v>－</v>
      </c>
      <c r="AC180" s="18" t="str">
        <f>"－"</f>
        <v>－</v>
      </c>
      <c r="AD180" s="19" t="str">
        <f>"－"</f>
        <v>－</v>
      </c>
    </row>
    <row r="181">
      <c r="A181" s="9" t="s">
        <v>49</v>
      </c>
      <c r="B181" s="10" t="s">
        <v>272</v>
      </c>
      <c r="C181" s="10" t="s">
        <v>273</v>
      </c>
      <c r="D181" s="10" t="s">
        <v>159</v>
      </c>
      <c r="E181" s="11" t="s">
        <v>241</v>
      </c>
      <c r="F181" s="11" t="s">
        <v>258</v>
      </c>
      <c r="G181" s="12" t="n">
        <v>25200.0</v>
      </c>
      <c r="H181" s="13"/>
      <c r="I181" s="14" t="s">
        <v>55</v>
      </c>
      <c r="J181" s="13"/>
      <c r="K181" s="14" t="s">
        <v>55</v>
      </c>
      <c r="L181" s="13"/>
      <c r="M181" s="14"/>
      <c r="N181" s="13"/>
      <c r="O181" s="14" t="s">
        <v>55</v>
      </c>
      <c r="P181" s="13"/>
      <c r="Q181" s="14"/>
      <c r="R181" s="13"/>
      <c r="S181" s="14" t="s">
        <v>55</v>
      </c>
      <c r="T181" s="15" t="n">
        <f>18.3</f>
        <v>18.3</v>
      </c>
      <c r="U181" s="16" t="str">
        <f>"－"</f>
        <v>－</v>
      </c>
      <c r="V181" s="16"/>
      <c r="W181" s="16"/>
      <c r="X181" s="16" t="str">
        <f>"－"</f>
        <v>－</v>
      </c>
      <c r="Y181" s="16"/>
      <c r="Z181" s="17"/>
      <c r="AA181" s="13"/>
      <c r="AB181" s="18" t="str">
        <f>"－"</f>
        <v>－</v>
      </c>
      <c r="AC181" s="18" t="str">
        <f>"－"</f>
        <v>－</v>
      </c>
      <c r="AD181" s="19" t="str">
        <f>"－"</f>
        <v>－</v>
      </c>
    </row>
    <row r="182">
      <c r="A182" s="9" t="s">
        <v>49</v>
      </c>
      <c r="B182" s="10" t="s">
        <v>272</v>
      </c>
      <c r="C182" s="10" t="s">
        <v>273</v>
      </c>
      <c r="D182" s="10" t="s">
        <v>164</v>
      </c>
      <c r="E182" s="11" t="s">
        <v>241</v>
      </c>
      <c r="F182" s="11" t="s">
        <v>208</v>
      </c>
      <c r="G182" s="12" t="n">
        <v>25200.0</v>
      </c>
      <c r="H182" s="13"/>
      <c r="I182" s="14" t="s">
        <v>55</v>
      </c>
      <c r="J182" s="13"/>
      <c r="K182" s="14" t="s">
        <v>55</v>
      </c>
      <c r="L182" s="13"/>
      <c r="M182" s="14"/>
      <c r="N182" s="13"/>
      <c r="O182" s="14" t="s">
        <v>55</v>
      </c>
      <c r="P182" s="13"/>
      <c r="Q182" s="14"/>
      <c r="R182" s="13"/>
      <c r="S182" s="14" t="s">
        <v>55</v>
      </c>
      <c r="T182" s="15" t="n">
        <f>18.81</f>
        <v>18.81</v>
      </c>
      <c r="U182" s="16" t="str">
        <f>"－"</f>
        <v>－</v>
      </c>
      <c r="V182" s="16"/>
      <c r="W182" s="16"/>
      <c r="X182" s="16" t="str">
        <f>"－"</f>
        <v>－</v>
      </c>
      <c r="Y182" s="16"/>
      <c r="Z182" s="17"/>
      <c r="AA182" s="13"/>
      <c r="AB182" s="18" t="str">
        <f>"－"</f>
        <v>－</v>
      </c>
      <c r="AC182" s="18" t="str">
        <f>"－"</f>
        <v>－</v>
      </c>
      <c r="AD182" s="19" t="str">
        <f>"－"</f>
        <v>－</v>
      </c>
    </row>
    <row r="183">
      <c r="A183" s="9" t="s">
        <v>49</v>
      </c>
      <c r="B183" s="10" t="s">
        <v>272</v>
      </c>
      <c r="C183" s="10" t="s">
        <v>273</v>
      </c>
      <c r="D183" s="10" t="s">
        <v>209</v>
      </c>
      <c r="E183" s="11" t="s">
        <v>241</v>
      </c>
      <c r="F183" s="11" t="s">
        <v>211</v>
      </c>
      <c r="G183" s="12" t="n">
        <v>24000.0</v>
      </c>
      <c r="H183" s="13"/>
      <c r="I183" s="14" t="s">
        <v>55</v>
      </c>
      <c r="J183" s="13"/>
      <c r="K183" s="14" t="s">
        <v>55</v>
      </c>
      <c r="L183" s="13"/>
      <c r="M183" s="14"/>
      <c r="N183" s="13"/>
      <c r="O183" s="14" t="s">
        <v>55</v>
      </c>
      <c r="P183" s="13"/>
      <c r="Q183" s="14"/>
      <c r="R183" s="13"/>
      <c r="S183" s="14" t="s">
        <v>55</v>
      </c>
      <c r="T183" s="15" t="n">
        <f>18.55</f>
        <v>18.55</v>
      </c>
      <c r="U183" s="16" t="str">
        <f>"－"</f>
        <v>－</v>
      </c>
      <c r="V183" s="16"/>
      <c r="W183" s="16"/>
      <c r="X183" s="16" t="str">
        <f>"－"</f>
        <v>－</v>
      </c>
      <c r="Y183" s="16"/>
      <c r="Z183" s="17"/>
      <c r="AA183" s="13"/>
      <c r="AB183" s="18" t="str">
        <f>"－"</f>
        <v>－</v>
      </c>
      <c r="AC183" s="18" t="str">
        <f>"－"</f>
        <v>－</v>
      </c>
      <c r="AD183" s="19" t="str">
        <f>"－"</f>
        <v>－</v>
      </c>
    </row>
    <row r="184">
      <c r="A184" s="9" t="s">
        <v>49</v>
      </c>
      <c r="B184" s="10" t="s">
        <v>272</v>
      </c>
      <c r="C184" s="10" t="s">
        <v>273</v>
      </c>
      <c r="D184" s="10" t="s">
        <v>212</v>
      </c>
      <c r="E184" s="11" t="s">
        <v>241</v>
      </c>
      <c r="F184" s="11" t="s">
        <v>260</v>
      </c>
      <c r="G184" s="12" t="n">
        <v>24000.0</v>
      </c>
      <c r="H184" s="13"/>
      <c r="I184" s="14" t="s">
        <v>55</v>
      </c>
      <c r="J184" s="13"/>
      <c r="K184" s="14" t="s">
        <v>55</v>
      </c>
      <c r="L184" s="13"/>
      <c r="M184" s="14"/>
      <c r="N184" s="13"/>
      <c r="O184" s="14" t="s">
        <v>55</v>
      </c>
      <c r="P184" s="13"/>
      <c r="Q184" s="14"/>
      <c r="R184" s="13"/>
      <c r="S184" s="14" t="s">
        <v>55</v>
      </c>
      <c r="T184" s="15" t="n">
        <f>15.56</f>
        <v>15.56</v>
      </c>
      <c r="U184" s="16" t="str">
        <f>"－"</f>
        <v>－</v>
      </c>
      <c r="V184" s="16"/>
      <c r="W184" s="16"/>
      <c r="X184" s="16" t="str">
        <f>"－"</f>
        <v>－</v>
      </c>
      <c r="Y184" s="16"/>
      <c r="Z184" s="17"/>
      <c r="AA184" s="13"/>
      <c r="AB184" s="18" t="str">
        <f>"－"</f>
        <v>－</v>
      </c>
      <c r="AC184" s="18" t="str">
        <f>"－"</f>
        <v>－</v>
      </c>
      <c r="AD184" s="19" t="str">
        <f>"－"</f>
        <v>－</v>
      </c>
    </row>
    <row r="185">
      <c r="A185" s="9" t="s">
        <v>49</v>
      </c>
      <c r="B185" s="10" t="s">
        <v>272</v>
      </c>
      <c r="C185" s="10" t="s">
        <v>273</v>
      </c>
      <c r="D185" s="10" t="s">
        <v>215</v>
      </c>
      <c r="E185" s="11" t="s">
        <v>241</v>
      </c>
      <c r="F185" s="11" t="s">
        <v>216</v>
      </c>
      <c r="G185" s="12" t="n">
        <v>24000.0</v>
      </c>
      <c r="H185" s="13"/>
      <c r="I185" s="14" t="s">
        <v>55</v>
      </c>
      <c r="J185" s="13"/>
      <c r="K185" s="14" t="s">
        <v>55</v>
      </c>
      <c r="L185" s="13"/>
      <c r="M185" s="14"/>
      <c r="N185" s="13"/>
      <c r="O185" s="14" t="s">
        <v>55</v>
      </c>
      <c r="P185" s="13"/>
      <c r="Q185" s="14"/>
      <c r="R185" s="13"/>
      <c r="S185" s="14" t="s">
        <v>55</v>
      </c>
      <c r="T185" s="15" t="n">
        <f>15.72</f>
        <v>15.72</v>
      </c>
      <c r="U185" s="16" t="str">
        <f>"－"</f>
        <v>－</v>
      </c>
      <c r="V185" s="16"/>
      <c r="W185" s="16"/>
      <c r="X185" s="16" t="str">
        <f>"－"</f>
        <v>－</v>
      </c>
      <c r="Y185" s="16"/>
      <c r="Z185" s="17"/>
      <c r="AA185" s="13"/>
      <c r="AB185" s="18" t="str">
        <f>"－"</f>
        <v>－</v>
      </c>
      <c r="AC185" s="18" t="str">
        <f>"－"</f>
        <v>－</v>
      </c>
      <c r="AD185" s="19" t="str">
        <f>"－"</f>
        <v>－</v>
      </c>
    </row>
    <row r="186">
      <c r="A186" s="9" t="s">
        <v>49</v>
      </c>
      <c r="B186" s="10" t="s">
        <v>272</v>
      </c>
      <c r="C186" s="10" t="s">
        <v>273</v>
      </c>
      <c r="D186" s="10" t="s">
        <v>217</v>
      </c>
      <c r="E186" s="11" t="s">
        <v>241</v>
      </c>
      <c r="F186" s="11" t="s">
        <v>263</v>
      </c>
      <c r="G186" s="12" t="n">
        <v>25200.0</v>
      </c>
      <c r="H186" s="13"/>
      <c r="I186" s="14" t="s">
        <v>55</v>
      </c>
      <c r="J186" s="13"/>
      <c r="K186" s="14" t="s">
        <v>55</v>
      </c>
      <c r="L186" s="13"/>
      <c r="M186" s="14"/>
      <c r="N186" s="13"/>
      <c r="O186" s="14" t="s">
        <v>55</v>
      </c>
      <c r="P186" s="13"/>
      <c r="Q186" s="14"/>
      <c r="R186" s="13"/>
      <c r="S186" s="14" t="s">
        <v>55</v>
      </c>
      <c r="T186" s="15" t="n">
        <f>16.36</f>
        <v>16.36</v>
      </c>
      <c r="U186" s="16" t="str">
        <f>"－"</f>
        <v>－</v>
      </c>
      <c r="V186" s="16"/>
      <c r="W186" s="16"/>
      <c r="X186" s="16" t="str">
        <f>"－"</f>
        <v>－</v>
      </c>
      <c r="Y186" s="16"/>
      <c r="Z186" s="17"/>
      <c r="AA186" s="13"/>
      <c r="AB186" s="18" t="str">
        <f>"－"</f>
        <v>－</v>
      </c>
      <c r="AC186" s="18" t="str">
        <f>"－"</f>
        <v>－</v>
      </c>
      <c r="AD186" s="19" t="str">
        <f>"－"</f>
        <v>－</v>
      </c>
    </row>
    <row r="187">
      <c r="A187" s="9" t="s">
        <v>49</v>
      </c>
      <c r="B187" s="10" t="s">
        <v>272</v>
      </c>
      <c r="C187" s="10" t="s">
        <v>273</v>
      </c>
      <c r="D187" s="10" t="s">
        <v>219</v>
      </c>
      <c r="E187" s="11" t="s">
        <v>241</v>
      </c>
      <c r="F187" s="11" t="s">
        <v>220</v>
      </c>
      <c r="G187" s="12" t="n">
        <v>22800.0</v>
      </c>
      <c r="H187" s="13"/>
      <c r="I187" s="14" t="s">
        <v>55</v>
      </c>
      <c r="J187" s="13"/>
      <c r="K187" s="14" t="s">
        <v>55</v>
      </c>
      <c r="L187" s="13"/>
      <c r="M187" s="14"/>
      <c r="N187" s="13"/>
      <c r="O187" s="14" t="s">
        <v>55</v>
      </c>
      <c r="P187" s="13"/>
      <c r="Q187" s="14"/>
      <c r="R187" s="13"/>
      <c r="S187" s="14" t="s">
        <v>55</v>
      </c>
      <c r="T187" s="15" t="n">
        <f>16.4</f>
        <v>16.4</v>
      </c>
      <c r="U187" s="16" t="str">
        <f>"－"</f>
        <v>－</v>
      </c>
      <c r="V187" s="16"/>
      <c r="W187" s="16"/>
      <c r="X187" s="16" t="str">
        <f>"－"</f>
        <v>－</v>
      </c>
      <c r="Y187" s="16"/>
      <c r="Z187" s="17"/>
      <c r="AA187" s="13"/>
      <c r="AB187" s="18" t="str">
        <f>"－"</f>
        <v>－</v>
      </c>
      <c r="AC187" s="18" t="str">
        <f>"－"</f>
        <v>－</v>
      </c>
      <c r="AD187" s="19" t="str">
        <f>"－"</f>
        <v>－</v>
      </c>
    </row>
    <row r="188">
      <c r="A188" s="9" t="s">
        <v>49</v>
      </c>
      <c r="B188" s="10" t="s">
        <v>272</v>
      </c>
      <c r="C188" s="10" t="s">
        <v>273</v>
      </c>
      <c r="D188" s="10" t="s">
        <v>221</v>
      </c>
      <c r="E188" s="11" t="s">
        <v>241</v>
      </c>
      <c r="F188" s="11" t="s">
        <v>222</v>
      </c>
      <c r="G188" s="12" t="n">
        <v>22800.0</v>
      </c>
      <c r="H188" s="13"/>
      <c r="I188" s="14" t="s">
        <v>55</v>
      </c>
      <c r="J188" s="13"/>
      <c r="K188" s="14" t="s">
        <v>55</v>
      </c>
      <c r="L188" s="13"/>
      <c r="M188" s="14"/>
      <c r="N188" s="13"/>
      <c r="O188" s="14" t="s">
        <v>55</v>
      </c>
      <c r="P188" s="13"/>
      <c r="Q188" s="14"/>
      <c r="R188" s="13"/>
      <c r="S188" s="14" t="s">
        <v>55</v>
      </c>
      <c r="T188" s="15" t="n">
        <f>15.61</f>
        <v>15.61</v>
      </c>
      <c r="U188" s="16" t="str">
        <f>"－"</f>
        <v>－</v>
      </c>
      <c r="V188" s="16"/>
      <c r="W188" s="16"/>
      <c r="X188" s="16" t="str">
        <f>"－"</f>
        <v>－</v>
      </c>
      <c r="Y188" s="16"/>
      <c r="Z188" s="17"/>
      <c r="AA188" s="13"/>
      <c r="AB188" s="18" t="str">
        <f>"－"</f>
        <v>－</v>
      </c>
      <c r="AC188" s="18" t="str">
        <f>"－"</f>
        <v>－</v>
      </c>
      <c r="AD188" s="19" t="str">
        <f>"－"</f>
        <v>－</v>
      </c>
    </row>
    <row r="189">
      <c r="A189" s="9" t="s">
        <v>49</v>
      </c>
      <c r="B189" s="10" t="s">
        <v>272</v>
      </c>
      <c r="C189" s="10" t="s">
        <v>273</v>
      </c>
      <c r="D189" s="10" t="s">
        <v>223</v>
      </c>
      <c r="E189" s="11" t="s">
        <v>241</v>
      </c>
      <c r="F189" s="11" t="s">
        <v>225</v>
      </c>
      <c r="G189" s="12" t="n">
        <v>26400.0</v>
      </c>
      <c r="H189" s="13"/>
      <c r="I189" s="14" t="s">
        <v>55</v>
      </c>
      <c r="J189" s="13"/>
      <c r="K189" s="14" t="s">
        <v>55</v>
      </c>
      <c r="L189" s="13"/>
      <c r="M189" s="14"/>
      <c r="N189" s="13"/>
      <c r="O189" s="14" t="s">
        <v>55</v>
      </c>
      <c r="P189" s="13"/>
      <c r="Q189" s="14"/>
      <c r="R189" s="13"/>
      <c r="S189" s="14" t="s">
        <v>55</v>
      </c>
      <c r="T189" s="15" t="n">
        <f>14</f>
        <v>14.0</v>
      </c>
      <c r="U189" s="16" t="str">
        <f>"－"</f>
        <v>－</v>
      </c>
      <c r="V189" s="16"/>
      <c r="W189" s="16"/>
      <c r="X189" s="16" t="str">
        <f>"－"</f>
        <v>－</v>
      </c>
      <c r="Y189" s="16"/>
      <c r="Z189" s="17"/>
      <c r="AA189" s="13"/>
      <c r="AB189" s="18" t="str">
        <f>"－"</f>
        <v>－</v>
      </c>
      <c r="AC189" s="18" t="str">
        <f>"－"</f>
        <v>－</v>
      </c>
      <c r="AD189" s="19" t="str">
        <f>"－"</f>
        <v>－</v>
      </c>
    </row>
    <row r="190">
      <c r="A190" s="9" t="s">
        <v>49</v>
      </c>
      <c r="B190" s="10" t="s">
        <v>272</v>
      </c>
      <c r="C190" s="10" t="s">
        <v>273</v>
      </c>
      <c r="D190" s="10" t="s">
        <v>226</v>
      </c>
      <c r="E190" s="11" t="s">
        <v>227</v>
      </c>
      <c r="F190" s="11" t="s">
        <v>266</v>
      </c>
      <c r="G190" s="12" t="n">
        <v>24000.0</v>
      </c>
      <c r="H190" s="13"/>
      <c r="I190" s="14" t="s">
        <v>55</v>
      </c>
      <c r="J190" s="13"/>
      <c r="K190" s="14" t="s">
        <v>55</v>
      </c>
      <c r="L190" s="13"/>
      <c r="M190" s="14"/>
      <c r="N190" s="13"/>
      <c r="O190" s="14" t="s">
        <v>55</v>
      </c>
      <c r="P190" s="13"/>
      <c r="Q190" s="14"/>
      <c r="R190" s="13"/>
      <c r="S190" s="14" t="s">
        <v>55</v>
      </c>
      <c r="T190" s="15" t="n">
        <f>12.89</f>
        <v>12.89</v>
      </c>
      <c r="U190" s="16" t="str">
        <f>"－"</f>
        <v>－</v>
      </c>
      <c r="V190" s="16"/>
      <c r="W190" s="16"/>
      <c r="X190" s="16" t="str">
        <f>"－"</f>
        <v>－</v>
      </c>
      <c r="Y190" s="16"/>
      <c r="Z190" s="17"/>
      <c r="AA190" s="13"/>
      <c r="AB190" s="18" t="str">
        <f>"－"</f>
        <v>－</v>
      </c>
      <c r="AC190" s="18" t="str">
        <f>"－"</f>
        <v>－</v>
      </c>
      <c r="AD190" s="19" t="str">
        <f>"－"</f>
        <v>－</v>
      </c>
    </row>
    <row r="191">
      <c r="A191" s="9" t="s">
        <v>49</v>
      </c>
      <c r="B191" s="10" t="s">
        <v>272</v>
      </c>
      <c r="C191" s="10" t="s">
        <v>273</v>
      </c>
      <c r="D191" s="10" t="s">
        <v>229</v>
      </c>
      <c r="E191" s="11" t="s">
        <v>267</v>
      </c>
      <c r="F191" s="11" t="s">
        <v>230</v>
      </c>
      <c r="G191" s="12" t="n">
        <v>21600.0</v>
      </c>
      <c r="H191" s="13"/>
      <c r="I191" s="14" t="s">
        <v>55</v>
      </c>
      <c r="J191" s="13"/>
      <c r="K191" s="14" t="s">
        <v>55</v>
      </c>
      <c r="L191" s="13"/>
      <c r="M191" s="14"/>
      <c r="N191" s="13"/>
      <c r="O191" s="14" t="s">
        <v>55</v>
      </c>
      <c r="P191" s="13"/>
      <c r="Q191" s="14"/>
      <c r="R191" s="13"/>
      <c r="S191" s="14" t="s">
        <v>55</v>
      </c>
      <c r="T191" s="15" t="n">
        <f>13.08</f>
        <v>13.08</v>
      </c>
      <c r="U191" s="16" t="str">
        <f>"－"</f>
        <v>－</v>
      </c>
      <c r="V191" s="16"/>
      <c r="W191" s="16"/>
      <c r="X191" s="16" t="str">
        <f>"－"</f>
        <v>－</v>
      </c>
      <c r="Y191" s="16"/>
      <c r="Z191" s="17"/>
      <c r="AA191" s="13"/>
      <c r="AB191" s="18" t="str">
        <f>"－"</f>
        <v>－</v>
      </c>
      <c r="AC191" s="18" t="str">
        <f>"－"</f>
        <v>－</v>
      </c>
      <c r="AD191" s="19" t="str">
        <f>"－"</f>
        <v>－</v>
      </c>
    </row>
    <row r="192">
      <c r="A192" s="9" t="s">
        <v>49</v>
      </c>
      <c r="B192" s="10" t="s">
        <v>272</v>
      </c>
      <c r="C192" s="10" t="s">
        <v>273</v>
      </c>
      <c r="D192" s="10" t="s">
        <v>231</v>
      </c>
      <c r="E192" s="11" t="s">
        <v>82</v>
      </c>
      <c r="F192" s="11" t="s">
        <v>232</v>
      </c>
      <c r="G192" s="12" t="n">
        <v>26400.0</v>
      </c>
      <c r="H192" s="13"/>
      <c r="I192" s="14" t="s">
        <v>55</v>
      </c>
      <c r="J192" s="13"/>
      <c r="K192" s="14" t="s">
        <v>55</v>
      </c>
      <c r="L192" s="13"/>
      <c r="M192" s="14"/>
      <c r="N192" s="13"/>
      <c r="O192" s="14" t="s">
        <v>55</v>
      </c>
      <c r="P192" s="13"/>
      <c r="Q192" s="14"/>
      <c r="R192" s="13"/>
      <c r="S192" s="14" t="s">
        <v>55</v>
      </c>
      <c r="T192" s="15" t="n">
        <f>14.59</f>
        <v>14.59</v>
      </c>
      <c r="U192" s="16" t="str">
        <f>"－"</f>
        <v>－</v>
      </c>
      <c r="V192" s="16"/>
      <c r="W192" s="16"/>
      <c r="X192" s="16" t="str">
        <f>"－"</f>
        <v>－</v>
      </c>
      <c r="Y192" s="16"/>
      <c r="Z192" s="17"/>
      <c r="AA192" s="13"/>
      <c r="AB192" s="18" t="str">
        <f>"－"</f>
        <v>－</v>
      </c>
      <c r="AC192" s="18" t="str">
        <f>"－"</f>
        <v>－</v>
      </c>
      <c r="AD192" s="19" t="str">
        <f>"－"</f>
        <v>－</v>
      </c>
    </row>
    <row r="193">
      <c r="A193" s="9" t="s">
        <v>49</v>
      </c>
      <c r="B193" s="10" t="s">
        <v>274</v>
      </c>
      <c r="C193" s="10" t="s">
        <v>275</v>
      </c>
      <c r="D193" s="10" t="s">
        <v>276</v>
      </c>
      <c r="E193" s="11" t="s">
        <v>160</v>
      </c>
      <c r="F193" s="11" t="s">
        <v>277</v>
      </c>
      <c r="G193" s="12" t="n">
        <v>16800.0</v>
      </c>
      <c r="H193" s="13"/>
      <c r="I193" s="14" t="s">
        <v>55</v>
      </c>
      <c r="J193" s="13"/>
      <c r="K193" s="14" t="s">
        <v>55</v>
      </c>
      <c r="L193" s="13"/>
      <c r="M193" s="14"/>
      <c r="N193" s="13"/>
      <c r="O193" s="14" t="s">
        <v>55</v>
      </c>
      <c r="P193" s="13"/>
      <c r="Q193" s="14"/>
      <c r="R193" s="13"/>
      <c r="S193" s="14" t="s">
        <v>55</v>
      </c>
      <c r="T193" s="15" t="n">
        <f>22.36</f>
        <v>22.36</v>
      </c>
      <c r="U193" s="16" t="str">
        <f>"－"</f>
        <v>－</v>
      </c>
      <c r="V193" s="16"/>
      <c r="W193" s="16"/>
      <c r="X193" s="16" t="str">
        <f>"－"</f>
        <v>－</v>
      </c>
      <c r="Y193" s="16"/>
      <c r="Z193" s="17"/>
      <c r="AA193" s="13" t="s">
        <v>56</v>
      </c>
      <c r="AB193" s="18" t="str">
        <f>"－"</f>
        <v>－</v>
      </c>
      <c r="AC193" s="18" t="str">
        <f>"－"</f>
        <v>－</v>
      </c>
      <c r="AD193" s="19" t="str">
        <f>"－"</f>
        <v>－</v>
      </c>
    </row>
    <row r="194">
      <c r="A194" s="9" t="s">
        <v>49</v>
      </c>
      <c r="B194" s="10" t="s">
        <v>274</v>
      </c>
      <c r="C194" s="10" t="s">
        <v>275</v>
      </c>
      <c r="D194" s="10" t="s">
        <v>278</v>
      </c>
      <c r="E194" s="11" t="s">
        <v>279</v>
      </c>
      <c r="F194" s="11" t="s">
        <v>280</v>
      </c>
      <c r="G194" s="12" t="n">
        <v>16800.0</v>
      </c>
      <c r="H194" s="13"/>
      <c r="I194" s="14" t="s">
        <v>55</v>
      </c>
      <c r="J194" s="13"/>
      <c r="K194" s="14" t="s">
        <v>55</v>
      </c>
      <c r="L194" s="13"/>
      <c r="M194" s="14"/>
      <c r="N194" s="13"/>
      <c r="O194" s="14" t="s">
        <v>55</v>
      </c>
      <c r="P194" s="13"/>
      <c r="Q194" s="14"/>
      <c r="R194" s="13"/>
      <c r="S194" s="14" t="s">
        <v>55</v>
      </c>
      <c r="T194" s="15" t="n">
        <f>22.21</f>
        <v>22.21</v>
      </c>
      <c r="U194" s="16" t="str">
        <f>"－"</f>
        <v>－</v>
      </c>
      <c r="V194" s="16"/>
      <c r="W194" s="16"/>
      <c r="X194" s="16" t="str">
        <f>"－"</f>
        <v>－</v>
      </c>
      <c r="Y194" s="16"/>
      <c r="Z194" s="17"/>
      <c r="AA194" s="13" t="s">
        <v>56</v>
      </c>
      <c r="AB194" s="18" t="str">
        <f>"－"</f>
        <v>－</v>
      </c>
      <c r="AC194" s="18" t="str">
        <f>"－"</f>
        <v>－</v>
      </c>
      <c r="AD194" s="19" t="str">
        <f>"－"</f>
        <v>－</v>
      </c>
    </row>
    <row r="195">
      <c r="A195" s="9" t="s">
        <v>49</v>
      </c>
      <c r="B195" s="10" t="s">
        <v>274</v>
      </c>
      <c r="C195" s="10" t="s">
        <v>275</v>
      </c>
      <c r="D195" s="10" t="s">
        <v>281</v>
      </c>
      <c r="E195" s="11" t="s">
        <v>282</v>
      </c>
      <c r="F195" s="11" t="s">
        <v>283</v>
      </c>
      <c r="G195" s="12" t="n">
        <v>16800.0</v>
      </c>
      <c r="H195" s="13"/>
      <c r="I195" s="14" t="s">
        <v>55</v>
      </c>
      <c r="J195" s="13"/>
      <c r="K195" s="14" t="s">
        <v>55</v>
      </c>
      <c r="L195" s="13"/>
      <c r="M195" s="14"/>
      <c r="N195" s="13"/>
      <c r="O195" s="14" t="s">
        <v>55</v>
      </c>
      <c r="P195" s="13"/>
      <c r="Q195" s="14"/>
      <c r="R195" s="13"/>
      <c r="S195" s="14" t="s">
        <v>55</v>
      </c>
      <c r="T195" s="15" t="n">
        <f>22.34</f>
        <v>22.34</v>
      </c>
      <c r="U195" s="16" t="str">
        <f>"－"</f>
        <v>－</v>
      </c>
      <c r="V195" s="16"/>
      <c r="W195" s="16"/>
      <c r="X195" s="16" t="str">
        <f>"－"</f>
        <v>－</v>
      </c>
      <c r="Y195" s="16"/>
      <c r="Z195" s="17"/>
      <c r="AA195" s="13" t="s">
        <v>56</v>
      </c>
      <c r="AB195" s="18" t="str">
        <f>"－"</f>
        <v>－</v>
      </c>
      <c r="AC195" s="18" t="str">
        <f>"－"</f>
        <v>－</v>
      </c>
      <c r="AD195" s="19" t="str">
        <f>"－"</f>
        <v>－</v>
      </c>
    </row>
    <row r="196">
      <c r="A196" s="9" t="s">
        <v>49</v>
      </c>
      <c r="B196" s="10" t="s">
        <v>274</v>
      </c>
      <c r="C196" s="10" t="s">
        <v>275</v>
      </c>
      <c r="D196" s="10" t="s">
        <v>73</v>
      </c>
      <c r="E196" s="11" t="s">
        <v>284</v>
      </c>
      <c r="F196" s="11" t="s">
        <v>54</v>
      </c>
      <c r="G196" s="12" t="n">
        <v>16800.0</v>
      </c>
      <c r="H196" s="13"/>
      <c r="I196" s="14" t="s">
        <v>55</v>
      </c>
      <c r="J196" s="13"/>
      <c r="K196" s="14" t="s">
        <v>55</v>
      </c>
      <c r="L196" s="13"/>
      <c r="M196" s="14"/>
      <c r="N196" s="13"/>
      <c r="O196" s="14" t="s">
        <v>55</v>
      </c>
      <c r="P196" s="13"/>
      <c r="Q196" s="14"/>
      <c r="R196" s="13"/>
      <c r="S196" s="14" t="s">
        <v>55</v>
      </c>
      <c r="T196" s="15" t="n">
        <f>21.55</f>
        <v>21.55</v>
      </c>
      <c r="U196" s="16" t="str">
        <f>"－"</f>
        <v>－</v>
      </c>
      <c r="V196" s="16"/>
      <c r="W196" s="16"/>
      <c r="X196" s="16" t="str">
        <f>"－"</f>
        <v>－</v>
      </c>
      <c r="Y196" s="16"/>
      <c r="Z196" s="17"/>
      <c r="AA196" s="13" t="s">
        <v>56</v>
      </c>
      <c r="AB196" s="18" t="str">
        <f>"－"</f>
        <v>－</v>
      </c>
      <c r="AC196" s="18" t="str">
        <f>"－"</f>
        <v>－</v>
      </c>
      <c r="AD196" s="19" t="str">
        <f>"－"</f>
        <v>－</v>
      </c>
    </row>
    <row r="197">
      <c r="A197" s="9" t="s">
        <v>49</v>
      </c>
      <c r="B197" s="10" t="s">
        <v>274</v>
      </c>
      <c r="C197" s="10" t="s">
        <v>275</v>
      </c>
      <c r="D197" s="10" t="s">
        <v>285</v>
      </c>
      <c r="E197" s="11" t="s">
        <v>267</v>
      </c>
      <c r="F197" s="11" t="s">
        <v>286</v>
      </c>
      <c r="G197" s="12" t="n">
        <v>16800.0</v>
      </c>
      <c r="H197" s="13"/>
      <c r="I197" s="14" t="s">
        <v>55</v>
      </c>
      <c r="J197" s="13"/>
      <c r="K197" s="14" t="s">
        <v>55</v>
      </c>
      <c r="L197" s="13"/>
      <c r="M197" s="14"/>
      <c r="N197" s="13"/>
      <c r="O197" s="14" t="s">
        <v>55</v>
      </c>
      <c r="P197" s="13"/>
      <c r="Q197" s="14"/>
      <c r="R197" s="13"/>
      <c r="S197" s="14" t="s">
        <v>55</v>
      </c>
      <c r="T197" s="15" t="n">
        <f>21.39</f>
        <v>21.39</v>
      </c>
      <c r="U197" s="16" t="str">
        <f>"－"</f>
        <v>－</v>
      </c>
      <c r="V197" s="16"/>
      <c r="W197" s="16"/>
      <c r="X197" s="16" t="str">
        <f>"－"</f>
        <v>－</v>
      </c>
      <c r="Y197" s="16"/>
      <c r="Z197" s="17"/>
      <c r="AA197" s="13"/>
      <c r="AB197" s="18" t="str">
        <f>"－"</f>
        <v>－</v>
      </c>
      <c r="AC197" s="18" t="str">
        <f>"－"</f>
        <v>－</v>
      </c>
      <c r="AD197" s="19" t="str">
        <f>"－"</f>
        <v>－</v>
      </c>
    </row>
    <row r="198">
      <c r="A198" s="9" t="s">
        <v>49</v>
      </c>
      <c r="B198" s="10" t="s">
        <v>274</v>
      </c>
      <c r="C198" s="10" t="s">
        <v>275</v>
      </c>
      <c r="D198" s="10" t="s">
        <v>287</v>
      </c>
      <c r="E198" s="11" t="s">
        <v>276</v>
      </c>
      <c r="F198" s="11" t="s">
        <v>288</v>
      </c>
      <c r="G198" s="12" t="n">
        <v>16800.0</v>
      </c>
      <c r="H198" s="13"/>
      <c r="I198" s="14" t="s">
        <v>55</v>
      </c>
      <c r="J198" s="13"/>
      <c r="K198" s="14" t="s">
        <v>55</v>
      </c>
      <c r="L198" s="13"/>
      <c r="M198" s="14"/>
      <c r="N198" s="13"/>
      <c r="O198" s="14" t="s">
        <v>55</v>
      </c>
      <c r="P198" s="13"/>
      <c r="Q198" s="14"/>
      <c r="R198" s="13"/>
      <c r="S198" s="14" t="s">
        <v>55</v>
      </c>
      <c r="T198" s="15" t="n">
        <f>21.8</f>
        <v>21.8</v>
      </c>
      <c r="U198" s="16" t="str">
        <f>"－"</f>
        <v>－</v>
      </c>
      <c r="V198" s="16"/>
      <c r="W198" s="16"/>
      <c r="X198" s="16" t="str">
        <f>"－"</f>
        <v>－</v>
      </c>
      <c r="Y198" s="16"/>
      <c r="Z198" s="17"/>
      <c r="AA198" s="13"/>
      <c r="AB198" s="18" t="str">
        <f>"－"</f>
        <v>－</v>
      </c>
      <c r="AC198" s="18" t="str">
        <f>"－"</f>
        <v>－</v>
      </c>
      <c r="AD198" s="19" t="str">
        <f>"－"</f>
        <v>－</v>
      </c>
    </row>
    <row r="199">
      <c r="A199" s="9" t="s">
        <v>49</v>
      </c>
      <c r="B199" s="10" t="s">
        <v>274</v>
      </c>
      <c r="C199" s="10" t="s">
        <v>275</v>
      </c>
      <c r="D199" s="10" t="s">
        <v>289</v>
      </c>
      <c r="E199" s="11" t="s">
        <v>278</v>
      </c>
      <c r="F199" s="11" t="s">
        <v>290</v>
      </c>
      <c r="G199" s="12" t="n">
        <v>16800.0</v>
      </c>
      <c r="H199" s="13"/>
      <c r="I199" s="14" t="s">
        <v>55</v>
      </c>
      <c r="J199" s="13"/>
      <c r="K199" s="14" t="s">
        <v>55</v>
      </c>
      <c r="L199" s="13"/>
      <c r="M199" s="14"/>
      <c r="N199" s="13"/>
      <c r="O199" s="14" t="s">
        <v>55</v>
      </c>
      <c r="P199" s="13"/>
      <c r="Q199" s="14"/>
      <c r="R199" s="13"/>
      <c r="S199" s="14" t="s">
        <v>55</v>
      </c>
      <c r="T199" s="15" t="n">
        <f>21.11</f>
        <v>21.11</v>
      </c>
      <c r="U199" s="16" t="str">
        <f>"－"</f>
        <v>－</v>
      </c>
      <c r="V199" s="16"/>
      <c r="W199" s="16"/>
      <c r="X199" s="16" t="str">
        <f>"－"</f>
        <v>－</v>
      </c>
      <c r="Y199" s="16"/>
      <c r="Z199" s="17"/>
      <c r="AA199" s="13"/>
      <c r="AB199" s="18" t="str">
        <f>"－"</f>
        <v>－</v>
      </c>
      <c r="AC199" s="18" t="str">
        <f>"－"</f>
        <v>－</v>
      </c>
      <c r="AD199" s="19" t="str">
        <f>"－"</f>
        <v>－</v>
      </c>
    </row>
    <row r="200">
      <c r="A200" s="9" t="s">
        <v>49</v>
      </c>
      <c r="B200" s="10" t="s">
        <v>274</v>
      </c>
      <c r="C200" s="10" t="s">
        <v>275</v>
      </c>
      <c r="D200" s="10" t="s">
        <v>59</v>
      </c>
      <c r="E200" s="11" t="s">
        <v>281</v>
      </c>
      <c r="F200" s="11" t="s">
        <v>291</v>
      </c>
      <c r="G200" s="12" t="n">
        <v>16800.0</v>
      </c>
      <c r="H200" s="13"/>
      <c r="I200" s="14" t="s">
        <v>55</v>
      </c>
      <c r="J200" s="13"/>
      <c r="K200" s="14" t="s">
        <v>55</v>
      </c>
      <c r="L200" s="13"/>
      <c r="M200" s="14"/>
      <c r="N200" s="13"/>
      <c r="O200" s="14" t="s">
        <v>55</v>
      </c>
      <c r="P200" s="13"/>
      <c r="Q200" s="14"/>
      <c r="R200" s="13"/>
      <c r="S200" s="14" t="s">
        <v>55</v>
      </c>
      <c r="T200" s="15" t="n">
        <f>19.63</f>
        <v>19.63</v>
      </c>
      <c r="U200" s="16" t="str">
        <f>"－"</f>
        <v>－</v>
      </c>
      <c r="V200" s="16"/>
      <c r="W200" s="16"/>
      <c r="X200" s="16" t="str">
        <f>"－"</f>
        <v>－</v>
      </c>
      <c r="Y200" s="16"/>
      <c r="Z200" s="17"/>
      <c r="AA200" s="13"/>
      <c r="AB200" s="18" t="str">
        <f>"－"</f>
        <v>－</v>
      </c>
      <c r="AC200" s="18" t="str">
        <f>"－"</f>
        <v>－</v>
      </c>
      <c r="AD200" s="19" t="str">
        <f>"－"</f>
        <v>－</v>
      </c>
    </row>
    <row r="201">
      <c r="A201" s="9" t="s">
        <v>49</v>
      </c>
      <c r="B201" s="10" t="s">
        <v>274</v>
      </c>
      <c r="C201" s="10" t="s">
        <v>275</v>
      </c>
      <c r="D201" s="10" t="s">
        <v>91</v>
      </c>
      <c r="E201" s="11" t="s">
        <v>73</v>
      </c>
      <c r="F201" s="11" t="s">
        <v>177</v>
      </c>
      <c r="G201" s="12" t="n">
        <v>16800.0</v>
      </c>
      <c r="H201" s="13"/>
      <c r="I201" s="14" t="s">
        <v>55</v>
      </c>
      <c r="J201" s="13"/>
      <c r="K201" s="14" t="s">
        <v>55</v>
      </c>
      <c r="L201" s="13"/>
      <c r="M201" s="14"/>
      <c r="N201" s="13"/>
      <c r="O201" s="14" t="s">
        <v>55</v>
      </c>
      <c r="P201" s="13"/>
      <c r="Q201" s="14"/>
      <c r="R201" s="13"/>
      <c r="S201" s="14" t="s">
        <v>55</v>
      </c>
      <c r="T201" s="15" t="n">
        <f>19.18</f>
        <v>19.18</v>
      </c>
      <c r="U201" s="16" t="str">
        <f>"－"</f>
        <v>－</v>
      </c>
      <c r="V201" s="16"/>
      <c r="W201" s="16"/>
      <c r="X201" s="16" t="str">
        <f>"－"</f>
        <v>－</v>
      </c>
      <c r="Y201" s="16"/>
      <c r="Z201" s="17"/>
      <c r="AA201" s="13"/>
      <c r="AB201" s="18" t="str">
        <f>"－"</f>
        <v>－</v>
      </c>
      <c r="AC201" s="18" t="str">
        <f>"－"</f>
        <v>－</v>
      </c>
      <c r="AD201" s="19" t="str">
        <f>"－"</f>
        <v>－</v>
      </c>
    </row>
    <row r="202">
      <c r="A202" s="9" t="s">
        <v>49</v>
      </c>
      <c r="B202" s="10" t="s">
        <v>292</v>
      </c>
      <c r="C202" s="10" t="s">
        <v>293</v>
      </c>
      <c r="D202" s="10" t="s">
        <v>276</v>
      </c>
      <c r="E202" s="11" t="s">
        <v>160</v>
      </c>
      <c r="F202" s="11" t="s">
        <v>277</v>
      </c>
      <c r="G202" s="12" t="n">
        <v>16800.0</v>
      </c>
      <c r="H202" s="13"/>
      <c r="I202" s="14" t="s">
        <v>55</v>
      </c>
      <c r="J202" s="13"/>
      <c r="K202" s="14" t="s">
        <v>55</v>
      </c>
      <c r="L202" s="13"/>
      <c r="M202" s="14"/>
      <c r="N202" s="13"/>
      <c r="O202" s="14" t="s">
        <v>55</v>
      </c>
      <c r="P202" s="13"/>
      <c r="Q202" s="14"/>
      <c r="R202" s="13"/>
      <c r="S202" s="14" t="s">
        <v>55</v>
      </c>
      <c r="T202" s="15" t="n">
        <f>16.49</f>
        <v>16.49</v>
      </c>
      <c r="U202" s="16" t="str">
        <f>"－"</f>
        <v>－</v>
      </c>
      <c r="V202" s="16"/>
      <c r="W202" s="16"/>
      <c r="X202" s="16" t="str">
        <f>"－"</f>
        <v>－</v>
      </c>
      <c r="Y202" s="16"/>
      <c r="Z202" s="17"/>
      <c r="AA202" s="13" t="s">
        <v>56</v>
      </c>
      <c r="AB202" s="18" t="str">
        <f>"－"</f>
        <v>－</v>
      </c>
      <c r="AC202" s="18" t="str">
        <f>"－"</f>
        <v>－</v>
      </c>
      <c r="AD202" s="19" t="str">
        <f>"－"</f>
        <v>－</v>
      </c>
    </row>
    <row r="203">
      <c r="A203" s="9" t="s">
        <v>49</v>
      </c>
      <c r="B203" s="10" t="s">
        <v>292</v>
      </c>
      <c r="C203" s="10" t="s">
        <v>293</v>
      </c>
      <c r="D203" s="10" t="s">
        <v>278</v>
      </c>
      <c r="E203" s="11" t="s">
        <v>279</v>
      </c>
      <c r="F203" s="11" t="s">
        <v>280</v>
      </c>
      <c r="G203" s="12" t="n">
        <v>16800.0</v>
      </c>
      <c r="H203" s="13"/>
      <c r="I203" s="14" t="s">
        <v>55</v>
      </c>
      <c r="J203" s="13"/>
      <c r="K203" s="14" t="s">
        <v>55</v>
      </c>
      <c r="L203" s="13"/>
      <c r="M203" s="14"/>
      <c r="N203" s="13"/>
      <c r="O203" s="14" t="s">
        <v>55</v>
      </c>
      <c r="P203" s="13"/>
      <c r="Q203" s="14"/>
      <c r="R203" s="13"/>
      <c r="S203" s="14" t="s">
        <v>55</v>
      </c>
      <c r="T203" s="15" t="n">
        <f>17.39</f>
        <v>17.39</v>
      </c>
      <c r="U203" s="16" t="str">
        <f>"－"</f>
        <v>－</v>
      </c>
      <c r="V203" s="16"/>
      <c r="W203" s="16"/>
      <c r="X203" s="16" t="str">
        <f>"－"</f>
        <v>－</v>
      </c>
      <c r="Y203" s="16"/>
      <c r="Z203" s="17"/>
      <c r="AA203" s="13" t="s">
        <v>56</v>
      </c>
      <c r="AB203" s="18" t="str">
        <f>"－"</f>
        <v>－</v>
      </c>
      <c r="AC203" s="18" t="str">
        <f>"－"</f>
        <v>－</v>
      </c>
      <c r="AD203" s="19" t="str">
        <f>"－"</f>
        <v>－</v>
      </c>
    </row>
    <row r="204">
      <c r="A204" s="9" t="s">
        <v>49</v>
      </c>
      <c r="B204" s="10" t="s">
        <v>292</v>
      </c>
      <c r="C204" s="10" t="s">
        <v>293</v>
      </c>
      <c r="D204" s="10" t="s">
        <v>281</v>
      </c>
      <c r="E204" s="11" t="s">
        <v>282</v>
      </c>
      <c r="F204" s="11" t="s">
        <v>283</v>
      </c>
      <c r="G204" s="12" t="n">
        <v>16800.0</v>
      </c>
      <c r="H204" s="13"/>
      <c r="I204" s="14" t="s">
        <v>55</v>
      </c>
      <c r="J204" s="13"/>
      <c r="K204" s="14" t="s">
        <v>55</v>
      </c>
      <c r="L204" s="13"/>
      <c r="M204" s="14"/>
      <c r="N204" s="13"/>
      <c r="O204" s="14" t="s">
        <v>55</v>
      </c>
      <c r="P204" s="13"/>
      <c r="Q204" s="14"/>
      <c r="R204" s="13"/>
      <c r="S204" s="14" t="s">
        <v>55</v>
      </c>
      <c r="T204" s="15" t="n">
        <f>16.56</f>
        <v>16.56</v>
      </c>
      <c r="U204" s="16" t="str">
        <f>"－"</f>
        <v>－</v>
      </c>
      <c r="V204" s="16"/>
      <c r="W204" s="16"/>
      <c r="X204" s="16" t="str">
        <f>"－"</f>
        <v>－</v>
      </c>
      <c r="Y204" s="16"/>
      <c r="Z204" s="17"/>
      <c r="AA204" s="13" t="s">
        <v>56</v>
      </c>
      <c r="AB204" s="18" t="str">
        <f>"－"</f>
        <v>－</v>
      </c>
      <c r="AC204" s="18" t="str">
        <f>"－"</f>
        <v>－</v>
      </c>
      <c r="AD204" s="19" t="str">
        <f>"－"</f>
        <v>－</v>
      </c>
    </row>
    <row r="205">
      <c r="A205" s="9" t="s">
        <v>49</v>
      </c>
      <c r="B205" s="10" t="s">
        <v>292</v>
      </c>
      <c r="C205" s="10" t="s">
        <v>293</v>
      </c>
      <c r="D205" s="10" t="s">
        <v>73</v>
      </c>
      <c r="E205" s="11" t="s">
        <v>284</v>
      </c>
      <c r="F205" s="11" t="s">
        <v>54</v>
      </c>
      <c r="G205" s="12" t="n">
        <v>16800.0</v>
      </c>
      <c r="H205" s="13"/>
      <c r="I205" s="14" t="s">
        <v>55</v>
      </c>
      <c r="J205" s="13"/>
      <c r="K205" s="14" t="s">
        <v>55</v>
      </c>
      <c r="L205" s="13"/>
      <c r="M205" s="14"/>
      <c r="N205" s="13"/>
      <c r="O205" s="14" t="s">
        <v>55</v>
      </c>
      <c r="P205" s="13"/>
      <c r="Q205" s="14"/>
      <c r="R205" s="13"/>
      <c r="S205" s="14" t="s">
        <v>55</v>
      </c>
      <c r="T205" s="15" t="n">
        <f>15.94</f>
        <v>15.94</v>
      </c>
      <c r="U205" s="16" t="str">
        <f>"－"</f>
        <v>－</v>
      </c>
      <c r="V205" s="16"/>
      <c r="W205" s="16"/>
      <c r="X205" s="16" t="str">
        <f>"－"</f>
        <v>－</v>
      </c>
      <c r="Y205" s="16"/>
      <c r="Z205" s="17"/>
      <c r="AA205" s="13" t="s">
        <v>56</v>
      </c>
      <c r="AB205" s="18" t="str">
        <f>"－"</f>
        <v>－</v>
      </c>
      <c r="AC205" s="18" t="str">
        <f>"－"</f>
        <v>－</v>
      </c>
      <c r="AD205" s="19" t="str">
        <f>"－"</f>
        <v>－</v>
      </c>
    </row>
    <row r="206">
      <c r="A206" s="9" t="s">
        <v>49</v>
      </c>
      <c r="B206" s="10" t="s">
        <v>292</v>
      </c>
      <c r="C206" s="10" t="s">
        <v>293</v>
      </c>
      <c r="D206" s="10" t="s">
        <v>285</v>
      </c>
      <c r="E206" s="11" t="s">
        <v>267</v>
      </c>
      <c r="F206" s="11" t="s">
        <v>286</v>
      </c>
      <c r="G206" s="12" t="n">
        <v>16800.0</v>
      </c>
      <c r="H206" s="13"/>
      <c r="I206" s="14" t="s">
        <v>55</v>
      </c>
      <c r="J206" s="13"/>
      <c r="K206" s="14" t="s">
        <v>55</v>
      </c>
      <c r="L206" s="13"/>
      <c r="M206" s="14"/>
      <c r="N206" s="13"/>
      <c r="O206" s="14" t="s">
        <v>55</v>
      </c>
      <c r="P206" s="13"/>
      <c r="Q206" s="14"/>
      <c r="R206" s="13"/>
      <c r="S206" s="14" t="s">
        <v>55</v>
      </c>
      <c r="T206" s="15" t="n">
        <f>16.08</f>
        <v>16.08</v>
      </c>
      <c r="U206" s="16" t="str">
        <f>"－"</f>
        <v>－</v>
      </c>
      <c r="V206" s="16"/>
      <c r="W206" s="16"/>
      <c r="X206" s="16" t="str">
        <f>"－"</f>
        <v>－</v>
      </c>
      <c r="Y206" s="16"/>
      <c r="Z206" s="17"/>
      <c r="AA206" s="13"/>
      <c r="AB206" s="18" t="str">
        <f>"－"</f>
        <v>－</v>
      </c>
      <c r="AC206" s="18" t="str">
        <f>"－"</f>
        <v>－</v>
      </c>
      <c r="AD206" s="19" t="str">
        <f>"－"</f>
        <v>－</v>
      </c>
    </row>
    <row r="207">
      <c r="A207" s="9" t="s">
        <v>49</v>
      </c>
      <c r="B207" s="10" t="s">
        <v>292</v>
      </c>
      <c r="C207" s="10" t="s">
        <v>293</v>
      </c>
      <c r="D207" s="10" t="s">
        <v>287</v>
      </c>
      <c r="E207" s="11" t="s">
        <v>276</v>
      </c>
      <c r="F207" s="11" t="s">
        <v>288</v>
      </c>
      <c r="G207" s="12" t="n">
        <v>16800.0</v>
      </c>
      <c r="H207" s="13"/>
      <c r="I207" s="14" t="s">
        <v>55</v>
      </c>
      <c r="J207" s="13"/>
      <c r="K207" s="14" t="s">
        <v>55</v>
      </c>
      <c r="L207" s="13"/>
      <c r="M207" s="14"/>
      <c r="N207" s="13"/>
      <c r="O207" s="14" t="s">
        <v>55</v>
      </c>
      <c r="P207" s="13"/>
      <c r="Q207" s="14"/>
      <c r="R207" s="13"/>
      <c r="S207" s="14" t="s">
        <v>55</v>
      </c>
      <c r="T207" s="15" t="n">
        <f>17.43</f>
        <v>17.43</v>
      </c>
      <c r="U207" s="16" t="str">
        <f>"－"</f>
        <v>－</v>
      </c>
      <c r="V207" s="16"/>
      <c r="W207" s="16"/>
      <c r="X207" s="16" t="str">
        <f>"－"</f>
        <v>－</v>
      </c>
      <c r="Y207" s="16"/>
      <c r="Z207" s="17"/>
      <c r="AA207" s="13"/>
      <c r="AB207" s="18" t="str">
        <f>"－"</f>
        <v>－</v>
      </c>
      <c r="AC207" s="18" t="str">
        <f>"－"</f>
        <v>－</v>
      </c>
      <c r="AD207" s="19" t="str">
        <f>"－"</f>
        <v>－</v>
      </c>
    </row>
    <row r="208">
      <c r="A208" s="9" t="s">
        <v>49</v>
      </c>
      <c r="B208" s="10" t="s">
        <v>292</v>
      </c>
      <c r="C208" s="10" t="s">
        <v>293</v>
      </c>
      <c r="D208" s="10" t="s">
        <v>289</v>
      </c>
      <c r="E208" s="11" t="s">
        <v>278</v>
      </c>
      <c r="F208" s="11" t="s">
        <v>290</v>
      </c>
      <c r="G208" s="12" t="n">
        <v>16800.0</v>
      </c>
      <c r="H208" s="13"/>
      <c r="I208" s="14" t="s">
        <v>55</v>
      </c>
      <c r="J208" s="13"/>
      <c r="K208" s="14" t="s">
        <v>55</v>
      </c>
      <c r="L208" s="13"/>
      <c r="M208" s="14"/>
      <c r="N208" s="13"/>
      <c r="O208" s="14" t="s">
        <v>55</v>
      </c>
      <c r="P208" s="13"/>
      <c r="Q208" s="14"/>
      <c r="R208" s="13"/>
      <c r="S208" s="14" t="s">
        <v>55</v>
      </c>
      <c r="T208" s="15" t="n">
        <f>16.91</f>
        <v>16.91</v>
      </c>
      <c r="U208" s="16" t="str">
        <f>"－"</f>
        <v>－</v>
      </c>
      <c r="V208" s="16"/>
      <c r="W208" s="16"/>
      <c r="X208" s="16" t="str">
        <f>"－"</f>
        <v>－</v>
      </c>
      <c r="Y208" s="16"/>
      <c r="Z208" s="17"/>
      <c r="AA208" s="13"/>
      <c r="AB208" s="18" t="str">
        <f>"－"</f>
        <v>－</v>
      </c>
      <c r="AC208" s="18" t="str">
        <f>"－"</f>
        <v>－</v>
      </c>
      <c r="AD208" s="19" t="str">
        <f>"－"</f>
        <v>－</v>
      </c>
    </row>
    <row r="209">
      <c r="A209" s="9" t="s">
        <v>49</v>
      </c>
      <c r="B209" s="10" t="s">
        <v>292</v>
      </c>
      <c r="C209" s="10" t="s">
        <v>293</v>
      </c>
      <c r="D209" s="10" t="s">
        <v>59</v>
      </c>
      <c r="E209" s="11" t="s">
        <v>281</v>
      </c>
      <c r="F209" s="11" t="s">
        <v>291</v>
      </c>
      <c r="G209" s="12" t="n">
        <v>16800.0</v>
      </c>
      <c r="H209" s="13"/>
      <c r="I209" s="14" t="s">
        <v>55</v>
      </c>
      <c r="J209" s="13"/>
      <c r="K209" s="14" t="s">
        <v>55</v>
      </c>
      <c r="L209" s="13"/>
      <c r="M209" s="14"/>
      <c r="N209" s="13"/>
      <c r="O209" s="14" t="s">
        <v>55</v>
      </c>
      <c r="P209" s="13"/>
      <c r="Q209" s="14"/>
      <c r="R209" s="13"/>
      <c r="S209" s="14" t="s">
        <v>55</v>
      </c>
      <c r="T209" s="15" t="n">
        <f>16.41</f>
        <v>16.41</v>
      </c>
      <c r="U209" s="16" t="str">
        <f>"－"</f>
        <v>－</v>
      </c>
      <c r="V209" s="16"/>
      <c r="W209" s="16"/>
      <c r="X209" s="16" t="str">
        <f>"－"</f>
        <v>－</v>
      </c>
      <c r="Y209" s="16"/>
      <c r="Z209" s="17"/>
      <c r="AA209" s="13"/>
      <c r="AB209" s="18" t="str">
        <f>"－"</f>
        <v>－</v>
      </c>
      <c r="AC209" s="18" t="str">
        <f>"－"</f>
        <v>－</v>
      </c>
      <c r="AD209" s="19" t="str">
        <f>"－"</f>
        <v>－</v>
      </c>
    </row>
    <row r="210">
      <c r="A210" s="9" t="s">
        <v>49</v>
      </c>
      <c r="B210" s="10" t="s">
        <v>292</v>
      </c>
      <c r="C210" s="10" t="s">
        <v>293</v>
      </c>
      <c r="D210" s="10" t="s">
        <v>91</v>
      </c>
      <c r="E210" s="11" t="s">
        <v>73</v>
      </c>
      <c r="F210" s="11" t="s">
        <v>177</v>
      </c>
      <c r="G210" s="12" t="n">
        <v>16800.0</v>
      </c>
      <c r="H210" s="13"/>
      <c r="I210" s="14" t="s">
        <v>55</v>
      </c>
      <c r="J210" s="13"/>
      <c r="K210" s="14" t="s">
        <v>55</v>
      </c>
      <c r="L210" s="13"/>
      <c r="M210" s="14"/>
      <c r="N210" s="13"/>
      <c r="O210" s="14" t="s">
        <v>55</v>
      </c>
      <c r="P210" s="13"/>
      <c r="Q210" s="14"/>
      <c r="R210" s="13"/>
      <c r="S210" s="14" t="s">
        <v>55</v>
      </c>
      <c r="T210" s="15" t="n">
        <f>16.2</f>
        <v>16.2</v>
      </c>
      <c r="U210" s="16" t="str">
        <f>"－"</f>
        <v>－</v>
      </c>
      <c r="V210" s="16"/>
      <c r="W210" s="16"/>
      <c r="X210" s="16" t="str">
        <f>"－"</f>
        <v>－</v>
      </c>
      <c r="Y210" s="16"/>
      <c r="Z210" s="17"/>
      <c r="AA210" s="13"/>
      <c r="AB210" s="18" t="str">
        <f>"－"</f>
        <v>－</v>
      </c>
      <c r="AC210" s="18" t="str">
        <f>"－"</f>
        <v>－</v>
      </c>
      <c r="AD210" s="19" t="str">
        <f>"－"</f>
        <v>－</v>
      </c>
    </row>
    <row r="211">
      <c r="A211" s="9" t="s">
        <v>49</v>
      </c>
      <c r="B211" s="10" t="s">
        <v>294</v>
      </c>
      <c r="C211" s="10" t="s">
        <v>295</v>
      </c>
      <c r="D211" s="10" t="s">
        <v>276</v>
      </c>
      <c r="E211" s="11" t="s">
        <v>227</v>
      </c>
      <c r="F211" s="11" t="s">
        <v>277</v>
      </c>
      <c r="G211" s="12" t="n">
        <v>6000.0</v>
      </c>
      <c r="H211" s="13"/>
      <c r="I211" s="14" t="s">
        <v>55</v>
      </c>
      <c r="J211" s="13"/>
      <c r="K211" s="14" t="s">
        <v>55</v>
      </c>
      <c r="L211" s="13"/>
      <c r="M211" s="14"/>
      <c r="N211" s="13"/>
      <c r="O211" s="14" t="s">
        <v>55</v>
      </c>
      <c r="P211" s="13"/>
      <c r="Q211" s="14"/>
      <c r="R211" s="13"/>
      <c r="S211" s="14" t="s">
        <v>55</v>
      </c>
      <c r="T211" s="15" t="n">
        <f>27.38</f>
        <v>27.38</v>
      </c>
      <c r="U211" s="16" t="str">
        <f>"－"</f>
        <v>－</v>
      </c>
      <c r="V211" s="16"/>
      <c r="W211" s="16"/>
      <c r="X211" s="16" t="str">
        <f>"－"</f>
        <v>－</v>
      </c>
      <c r="Y211" s="16"/>
      <c r="Z211" s="17"/>
      <c r="AA211" s="13" t="s">
        <v>56</v>
      </c>
      <c r="AB211" s="18" t="str">
        <f>"－"</f>
        <v>－</v>
      </c>
      <c r="AC211" s="18" t="str">
        <f>"－"</f>
        <v>－</v>
      </c>
      <c r="AD211" s="19" t="str">
        <f>"－"</f>
        <v>－</v>
      </c>
    </row>
    <row r="212">
      <c r="A212" s="9" t="s">
        <v>49</v>
      </c>
      <c r="B212" s="10" t="s">
        <v>294</v>
      </c>
      <c r="C212" s="10" t="s">
        <v>295</v>
      </c>
      <c r="D212" s="10" t="s">
        <v>278</v>
      </c>
      <c r="E212" s="11" t="s">
        <v>279</v>
      </c>
      <c r="F212" s="11" t="s">
        <v>280</v>
      </c>
      <c r="G212" s="12" t="n">
        <v>6000.0</v>
      </c>
      <c r="H212" s="13"/>
      <c r="I212" s="14" t="s">
        <v>55</v>
      </c>
      <c r="J212" s="13"/>
      <c r="K212" s="14" t="s">
        <v>55</v>
      </c>
      <c r="L212" s="13"/>
      <c r="M212" s="14"/>
      <c r="N212" s="13"/>
      <c r="O212" s="14" t="s">
        <v>55</v>
      </c>
      <c r="P212" s="13"/>
      <c r="Q212" s="14"/>
      <c r="R212" s="13"/>
      <c r="S212" s="14" t="s">
        <v>55</v>
      </c>
      <c r="T212" s="15" t="n">
        <f>25.44</f>
        <v>25.44</v>
      </c>
      <c r="U212" s="16" t="str">
        <f>"－"</f>
        <v>－</v>
      </c>
      <c r="V212" s="16"/>
      <c r="W212" s="16"/>
      <c r="X212" s="16" t="str">
        <f>"－"</f>
        <v>－</v>
      </c>
      <c r="Y212" s="16"/>
      <c r="Z212" s="17"/>
      <c r="AA212" s="13" t="s">
        <v>56</v>
      </c>
      <c r="AB212" s="18" t="str">
        <f>"－"</f>
        <v>－</v>
      </c>
      <c r="AC212" s="18" t="str">
        <f>"－"</f>
        <v>－</v>
      </c>
      <c r="AD212" s="19" t="str">
        <f>"－"</f>
        <v>－</v>
      </c>
    </row>
    <row r="213">
      <c r="A213" s="9" t="s">
        <v>49</v>
      </c>
      <c r="B213" s="10" t="s">
        <v>294</v>
      </c>
      <c r="C213" s="10" t="s">
        <v>295</v>
      </c>
      <c r="D213" s="10" t="s">
        <v>281</v>
      </c>
      <c r="E213" s="11" t="s">
        <v>282</v>
      </c>
      <c r="F213" s="11" t="s">
        <v>283</v>
      </c>
      <c r="G213" s="12" t="n">
        <v>6000.0</v>
      </c>
      <c r="H213" s="13"/>
      <c r="I213" s="14" t="s">
        <v>55</v>
      </c>
      <c r="J213" s="13"/>
      <c r="K213" s="14" t="s">
        <v>55</v>
      </c>
      <c r="L213" s="13"/>
      <c r="M213" s="14"/>
      <c r="N213" s="13"/>
      <c r="O213" s="14" t="s">
        <v>55</v>
      </c>
      <c r="P213" s="13"/>
      <c r="Q213" s="14"/>
      <c r="R213" s="13"/>
      <c r="S213" s="14" t="s">
        <v>55</v>
      </c>
      <c r="T213" s="15" t="n">
        <f>25.41</f>
        <v>25.41</v>
      </c>
      <c r="U213" s="16" t="str">
        <f>"－"</f>
        <v>－</v>
      </c>
      <c r="V213" s="16"/>
      <c r="W213" s="16"/>
      <c r="X213" s="16" t="str">
        <f>"－"</f>
        <v>－</v>
      </c>
      <c r="Y213" s="16"/>
      <c r="Z213" s="17"/>
      <c r="AA213" s="13" t="s">
        <v>56</v>
      </c>
      <c r="AB213" s="18" t="str">
        <f>"－"</f>
        <v>－</v>
      </c>
      <c r="AC213" s="18" t="str">
        <f>"－"</f>
        <v>－</v>
      </c>
      <c r="AD213" s="19" t="str">
        <f>"－"</f>
        <v>－</v>
      </c>
    </row>
    <row r="214">
      <c r="A214" s="9" t="s">
        <v>49</v>
      </c>
      <c r="B214" s="10" t="s">
        <v>294</v>
      </c>
      <c r="C214" s="10" t="s">
        <v>295</v>
      </c>
      <c r="D214" s="10" t="s">
        <v>73</v>
      </c>
      <c r="E214" s="11" t="s">
        <v>284</v>
      </c>
      <c r="F214" s="11" t="s">
        <v>54</v>
      </c>
      <c r="G214" s="12" t="n">
        <v>6000.0</v>
      </c>
      <c r="H214" s="13"/>
      <c r="I214" s="14" t="s">
        <v>55</v>
      </c>
      <c r="J214" s="13"/>
      <c r="K214" s="14" t="s">
        <v>55</v>
      </c>
      <c r="L214" s="13"/>
      <c r="M214" s="14"/>
      <c r="N214" s="13"/>
      <c r="O214" s="14" t="s">
        <v>55</v>
      </c>
      <c r="P214" s="13"/>
      <c r="Q214" s="14"/>
      <c r="R214" s="13"/>
      <c r="S214" s="14" t="s">
        <v>55</v>
      </c>
      <c r="T214" s="15" t="n">
        <f>24.5</f>
        <v>24.5</v>
      </c>
      <c r="U214" s="16" t="str">
        <f>"－"</f>
        <v>－</v>
      </c>
      <c r="V214" s="16"/>
      <c r="W214" s="16"/>
      <c r="X214" s="16" t="str">
        <f>"－"</f>
        <v>－</v>
      </c>
      <c r="Y214" s="16"/>
      <c r="Z214" s="17"/>
      <c r="AA214" s="13" t="s">
        <v>56</v>
      </c>
      <c r="AB214" s="18" t="str">
        <f>"－"</f>
        <v>－</v>
      </c>
      <c r="AC214" s="18" t="str">
        <f>"－"</f>
        <v>－</v>
      </c>
      <c r="AD214" s="19" t="str">
        <f>"－"</f>
        <v>－</v>
      </c>
    </row>
    <row r="215">
      <c r="A215" s="9" t="s">
        <v>49</v>
      </c>
      <c r="B215" s="10" t="s">
        <v>294</v>
      </c>
      <c r="C215" s="10" t="s">
        <v>295</v>
      </c>
      <c r="D215" s="10" t="s">
        <v>285</v>
      </c>
      <c r="E215" s="11" t="s">
        <v>267</v>
      </c>
      <c r="F215" s="11" t="s">
        <v>286</v>
      </c>
      <c r="G215" s="12" t="n">
        <v>6000.0</v>
      </c>
      <c r="H215" s="13"/>
      <c r="I215" s="14" t="s">
        <v>55</v>
      </c>
      <c r="J215" s="13"/>
      <c r="K215" s="14" t="s">
        <v>55</v>
      </c>
      <c r="L215" s="13"/>
      <c r="M215" s="14"/>
      <c r="N215" s="13"/>
      <c r="O215" s="14" t="s">
        <v>55</v>
      </c>
      <c r="P215" s="13"/>
      <c r="Q215" s="14"/>
      <c r="R215" s="13"/>
      <c r="S215" s="14" t="s">
        <v>55</v>
      </c>
      <c r="T215" s="15" t="n">
        <f>25.13</f>
        <v>25.13</v>
      </c>
      <c r="U215" s="16" t="str">
        <f>"－"</f>
        <v>－</v>
      </c>
      <c r="V215" s="16"/>
      <c r="W215" s="16"/>
      <c r="X215" s="16" t="str">
        <f>"－"</f>
        <v>－</v>
      </c>
      <c r="Y215" s="16"/>
      <c r="Z215" s="17"/>
      <c r="AA215" s="13"/>
      <c r="AB215" s="18" t="str">
        <f>"－"</f>
        <v>－</v>
      </c>
      <c r="AC215" s="18" t="str">
        <f>"－"</f>
        <v>－</v>
      </c>
      <c r="AD215" s="19" t="str">
        <f>"－"</f>
        <v>－</v>
      </c>
    </row>
    <row r="216">
      <c r="A216" s="9" t="s">
        <v>49</v>
      </c>
      <c r="B216" s="10" t="s">
        <v>294</v>
      </c>
      <c r="C216" s="10" t="s">
        <v>295</v>
      </c>
      <c r="D216" s="10" t="s">
        <v>287</v>
      </c>
      <c r="E216" s="11" t="s">
        <v>276</v>
      </c>
      <c r="F216" s="11" t="s">
        <v>288</v>
      </c>
      <c r="G216" s="12" t="n">
        <v>6000.0</v>
      </c>
      <c r="H216" s="13"/>
      <c r="I216" s="14" t="s">
        <v>55</v>
      </c>
      <c r="J216" s="13"/>
      <c r="K216" s="14" t="s">
        <v>55</v>
      </c>
      <c r="L216" s="13"/>
      <c r="M216" s="14"/>
      <c r="N216" s="13"/>
      <c r="O216" s="14" t="s">
        <v>55</v>
      </c>
      <c r="P216" s="13"/>
      <c r="Q216" s="14"/>
      <c r="R216" s="13"/>
      <c r="S216" s="14" t="s">
        <v>55</v>
      </c>
      <c r="T216" s="15" t="n">
        <f>26.56</f>
        <v>26.56</v>
      </c>
      <c r="U216" s="16" t="str">
        <f>"－"</f>
        <v>－</v>
      </c>
      <c r="V216" s="16"/>
      <c r="W216" s="16"/>
      <c r="X216" s="16" t="str">
        <f>"－"</f>
        <v>－</v>
      </c>
      <c r="Y216" s="16"/>
      <c r="Z216" s="17"/>
      <c r="AA216" s="13"/>
      <c r="AB216" s="18" t="str">
        <f>"－"</f>
        <v>－</v>
      </c>
      <c r="AC216" s="18" t="str">
        <f>"－"</f>
        <v>－</v>
      </c>
      <c r="AD216" s="19" t="str">
        <f>"－"</f>
        <v>－</v>
      </c>
    </row>
    <row r="217">
      <c r="A217" s="9" t="s">
        <v>49</v>
      </c>
      <c r="B217" s="10" t="s">
        <v>294</v>
      </c>
      <c r="C217" s="10" t="s">
        <v>295</v>
      </c>
      <c r="D217" s="10" t="s">
        <v>289</v>
      </c>
      <c r="E217" s="11" t="s">
        <v>278</v>
      </c>
      <c r="F217" s="11" t="s">
        <v>290</v>
      </c>
      <c r="G217" s="12" t="n">
        <v>6000.0</v>
      </c>
      <c r="H217" s="13"/>
      <c r="I217" s="14" t="s">
        <v>55</v>
      </c>
      <c r="J217" s="13"/>
      <c r="K217" s="14" t="s">
        <v>55</v>
      </c>
      <c r="L217" s="13"/>
      <c r="M217" s="14"/>
      <c r="N217" s="13"/>
      <c r="O217" s="14" t="s">
        <v>55</v>
      </c>
      <c r="P217" s="13"/>
      <c r="Q217" s="14"/>
      <c r="R217" s="13"/>
      <c r="S217" s="14" t="s">
        <v>55</v>
      </c>
      <c r="T217" s="15" t="n">
        <f>25.87</f>
        <v>25.87</v>
      </c>
      <c r="U217" s="16" t="str">
        <f>"－"</f>
        <v>－</v>
      </c>
      <c r="V217" s="16"/>
      <c r="W217" s="16"/>
      <c r="X217" s="16" t="str">
        <f>"－"</f>
        <v>－</v>
      </c>
      <c r="Y217" s="16"/>
      <c r="Z217" s="17"/>
      <c r="AA217" s="13"/>
      <c r="AB217" s="18" t="str">
        <f>"－"</f>
        <v>－</v>
      </c>
      <c r="AC217" s="18" t="str">
        <f>"－"</f>
        <v>－</v>
      </c>
      <c r="AD217" s="19" t="str">
        <f>"－"</f>
        <v>－</v>
      </c>
    </row>
    <row r="218">
      <c r="A218" s="9" t="s">
        <v>49</v>
      </c>
      <c r="B218" s="10" t="s">
        <v>294</v>
      </c>
      <c r="C218" s="10" t="s">
        <v>295</v>
      </c>
      <c r="D218" s="10" t="s">
        <v>59</v>
      </c>
      <c r="E218" s="11" t="s">
        <v>281</v>
      </c>
      <c r="F218" s="11" t="s">
        <v>291</v>
      </c>
      <c r="G218" s="12" t="n">
        <v>4800.0</v>
      </c>
      <c r="H218" s="13"/>
      <c r="I218" s="14" t="s">
        <v>55</v>
      </c>
      <c r="J218" s="13"/>
      <c r="K218" s="14" t="s">
        <v>55</v>
      </c>
      <c r="L218" s="13"/>
      <c r="M218" s="14"/>
      <c r="N218" s="13"/>
      <c r="O218" s="14" t="s">
        <v>55</v>
      </c>
      <c r="P218" s="13"/>
      <c r="Q218" s="14"/>
      <c r="R218" s="13"/>
      <c r="S218" s="14" t="s">
        <v>55</v>
      </c>
      <c r="T218" s="15" t="n">
        <f>24.79</f>
        <v>24.79</v>
      </c>
      <c r="U218" s="16" t="str">
        <f>"－"</f>
        <v>－</v>
      </c>
      <c r="V218" s="16"/>
      <c r="W218" s="16"/>
      <c r="X218" s="16" t="str">
        <f>"－"</f>
        <v>－</v>
      </c>
      <c r="Y218" s="16"/>
      <c r="Z218" s="17"/>
      <c r="AA218" s="13"/>
      <c r="AB218" s="18" t="str">
        <f>"－"</f>
        <v>－</v>
      </c>
      <c r="AC218" s="18" t="str">
        <f>"－"</f>
        <v>－</v>
      </c>
      <c r="AD218" s="19" t="str">
        <f>"－"</f>
        <v>－</v>
      </c>
    </row>
    <row r="219">
      <c r="A219" s="9" t="s">
        <v>49</v>
      </c>
      <c r="B219" s="10" t="s">
        <v>294</v>
      </c>
      <c r="C219" s="10" t="s">
        <v>295</v>
      </c>
      <c r="D219" s="10" t="s">
        <v>91</v>
      </c>
      <c r="E219" s="11" t="s">
        <v>73</v>
      </c>
      <c r="F219" s="11" t="s">
        <v>177</v>
      </c>
      <c r="G219" s="12" t="n">
        <v>6000.0</v>
      </c>
      <c r="H219" s="13"/>
      <c r="I219" s="14" t="s">
        <v>55</v>
      </c>
      <c r="J219" s="13"/>
      <c r="K219" s="14" t="s">
        <v>55</v>
      </c>
      <c r="L219" s="13"/>
      <c r="M219" s="14"/>
      <c r="N219" s="13"/>
      <c r="O219" s="14" t="s">
        <v>55</v>
      </c>
      <c r="P219" s="13"/>
      <c r="Q219" s="14"/>
      <c r="R219" s="13"/>
      <c r="S219" s="14" t="s">
        <v>55</v>
      </c>
      <c r="T219" s="15" t="n">
        <f>23.23</f>
        <v>23.23</v>
      </c>
      <c r="U219" s="16" t="str">
        <f>"－"</f>
        <v>－</v>
      </c>
      <c r="V219" s="16"/>
      <c r="W219" s="16"/>
      <c r="X219" s="16" t="str">
        <f>"－"</f>
        <v>－</v>
      </c>
      <c r="Y219" s="16"/>
      <c r="Z219" s="17"/>
      <c r="AA219" s="13"/>
      <c r="AB219" s="18" t="str">
        <f>"－"</f>
        <v>－</v>
      </c>
      <c r="AC219" s="18" t="str">
        <f>"－"</f>
        <v>－</v>
      </c>
      <c r="AD219" s="19" t="str">
        <f>"－"</f>
        <v>－</v>
      </c>
    </row>
    <row r="220">
      <c r="A220" s="9" t="s">
        <v>49</v>
      </c>
      <c r="B220" s="10" t="s">
        <v>296</v>
      </c>
      <c r="C220" s="10" t="s">
        <v>297</v>
      </c>
      <c r="D220" s="10" t="s">
        <v>276</v>
      </c>
      <c r="E220" s="11" t="s">
        <v>227</v>
      </c>
      <c r="F220" s="11" t="s">
        <v>277</v>
      </c>
      <c r="G220" s="12" t="n">
        <v>6000.0</v>
      </c>
      <c r="H220" s="13"/>
      <c r="I220" s="14" t="s">
        <v>55</v>
      </c>
      <c r="J220" s="13"/>
      <c r="K220" s="14" t="s">
        <v>55</v>
      </c>
      <c r="L220" s="13"/>
      <c r="M220" s="14"/>
      <c r="N220" s="13"/>
      <c r="O220" s="14" t="s">
        <v>55</v>
      </c>
      <c r="P220" s="13"/>
      <c r="Q220" s="14"/>
      <c r="R220" s="13"/>
      <c r="S220" s="14" t="s">
        <v>55</v>
      </c>
      <c r="T220" s="15" t="n">
        <f>22.56</f>
        <v>22.56</v>
      </c>
      <c r="U220" s="16" t="str">
        <f>"－"</f>
        <v>－</v>
      </c>
      <c r="V220" s="16"/>
      <c r="W220" s="16"/>
      <c r="X220" s="16" t="str">
        <f>"－"</f>
        <v>－</v>
      </c>
      <c r="Y220" s="16"/>
      <c r="Z220" s="17"/>
      <c r="AA220" s="13" t="s">
        <v>56</v>
      </c>
      <c r="AB220" s="18" t="str">
        <f>"－"</f>
        <v>－</v>
      </c>
      <c r="AC220" s="18" t="str">
        <f>"－"</f>
        <v>－</v>
      </c>
      <c r="AD220" s="19" t="str">
        <f>"－"</f>
        <v>－</v>
      </c>
    </row>
    <row r="221">
      <c r="A221" s="9" t="s">
        <v>49</v>
      </c>
      <c r="B221" s="10" t="s">
        <v>296</v>
      </c>
      <c r="C221" s="10" t="s">
        <v>297</v>
      </c>
      <c r="D221" s="10" t="s">
        <v>278</v>
      </c>
      <c r="E221" s="11" t="s">
        <v>279</v>
      </c>
      <c r="F221" s="11" t="s">
        <v>280</v>
      </c>
      <c r="G221" s="12" t="n">
        <v>6000.0</v>
      </c>
      <c r="H221" s="13"/>
      <c r="I221" s="14" t="s">
        <v>55</v>
      </c>
      <c r="J221" s="13"/>
      <c r="K221" s="14" t="s">
        <v>55</v>
      </c>
      <c r="L221" s="13"/>
      <c r="M221" s="14"/>
      <c r="N221" s="13"/>
      <c r="O221" s="14" t="s">
        <v>55</v>
      </c>
      <c r="P221" s="13"/>
      <c r="Q221" s="14"/>
      <c r="R221" s="13"/>
      <c r="S221" s="14" t="s">
        <v>55</v>
      </c>
      <c r="T221" s="15" t="n">
        <f>20.66</f>
        <v>20.66</v>
      </c>
      <c r="U221" s="16" t="str">
        <f>"－"</f>
        <v>－</v>
      </c>
      <c r="V221" s="16"/>
      <c r="W221" s="16"/>
      <c r="X221" s="16" t="str">
        <f>"－"</f>
        <v>－</v>
      </c>
      <c r="Y221" s="16"/>
      <c r="Z221" s="17"/>
      <c r="AA221" s="13" t="s">
        <v>56</v>
      </c>
      <c r="AB221" s="18" t="str">
        <f>"－"</f>
        <v>－</v>
      </c>
      <c r="AC221" s="18" t="str">
        <f>"－"</f>
        <v>－</v>
      </c>
      <c r="AD221" s="19" t="str">
        <f>"－"</f>
        <v>－</v>
      </c>
    </row>
    <row r="222">
      <c r="A222" s="9" t="s">
        <v>49</v>
      </c>
      <c r="B222" s="10" t="s">
        <v>296</v>
      </c>
      <c r="C222" s="10" t="s">
        <v>297</v>
      </c>
      <c r="D222" s="10" t="s">
        <v>281</v>
      </c>
      <c r="E222" s="11" t="s">
        <v>282</v>
      </c>
      <c r="F222" s="11" t="s">
        <v>283</v>
      </c>
      <c r="G222" s="12" t="n">
        <v>6000.0</v>
      </c>
      <c r="H222" s="13"/>
      <c r="I222" s="14" t="s">
        <v>55</v>
      </c>
      <c r="J222" s="13"/>
      <c r="K222" s="14" t="s">
        <v>55</v>
      </c>
      <c r="L222" s="13"/>
      <c r="M222" s="14"/>
      <c r="N222" s="13"/>
      <c r="O222" s="14" t="s">
        <v>55</v>
      </c>
      <c r="P222" s="13"/>
      <c r="Q222" s="14"/>
      <c r="R222" s="13"/>
      <c r="S222" s="14" t="s">
        <v>55</v>
      </c>
      <c r="T222" s="15" t="n">
        <f>20.35</f>
        <v>20.35</v>
      </c>
      <c r="U222" s="16" t="str">
        <f>"－"</f>
        <v>－</v>
      </c>
      <c r="V222" s="16"/>
      <c r="W222" s="16"/>
      <c r="X222" s="16" t="str">
        <f>"－"</f>
        <v>－</v>
      </c>
      <c r="Y222" s="16"/>
      <c r="Z222" s="17"/>
      <c r="AA222" s="13" t="s">
        <v>56</v>
      </c>
      <c r="AB222" s="18" t="str">
        <f>"－"</f>
        <v>－</v>
      </c>
      <c r="AC222" s="18" t="str">
        <f>"－"</f>
        <v>－</v>
      </c>
      <c r="AD222" s="19" t="str">
        <f>"－"</f>
        <v>－</v>
      </c>
    </row>
    <row r="223">
      <c r="A223" s="9" t="s">
        <v>49</v>
      </c>
      <c r="B223" s="10" t="s">
        <v>296</v>
      </c>
      <c r="C223" s="10" t="s">
        <v>297</v>
      </c>
      <c r="D223" s="10" t="s">
        <v>73</v>
      </c>
      <c r="E223" s="11" t="s">
        <v>284</v>
      </c>
      <c r="F223" s="11" t="s">
        <v>54</v>
      </c>
      <c r="G223" s="12" t="n">
        <v>6000.0</v>
      </c>
      <c r="H223" s="13"/>
      <c r="I223" s="14" t="s">
        <v>55</v>
      </c>
      <c r="J223" s="13"/>
      <c r="K223" s="14" t="s">
        <v>55</v>
      </c>
      <c r="L223" s="13"/>
      <c r="M223" s="14"/>
      <c r="N223" s="13"/>
      <c r="O223" s="14" t="s">
        <v>55</v>
      </c>
      <c r="P223" s="13"/>
      <c r="Q223" s="14"/>
      <c r="R223" s="13"/>
      <c r="S223" s="14" t="s">
        <v>55</v>
      </c>
      <c r="T223" s="15" t="n">
        <f>19.97</f>
        <v>19.97</v>
      </c>
      <c r="U223" s="16" t="str">
        <f>"－"</f>
        <v>－</v>
      </c>
      <c r="V223" s="16"/>
      <c r="W223" s="16"/>
      <c r="X223" s="16" t="str">
        <f>"－"</f>
        <v>－</v>
      </c>
      <c r="Y223" s="16"/>
      <c r="Z223" s="17"/>
      <c r="AA223" s="13" t="s">
        <v>56</v>
      </c>
      <c r="AB223" s="18" t="str">
        <f>"－"</f>
        <v>－</v>
      </c>
      <c r="AC223" s="18" t="str">
        <f>"－"</f>
        <v>－</v>
      </c>
      <c r="AD223" s="19" t="str">
        <f>"－"</f>
        <v>－</v>
      </c>
    </row>
    <row r="224">
      <c r="A224" s="9" t="s">
        <v>49</v>
      </c>
      <c r="B224" s="10" t="s">
        <v>296</v>
      </c>
      <c r="C224" s="10" t="s">
        <v>297</v>
      </c>
      <c r="D224" s="10" t="s">
        <v>285</v>
      </c>
      <c r="E224" s="11" t="s">
        <v>267</v>
      </c>
      <c r="F224" s="11" t="s">
        <v>286</v>
      </c>
      <c r="G224" s="12" t="n">
        <v>6000.0</v>
      </c>
      <c r="H224" s="13"/>
      <c r="I224" s="14" t="s">
        <v>55</v>
      </c>
      <c r="J224" s="13"/>
      <c r="K224" s="14" t="s">
        <v>55</v>
      </c>
      <c r="L224" s="13"/>
      <c r="M224" s="14"/>
      <c r="N224" s="13"/>
      <c r="O224" s="14" t="s">
        <v>55</v>
      </c>
      <c r="P224" s="13"/>
      <c r="Q224" s="14"/>
      <c r="R224" s="13"/>
      <c r="S224" s="14" t="s">
        <v>55</v>
      </c>
      <c r="T224" s="15" t="n">
        <f>21.65</f>
        <v>21.65</v>
      </c>
      <c r="U224" s="16" t="str">
        <f>"－"</f>
        <v>－</v>
      </c>
      <c r="V224" s="16"/>
      <c r="W224" s="16"/>
      <c r="X224" s="16" t="str">
        <f>"－"</f>
        <v>－</v>
      </c>
      <c r="Y224" s="16"/>
      <c r="Z224" s="17"/>
      <c r="AA224" s="13"/>
      <c r="AB224" s="18" t="str">
        <f>"－"</f>
        <v>－</v>
      </c>
      <c r="AC224" s="18" t="str">
        <f>"－"</f>
        <v>－</v>
      </c>
      <c r="AD224" s="19" t="str">
        <f>"－"</f>
        <v>－</v>
      </c>
    </row>
    <row r="225">
      <c r="A225" s="9" t="s">
        <v>49</v>
      </c>
      <c r="B225" s="10" t="s">
        <v>296</v>
      </c>
      <c r="C225" s="10" t="s">
        <v>297</v>
      </c>
      <c r="D225" s="10" t="s">
        <v>287</v>
      </c>
      <c r="E225" s="11" t="s">
        <v>276</v>
      </c>
      <c r="F225" s="11" t="s">
        <v>288</v>
      </c>
      <c r="G225" s="12" t="n">
        <v>6000.0</v>
      </c>
      <c r="H225" s="13"/>
      <c r="I225" s="14" t="s">
        <v>55</v>
      </c>
      <c r="J225" s="13"/>
      <c r="K225" s="14" t="s">
        <v>55</v>
      </c>
      <c r="L225" s="13"/>
      <c r="M225" s="14"/>
      <c r="N225" s="13"/>
      <c r="O225" s="14" t="s">
        <v>55</v>
      </c>
      <c r="P225" s="13"/>
      <c r="Q225" s="14"/>
      <c r="R225" s="13"/>
      <c r="S225" s="14" t="s">
        <v>55</v>
      </c>
      <c r="T225" s="15" t="n">
        <f>23.36</f>
        <v>23.36</v>
      </c>
      <c r="U225" s="16" t="str">
        <f>"－"</f>
        <v>－</v>
      </c>
      <c r="V225" s="16"/>
      <c r="W225" s="16"/>
      <c r="X225" s="16" t="str">
        <f>"－"</f>
        <v>－</v>
      </c>
      <c r="Y225" s="16"/>
      <c r="Z225" s="17"/>
      <c r="AA225" s="13"/>
      <c r="AB225" s="18" t="str">
        <f>"－"</f>
        <v>－</v>
      </c>
      <c r="AC225" s="18" t="str">
        <f>"－"</f>
        <v>－</v>
      </c>
      <c r="AD225" s="19" t="str">
        <f>"－"</f>
        <v>－</v>
      </c>
    </row>
    <row r="226">
      <c r="A226" s="9" t="s">
        <v>49</v>
      </c>
      <c r="B226" s="10" t="s">
        <v>296</v>
      </c>
      <c r="C226" s="10" t="s">
        <v>297</v>
      </c>
      <c r="D226" s="10" t="s">
        <v>289</v>
      </c>
      <c r="E226" s="11" t="s">
        <v>278</v>
      </c>
      <c r="F226" s="11" t="s">
        <v>290</v>
      </c>
      <c r="G226" s="12" t="n">
        <v>6000.0</v>
      </c>
      <c r="H226" s="13"/>
      <c r="I226" s="14" t="s">
        <v>55</v>
      </c>
      <c r="J226" s="13"/>
      <c r="K226" s="14" t="s">
        <v>55</v>
      </c>
      <c r="L226" s="13"/>
      <c r="M226" s="14"/>
      <c r="N226" s="13"/>
      <c r="O226" s="14" t="s">
        <v>55</v>
      </c>
      <c r="P226" s="13"/>
      <c r="Q226" s="14"/>
      <c r="R226" s="13"/>
      <c r="S226" s="14" t="s">
        <v>55</v>
      </c>
      <c r="T226" s="15" t="n">
        <f>22.38</f>
        <v>22.38</v>
      </c>
      <c r="U226" s="16" t="str">
        <f>"－"</f>
        <v>－</v>
      </c>
      <c r="V226" s="16"/>
      <c r="W226" s="16"/>
      <c r="X226" s="16" t="str">
        <f>"－"</f>
        <v>－</v>
      </c>
      <c r="Y226" s="16"/>
      <c r="Z226" s="17"/>
      <c r="AA226" s="13"/>
      <c r="AB226" s="18" t="str">
        <f>"－"</f>
        <v>－</v>
      </c>
      <c r="AC226" s="18" t="str">
        <f>"－"</f>
        <v>－</v>
      </c>
      <c r="AD226" s="19" t="str">
        <f>"－"</f>
        <v>－</v>
      </c>
    </row>
    <row r="227">
      <c r="A227" s="9" t="s">
        <v>49</v>
      </c>
      <c r="B227" s="10" t="s">
        <v>296</v>
      </c>
      <c r="C227" s="10" t="s">
        <v>297</v>
      </c>
      <c r="D227" s="10" t="s">
        <v>59</v>
      </c>
      <c r="E227" s="11" t="s">
        <v>281</v>
      </c>
      <c r="F227" s="11" t="s">
        <v>291</v>
      </c>
      <c r="G227" s="12" t="n">
        <v>4800.0</v>
      </c>
      <c r="H227" s="13"/>
      <c r="I227" s="14" t="s">
        <v>55</v>
      </c>
      <c r="J227" s="13"/>
      <c r="K227" s="14" t="s">
        <v>55</v>
      </c>
      <c r="L227" s="13"/>
      <c r="M227" s="14"/>
      <c r="N227" s="13"/>
      <c r="O227" s="14" t="s">
        <v>55</v>
      </c>
      <c r="P227" s="13"/>
      <c r="Q227" s="14"/>
      <c r="R227" s="13"/>
      <c r="S227" s="14" t="s">
        <v>55</v>
      </c>
      <c r="T227" s="15" t="n">
        <f>22.27</f>
        <v>22.27</v>
      </c>
      <c r="U227" s="16" t="str">
        <f>"－"</f>
        <v>－</v>
      </c>
      <c r="V227" s="16"/>
      <c r="W227" s="16"/>
      <c r="X227" s="16" t="str">
        <f>"－"</f>
        <v>－</v>
      </c>
      <c r="Y227" s="16"/>
      <c r="Z227" s="17"/>
      <c r="AA227" s="13"/>
      <c r="AB227" s="18" t="str">
        <f>"－"</f>
        <v>－</v>
      </c>
      <c r="AC227" s="18" t="str">
        <f>"－"</f>
        <v>－</v>
      </c>
      <c r="AD227" s="19" t="str">
        <f>"－"</f>
        <v>－</v>
      </c>
    </row>
    <row r="228">
      <c r="A228" s="9" t="s">
        <v>49</v>
      </c>
      <c r="B228" s="10" t="s">
        <v>296</v>
      </c>
      <c r="C228" s="10" t="s">
        <v>297</v>
      </c>
      <c r="D228" s="10" t="s">
        <v>91</v>
      </c>
      <c r="E228" s="11" t="s">
        <v>73</v>
      </c>
      <c r="F228" s="11" t="s">
        <v>177</v>
      </c>
      <c r="G228" s="12" t="n">
        <v>6000.0</v>
      </c>
      <c r="H228" s="13"/>
      <c r="I228" s="14" t="s">
        <v>55</v>
      </c>
      <c r="J228" s="13"/>
      <c r="K228" s="14" t="s">
        <v>55</v>
      </c>
      <c r="L228" s="13"/>
      <c r="M228" s="14"/>
      <c r="N228" s="13"/>
      <c r="O228" s="14" t="s">
        <v>55</v>
      </c>
      <c r="P228" s="13"/>
      <c r="Q228" s="14"/>
      <c r="R228" s="13"/>
      <c r="S228" s="14" t="s">
        <v>55</v>
      </c>
      <c r="T228" s="15" t="n">
        <f>21.2</f>
        <v>21.2</v>
      </c>
      <c r="U228" s="16" t="str">
        <f>"－"</f>
        <v>－</v>
      </c>
      <c r="V228" s="16"/>
      <c r="W228" s="16"/>
      <c r="X228" s="16" t="str">
        <f>"－"</f>
        <v>－</v>
      </c>
      <c r="Y228" s="16"/>
      <c r="Z228" s="17"/>
      <c r="AA228" s="13"/>
      <c r="AB228" s="18" t="str">
        <f>"－"</f>
        <v>－</v>
      </c>
      <c r="AC228" s="18" t="str">
        <f>"－"</f>
        <v>－</v>
      </c>
      <c r="AD228" s="19" t="str">
        <f>"－"</f>
        <v>－</v>
      </c>
    </row>
    <row r="229">
      <c r="A229" s="9" t="s">
        <v>49</v>
      </c>
      <c r="B229" s="10" t="s">
        <v>298</v>
      </c>
      <c r="C229" s="10" t="s">
        <v>299</v>
      </c>
      <c r="D229" s="10" t="s">
        <v>300</v>
      </c>
      <c r="E229" s="11" t="s">
        <v>301</v>
      </c>
      <c r="F229" s="11" t="s">
        <v>302</v>
      </c>
      <c r="G229" s="12" t="n">
        <v>878400.0</v>
      </c>
      <c r="H229" s="13"/>
      <c r="I229" s="14" t="s">
        <v>55</v>
      </c>
      <c r="J229" s="13"/>
      <c r="K229" s="14" t="s">
        <v>55</v>
      </c>
      <c r="L229" s="13"/>
      <c r="M229" s="14"/>
      <c r="N229" s="13"/>
      <c r="O229" s="14" t="s">
        <v>55</v>
      </c>
      <c r="P229" s="13"/>
      <c r="Q229" s="14"/>
      <c r="R229" s="13"/>
      <c r="S229" s="14" t="s">
        <v>55</v>
      </c>
      <c r="T229" s="15" t="n">
        <f>15.42</f>
        <v>15.42</v>
      </c>
      <c r="U229" s="16" t="str">
        <f>"－"</f>
        <v>－</v>
      </c>
      <c r="V229" s="16"/>
      <c r="W229" s="16"/>
      <c r="X229" s="16" t="str">
        <f>"－"</f>
        <v>－</v>
      </c>
      <c r="Y229" s="16"/>
      <c r="Z229" s="17"/>
      <c r="AA229" s="13"/>
      <c r="AB229" s="18" t="n">
        <f>10</f>
        <v>10.0</v>
      </c>
      <c r="AC229" s="18" t="str">
        <f>"－"</f>
        <v>－</v>
      </c>
      <c r="AD229" s="19" t="str">
        <f>"－"</f>
        <v>－</v>
      </c>
    </row>
    <row r="230">
      <c r="A230" s="9" t="s">
        <v>49</v>
      </c>
      <c r="B230" s="10" t="s">
        <v>298</v>
      </c>
      <c r="C230" s="10" t="s">
        <v>299</v>
      </c>
      <c r="D230" s="10" t="s">
        <v>303</v>
      </c>
      <c r="E230" s="11" t="s">
        <v>157</v>
      </c>
      <c r="F230" s="11" t="s">
        <v>304</v>
      </c>
      <c r="G230" s="12" t="n">
        <v>876000.0</v>
      </c>
      <c r="H230" s="13"/>
      <c r="I230" s="14" t="s">
        <v>55</v>
      </c>
      <c r="J230" s="13"/>
      <c r="K230" s="14" t="s">
        <v>55</v>
      </c>
      <c r="L230" s="13"/>
      <c r="M230" s="14"/>
      <c r="N230" s="13"/>
      <c r="O230" s="14" t="s">
        <v>55</v>
      </c>
      <c r="P230" s="13"/>
      <c r="Q230" s="14"/>
      <c r="R230" s="13"/>
      <c r="S230" s="14" t="s">
        <v>55</v>
      </c>
      <c r="T230" s="15" t="n">
        <f>14.16</f>
        <v>14.16</v>
      </c>
      <c r="U230" s="16" t="str">
        <f>"－"</f>
        <v>－</v>
      </c>
      <c r="V230" s="16"/>
      <c r="W230" s="16"/>
      <c r="X230" s="16" t="str">
        <f>"－"</f>
        <v>－</v>
      </c>
      <c r="Y230" s="16"/>
      <c r="Z230" s="17"/>
      <c r="AA230" s="13"/>
      <c r="AB230" s="18" t="str">
        <f>"－"</f>
        <v>－</v>
      </c>
      <c r="AC230" s="18" t="str">
        <f>"－"</f>
        <v>－</v>
      </c>
      <c r="AD230" s="19" t="str">
        <f>"－"</f>
        <v>－</v>
      </c>
    </row>
    <row r="231">
      <c r="A231" s="9" t="s">
        <v>49</v>
      </c>
      <c r="B231" s="10" t="s">
        <v>305</v>
      </c>
      <c r="C231" s="10" t="s">
        <v>306</v>
      </c>
      <c r="D231" s="10" t="s">
        <v>300</v>
      </c>
      <c r="E231" s="11" t="s">
        <v>301</v>
      </c>
      <c r="F231" s="11" t="s">
        <v>302</v>
      </c>
      <c r="G231" s="12" t="n">
        <v>878400.0</v>
      </c>
      <c r="H231" s="13"/>
      <c r="I231" s="14" t="s">
        <v>55</v>
      </c>
      <c r="J231" s="13"/>
      <c r="K231" s="14" t="s">
        <v>55</v>
      </c>
      <c r="L231" s="13"/>
      <c r="M231" s="14"/>
      <c r="N231" s="13"/>
      <c r="O231" s="14" t="s">
        <v>55</v>
      </c>
      <c r="P231" s="13"/>
      <c r="Q231" s="14"/>
      <c r="R231" s="13"/>
      <c r="S231" s="14" t="s">
        <v>55</v>
      </c>
      <c r="T231" s="15" t="n">
        <f>13.83</f>
        <v>13.83</v>
      </c>
      <c r="U231" s="16" t="str">
        <f>"－"</f>
        <v>－</v>
      </c>
      <c r="V231" s="16"/>
      <c r="W231" s="16"/>
      <c r="X231" s="16" t="str">
        <f>"－"</f>
        <v>－</v>
      </c>
      <c r="Y231" s="16"/>
      <c r="Z231" s="17"/>
      <c r="AA231" s="13"/>
      <c r="AB231" s="18" t="str">
        <f>"－"</f>
        <v>－</v>
      </c>
      <c r="AC231" s="18" t="str">
        <f>"－"</f>
        <v>－</v>
      </c>
      <c r="AD231" s="19" t="str">
        <f>"－"</f>
        <v>－</v>
      </c>
    </row>
    <row r="232">
      <c r="A232" s="9" t="s">
        <v>49</v>
      </c>
      <c r="B232" s="10" t="s">
        <v>305</v>
      </c>
      <c r="C232" s="10" t="s">
        <v>306</v>
      </c>
      <c r="D232" s="10" t="s">
        <v>303</v>
      </c>
      <c r="E232" s="11" t="s">
        <v>157</v>
      </c>
      <c r="F232" s="11" t="s">
        <v>304</v>
      </c>
      <c r="G232" s="12" t="n">
        <v>876000.0</v>
      </c>
      <c r="H232" s="13"/>
      <c r="I232" s="14" t="s">
        <v>55</v>
      </c>
      <c r="J232" s="13"/>
      <c r="K232" s="14" t="s">
        <v>55</v>
      </c>
      <c r="L232" s="13"/>
      <c r="M232" s="14"/>
      <c r="N232" s="13"/>
      <c r="O232" s="14" t="s">
        <v>55</v>
      </c>
      <c r="P232" s="13"/>
      <c r="Q232" s="14"/>
      <c r="R232" s="13"/>
      <c r="S232" s="14" t="s">
        <v>55</v>
      </c>
      <c r="T232" s="15" t="n">
        <f>12.75</f>
        <v>12.75</v>
      </c>
      <c r="U232" s="16" t="str">
        <f>"－"</f>
        <v>－</v>
      </c>
      <c r="V232" s="16"/>
      <c r="W232" s="16"/>
      <c r="X232" s="16" t="str">
        <f>"－"</f>
        <v>－</v>
      </c>
      <c r="Y232" s="16"/>
      <c r="Z232" s="17"/>
      <c r="AA232" s="13"/>
      <c r="AB232" s="18" t="str">
        <f>"－"</f>
        <v>－</v>
      </c>
      <c r="AC232" s="18" t="str">
        <f>"－"</f>
        <v>－</v>
      </c>
      <c r="AD232" s="19" t="str">
        <f>"－"</f>
        <v>－</v>
      </c>
    </row>
    <row r="233">
      <c r="A233" s="9" t="s">
        <v>49</v>
      </c>
      <c r="B233" s="10" t="s">
        <v>307</v>
      </c>
      <c r="C233" s="10" t="s">
        <v>308</v>
      </c>
      <c r="D233" s="10" t="s">
        <v>300</v>
      </c>
      <c r="E233" s="11" t="s">
        <v>241</v>
      </c>
      <c r="F233" s="11" t="s">
        <v>302</v>
      </c>
      <c r="G233" s="12" t="n">
        <v>878400.0</v>
      </c>
      <c r="H233" s="13"/>
      <c r="I233" s="14" t="s">
        <v>55</v>
      </c>
      <c r="J233" s="13"/>
      <c r="K233" s="14" t="s">
        <v>55</v>
      </c>
      <c r="L233" s="13"/>
      <c r="M233" s="14"/>
      <c r="N233" s="13"/>
      <c r="O233" s="14" t="s">
        <v>55</v>
      </c>
      <c r="P233" s="13"/>
      <c r="Q233" s="14"/>
      <c r="R233" s="13"/>
      <c r="S233" s="14" t="s">
        <v>55</v>
      </c>
      <c r="T233" s="15" t="n">
        <f>14.52</f>
        <v>14.52</v>
      </c>
      <c r="U233" s="16" t="str">
        <f>"－"</f>
        <v>－</v>
      </c>
      <c r="V233" s="16"/>
      <c r="W233" s="16"/>
      <c r="X233" s="16" t="str">
        <f>"－"</f>
        <v>－</v>
      </c>
      <c r="Y233" s="16"/>
      <c r="Z233" s="17"/>
      <c r="AA233" s="13"/>
      <c r="AB233" s="18" t="str">
        <f>"－"</f>
        <v>－</v>
      </c>
      <c r="AC233" s="18" t="str">
        <f>"－"</f>
        <v>－</v>
      </c>
      <c r="AD233" s="19" t="str">
        <f>"－"</f>
        <v>－</v>
      </c>
    </row>
    <row r="234">
      <c r="A234" s="9" t="s">
        <v>49</v>
      </c>
      <c r="B234" s="10" t="s">
        <v>307</v>
      </c>
      <c r="C234" s="10" t="s">
        <v>308</v>
      </c>
      <c r="D234" s="10" t="s">
        <v>303</v>
      </c>
      <c r="E234" s="11" t="s">
        <v>241</v>
      </c>
      <c r="F234" s="11" t="s">
        <v>304</v>
      </c>
      <c r="G234" s="12" t="n">
        <v>876000.0</v>
      </c>
      <c r="H234" s="13"/>
      <c r="I234" s="14" t="s">
        <v>55</v>
      </c>
      <c r="J234" s="13"/>
      <c r="K234" s="14" t="s">
        <v>55</v>
      </c>
      <c r="L234" s="13"/>
      <c r="M234" s="14"/>
      <c r="N234" s="13"/>
      <c r="O234" s="14" t="s">
        <v>55</v>
      </c>
      <c r="P234" s="13"/>
      <c r="Q234" s="14"/>
      <c r="R234" s="13"/>
      <c r="S234" s="14" t="s">
        <v>55</v>
      </c>
      <c r="T234" s="15" t="n">
        <f>13.14</f>
        <v>13.14</v>
      </c>
      <c r="U234" s="16" t="str">
        <f>"－"</f>
        <v>－</v>
      </c>
      <c r="V234" s="16"/>
      <c r="W234" s="16"/>
      <c r="X234" s="16" t="str">
        <f>"－"</f>
        <v>－</v>
      </c>
      <c r="Y234" s="16"/>
      <c r="Z234" s="17"/>
      <c r="AA234" s="13"/>
      <c r="AB234" s="18" t="str">
        <f>"－"</f>
        <v>－</v>
      </c>
      <c r="AC234" s="18" t="str">
        <f>"－"</f>
        <v>－</v>
      </c>
      <c r="AD234" s="19" t="str">
        <f>"－"</f>
        <v>－</v>
      </c>
    </row>
    <row r="235">
      <c r="A235" s="9" t="s">
        <v>49</v>
      </c>
      <c r="B235" s="10" t="s">
        <v>309</v>
      </c>
      <c r="C235" s="10" t="s">
        <v>310</v>
      </c>
      <c r="D235" s="10" t="s">
        <v>300</v>
      </c>
      <c r="E235" s="11" t="s">
        <v>301</v>
      </c>
      <c r="F235" s="11" t="s">
        <v>302</v>
      </c>
      <c r="G235" s="12" t="n">
        <v>292800.0</v>
      </c>
      <c r="H235" s="13"/>
      <c r="I235" s="14" t="s">
        <v>55</v>
      </c>
      <c r="J235" s="13"/>
      <c r="K235" s="14" t="s">
        <v>55</v>
      </c>
      <c r="L235" s="13"/>
      <c r="M235" s="14"/>
      <c r="N235" s="13"/>
      <c r="O235" s="14" t="s">
        <v>55</v>
      </c>
      <c r="P235" s="13"/>
      <c r="Q235" s="14"/>
      <c r="R235" s="13"/>
      <c r="S235" s="14" t="s">
        <v>55</v>
      </c>
      <c r="T235" s="15" t="n">
        <f>17.59</f>
        <v>17.59</v>
      </c>
      <c r="U235" s="16" t="str">
        <f>"－"</f>
        <v>－</v>
      </c>
      <c r="V235" s="16"/>
      <c r="W235" s="16"/>
      <c r="X235" s="16" t="str">
        <f>"－"</f>
        <v>－</v>
      </c>
      <c r="Y235" s="16"/>
      <c r="Z235" s="17"/>
      <c r="AA235" s="13"/>
      <c r="AB235" s="18" t="str">
        <f>"－"</f>
        <v>－</v>
      </c>
      <c r="AC235" s="18" t="str">
        <f>"－"</f>
        <v>－</v>
      </c>
      <c r="AD235" s="19" t="str">
        <f>"－"</f>
        <v>－</v>
      </c>
    </row>
    <row r="236">
      <c r="A236" s="9" t="s">
        <v>49</v>
      </c>
      <c r="B236" s="10" t="s">
        <v>309</v>
      </c>
      <c r="C236" s="10" t="s">
        <v>310</v>
      </c>
      <c r="D236" s="10" t="s">
        <v>303</v>
      </c>
      <c r="E236" s="11" t="s">
        <v>157</v>
      </c>
      <c r="F236" s="11" t="s">
        <v>304</v>
      </c>
      <c r="G236" s="12" t="n">
        <v>289200.0</v>
      </c>
      <c r="H236" s="13"/>
      <c r="I236" s="14" t="s">
        <v>55</v>
      </c>
      <c r="J236" s="13"/>
      <c r="K236" s="14" t="s">
        <v>55</v>
      </c>
      <c r="L236" s="13"/>
      <c r="M236" s="14"/>
      <c r="N236" s="13"/>
      <c r="O236" s="14" t="s">
        <v>55</v>
      </c>
      <c r="P236" s="13"/>
      <c r="Q236" s="14"/>
      <c r="R236" s="13"/>
      <c r="S236" s="14" t="s">
        <v>55</v>
      </c>
      <c r="T236" s="15" t="n">
        <f>16.49</f>
        <v>16.49</v>
      </c>
      <c r="U236" s="16" t="str">
        <f>"－"</f>
        <v>－</v>
      </c>
      <c r="V236" s="16"/>
      <c r="W236" s="16"/>
      <c r="X236" s="16" t="str">
        <f>"－"</f>
        <v>－</v>
      </c>
      <c r="Y236" s="16"/>
      <c r="Z236" s="17"/>
      <c r="AA236" s="13"/>
      <c r="AB236" s="18" t="str">
        <f>"－"</f>
        <v>－</v>
      </c>
      <c r="AC236" s="18" t="str">
        <f>"－"</f>
        <v>－</v>
      </c>
      <c r="AD236" s="19" t="str">
        <f>"－"</f>
        <v>－</v>
      </c>
    </row>
    <row r="237">
      <c r="A237" s="9" t="s">
        <v>49</v>
      </c>
      <c r="B237" s="10" t="s">
        <v>311</v>
      </c>
      <c r="C237" s="10" t="s">
        <v>312</v>
      </c>
      <c r="D237" s="10" t="s">
        <v>300</v>
      </c>
      <c r="E237" s="11" t="s">
        <v>301</v>
      </c>
      <c r="F237" s="11" t="s">
        <v>302</v>
      </c>
      <c r="G237" s="12" t="n">
        <v>292800.0</v>
      </c>
      <c r="H237" s="13"/>
      <c r="I237" s="14" t="s">
        <v>55</v>
      </c>
      <c r="J237" s="13"/>
      <c r="K237" s="14" t="s">
        <v>55</v>
      </c>
      <c r="L237" s="13"/>
      <c r="M237" s="14"/>
      <c r="N237" s="13"/>
      <c r="O237" s="14" t="s">
        <v>55</v>
      </c>
      <c r="P237" s="13"/>
      <c r="Q237" s="14"/>
      <c r="R237" s="13"/>
      <c r="S237" s="14" t="s">
        <v>55</v>
      </c>
      <c r="T237" s="15" t="n">
        <f>15.94</f>
        <v>15.94</v>
      </c>
      <c r="U237" s="16" t="str">
        <f>"－"</f>
        <v>－</v>
      </c>
      <c r="V237" s="16"/>
      <c r="W237" s="16"/>
      <c r="X237" s="16" t="str">
        <f>"－"</f>
        <v>－</v>
      </c>
      <c r="Y237" s="16"/>
      <c r="Z237" s="17"/>
      <c r="AA237" s="13"/>
      <c r="AB237" s="18" t="str">
        <f>"－"</f>
        <v>－</v>
      </c>
      <c r="AC237" s="18" t="str">
        <f>"－"</f>
        <v>－</v>
      </c>
      <c r="AD237" s="19" t="str">
        <f>"－"</f>
        <v>－</v>
      </c>
    </row>
    <row r="238">
      <c r="A238" s="9" t="s">
        <v>49</v>
      </c>
      <c r="B238" s="10" t="s">
        <v>311</v>
      </c>
      <c r="C238" s="10" t="s">
        <v>312</v>
      </c>
      <c r="D238" s="10" t="s">
        <v>303</v>
      </c>
      <c r="E238" s="11" t="s">
        <v>157</v>
      </c>
      <c r="F238" s="11" t="s">
        <v>304</v>
      </c>
      <c r="G238" s="12" t="n">
        <v>289200.0</v>
      </c>
      <c r="H238" s="13"/>
      <c r="I238" s="14" t="s">
        <v>55</v>
      </c>
      <c r="J238" s="13"/>
      <c r="K238" s="14" t="s">
        <v>55</v>
      </c>
      <c r="L238" s="13"/>
      <c r="M238" s="14"/>
      <c r="N238" s="13"/>
      <c r="O238" s="14" t="s">
        <v>55</v>
      </c>
      <c r="P238" s="13"/>
      <c r="Q238" s="14"/>
      <c r="R238" s="13"/>
      <c r="S238" s="14" t="s">
        <v>55</v>
      </c>
      <c r="T238" s="15" t="n">
        <f>15.04</f>
        <v>15.04</v>
      </c>
      <c r="U238" s="16" t="str">
        <f>"－"</f>
        <v>－</v>
      </c>
      <c r="V238" s="16"/>
      <c r="W238" s="16"/>
      <c r="X238" s="16" t="str">
        <f>"－"</f>
        <v>－</v>
      </c>
      <c r="Y238" s="16"/>
      <c r="Z238" s="17"/>
      <c r="AA238" s="13"/>
      <c r="AB238" s="18" t="str">
        <f>"－"</f>
        <v>－</v>
      </c>
      <c r="AC238" s="18" t="str">
        <f>"－"</f>
        <v>－</v>
      </c>
      <c r="AD238" s="19" t="str">
        <f>"－"</f>
        <v>－</v>
      </c>
    </row>
    <row r="239">
      <c r="A239" s="9" t="s">
        <v>49</v>
      </c>
      <c r="B239" s="10" t="s">
        <v>313</v>
      </c>
      <c r="C239" s="10" t="s">
        <v>314</v>
      </c>
      <c r="D239" s="10" t="s">
        <v>300</v>
      </c>
      <c r="E239" s="11" t="s">
        <v>241</v>
      </c>
      <c r="F239" s="11" t="s">
        <v>302</v>
      </c>
      <c r="G239" s="12" t="n">
        <v>292800.0</v>
      </c>
      <c r="H239" s="13"/>
      <c r="I239" s="14" t="s">
        <v>55</v>
      </c>
      <c r="J239" s="13"/>
      <c r="K239" s="14" t="s">
        <v>55</v>
      </c>
      <c r="L239" s="13"/>
      <c r="M239" s="14"/>
      <c r="N239" s="13"/>
      <c r="O239" s="14" t="s">
        <v>55</v>
      </c>
      <c r="P239" s="13"/>
      <c r="Q239" s="14"/>
      <c r="R239" s="13"/>
      <c r="S239" s="14" t="s">
        <v>55</v>
      </c>
      <c r="T239" s="15" t="n">
        <f>16.4</f>
        <v>16.4</v>
      </c>
      <c r="U239" s="16" t="str">
        <f>"－"</f>
        <v>－</v>
      </c>
      <c r="V239" s="16"/>
      <c r="W239" s="16"/>
      <c r="X239" s="16" t="str">
        <f>"－"</f>
        <v>－</v>
      </c>
      <c r="Y239" s="16"/>
      <c r="Z239" s="17"/>
      <c r="AA239" s="13"/>
      <c r="AB239" s="18" t="str">
        <f>"－"</f>
        <v>－</v>
      </c>
      <c r="AC239" s="18" t="str">
        <f>"－"</f>
        <v>－</v>
      </c>
      <c r="AD239" s="19" t="str">
        <f>"－"</f>
        <v>－</v>
      </c>
    </row>
    <row r="240">
      <c r="A240" s="9" t="s">
        <v>49</v>
      </c>
      <c r="B240" s="10" t="s">
        <v>313</v>
      </c>
      <c r="C240" s="10" t="s">
        <v>314</v>
      </c>
      <c r="D240" s="10" t="s">
        <v>303</v>
      </c>
      <c r="E240" s="11" t="s">
        <v>241</v>
      </c>
      <c r="F240" s="11" t="s">
        <v>304</v>
      </c>
      <c r="G240" s="12" t="n">
        <v>289200.0</v>
      </c>
      <c r="H240" s="13"/>
      <c r="I240" s="14" t="s">
        <v>55</v>
      </c>
      <c r="J240" s="13"/>
      <c r="K240" s="14" t="s">
        <v>55</v>
      </c>
      <c r="L240" s="13"/>
      <c r="M240" s="14"/>
      <c r="N240" s="13"/>
      <c r="O240" s="14" t="s">
        <v>55</v>
      </c>
      <c r="P240" s="13"/>
      <c r="Q240" s="14"/>
      <c r="R240" s="13"/>
      <c r="S240" s="14" t="s">
        <v>55</v>
      </c>
      <c r="T240" s="15" t="n">
        <f>15.18</f>
        <v>15.18</v>
      </c>
      <c r="U240" s="16" t="str">
        <f>"－"</f>
        <v>－</v>
      </c>
      <c r="V240" s="16"/>
      <c r="W240" s="16"/>
      <c r="X240" s="16" t="str">
        <f>"－"</f>
        <v>－</v>
      </c>
      <c r="Y240" s="16"/>
      <c r="Z240" s="17"/>
      <c r="AA240" s="13"/>
      <c r="AB240" s="18" t="str">
        <f>"－"</f>
        <v>－</v>
      </c>
      <c r="AC240" s="18" t="str">
        <f>"－"</f>
        <v>－</v>
      </c>
      <c r="AD240" s="19" t="str">
        <f>"－"</f>
        <v>－</v>
      </c>
    </row>
    <row r="241">
      <c r="A241" s="9" t="s">
        <v>49</v>
      </c>
      <c r="B241" s="10" t="s">
        <v>315</v>
      </c>
      <c r="C241" s="10" t="s">
        <v>316</v>
      </c>
      <c r="D241" s="10" t="s">
        <v>52</v>
      </c>
      <c r="E241" s="11" t="s">
        <v>317</v>
      </c>
      <c r="F241" s="11" t="s">
        <v>318</v>
      </c>
      <c r="G241" s="12" t="n">
        <v>1000.0</v>
      </c>
      <c r="H241" s="13"/>
      <c r="I241" s="14" t="s">
        <v>55</v>
      </c>
      <c r="J241" s="13"/>
      <c r="K241" s="14" t="s">
        <v>55</v>
      </c>
      <c r="L241" s="13"/>
      <c r="M241" s="14"/>
      <c r="N241" s="13"/>
      <c r="O241" s="14" t="s">
        <v>55</v>
      </c>
      <c r="P241" s="13"/>
      <c r="Q241" s="14"/>
      <c r="R241" s="13"/>
      <c r="S241" s="14" t="s">
        <v>55</v>
      </c>
      <c r="T241" s="15" t="n">
        <f>2998.73</f>
        <v>2998.73</v>
      </c>
      <c r="U241" s="16" t="str">
        <f>"－"</f>
        <v>－</v>
      </c>
      <c r="V241" s="16"/>
      <c r="W241" s="16"/>
      <c r="X241" s="16" t="str">
        <f>"－"</f>
        <v>－</v>
      </c>
      <c r="Y241" s="16"/>
      <c r="Z241" s="17"/>
      <c r="AA241" s="13" t="s">
        <v>56</v>
      </c>
      <c r="AB241" s="18" t="str">
        <f>"－"</f>
        <v>－</v>
      </c>
      <c r="AC241" s="18" t="str">
        <f>"－"</f>
        <v>－</v>
      </c>
      <c r="AD241" s="19" t="str">
        <f>"－"</f>
        <v>－</v>
      </c>
    </row>
    <row r="242">
      <c r="A242" s="9" t="s">
        <v>49</v>
      </c>
      <c r="B242" s="10" t="s">
        <v>315</v>
      </c>
      <c r="C242" s="10" t="s">
        <v>316</v>
      </c>
      <c r="D242" s="10" t="s">
        <v>57</v>
      </c>
      <c r="E242" s="11" t="s">
        <v>319</v>
      </c>
      <c r="F242" s="11" t="s">
        <v>320</v>
      </c>
      <c r="G242" s="12" t="n">
        <v>1000.0</v>
      </c>
      <c r="H242" s="13"/>
      <c r="I242" s="14" t="s">
        <v>55</v>
      </c>
      <c r="J242" s="13"/>
      <c r="K242" s="14" t="s">
        <v>55</v>
      </c>
      <c r="L242" s="13"/>
      <c r="M242" s="14"/>
      <c r="N242" s="13"/>
      <c r="O242" s="14" t="s">
        <v>55</v>
      </c>
      <c r="P242" s="13"/>
      <c r="Q242" s="14"/>
      <c r="R242" s="13"/>
      <c r="S242" s="14" t="s">
        <v>55</v>
      </c>
      <c r="T242" s="15" t="n">
        <f>2738.41</f>
        <v>2738.41</v>
      </c>
      <c r="U242" s="16" t="str">
        <f>"－"</f>
        <v>－</v>
      </c>
      <c r="V242" s="16"/>
      <c r="W242" s="16"/>
      <c r="X242" s="16" t="str">
        <f>"－"</f>
        <v>－</v>
      </c>
      <c r="Y242" s="16"/>
      <c r="Z242" s="17"/>
      <c r="AA242" s="13"/>
      <c r="AB242" s="18" t="str">
        <f>"－"</f>
        <v>－</v>
      </c>
      <c r="AC242" s="18" t="str">
        <f>"－"</f>
        <v>－</v>
      </c>
      <c r="AD242" s="19" t="str">
        <f>"－"</f>
        <v>－</v>
      </c>
    </row>
    <row r="243">
      <c r="A243" s="9" t="s">
        <v>49</v>
      </c>
      <c r="B243" s="10" t="s">
        <v>315</v>
      </c>
      <c r="C243" s="10" t="s">
        <v>316</v>
      </c>
      <c r="D243" s="10" t="s">
        <v>60</v>
      </c>
      <c r="E243" s="11" t="s">
        <v>321</v>
      </c>
      <c r="F243" s="11" t="s">
        <v>322</v>
      </c>
      <c r="G243" s="12" t="n">
        <v>1000.0</v>
      </c>
      <c r="H243" s="13"/>
      <c r="I243" s="14" t="s">
        <v>55</v>
      </c>
      <c r="J243" s="13"/>
      <c r="K243" s="14" t="s">
        <v>55</v>
      </c>
      <c r="L243" s="13"/>
      <c r="M243" s="14"/>
      <c r="N243" s="13"/>
      <c r="O243" s="14" t="s">
        <v>55</v>
      </c>
      <c r="P243" s="13"/>
      <c r="Q243" s="14"/>
      <c r="R243" s="13"/>
      <c r="S243" s="14" t="s">
        <v>55</v>
      </c>
      <c r="T243" s="15" t="n">
        <f>2670.86</f>
        <v>2670.86</v>
      </c>
      <c r="U243" s="16" t="str">
        <f>"－"</f>
        <v>－</v>
      </c>
      <c r="V243" s="16"/>
      <c r="W243" s="16"/>
      <c r="X243" s="16" t="str">
        <f>"－"</f>
        <v>－</v>
      </c>
      <c r="Y243" s="16"/>
      <c r="Z243" s="17"/>
      <c r="AA243" s="13"/>
      <c r="AB243" s="18" t="str">
        <f>"－"</f>
        <v>－</v>
      </c>
      <c r="AC243" s="18" t="str">
        <f>"－"</f>
        <v>－</v>
      </c>
      <c r="AD243" s="19" t="str">
        <f>"－"</f>
        <v>－</v>
      </c>
    </row>
    <row r="244">
      <c r="A244" s="9" t="s">
        <v>49</v>
      </c>
      <c r="B244" s="10" t="s">
        <v>315</v>
      </c>
      <c r="C244" s="10" t="s">
        <v>316</v>
      </c>
      <c r="D244" s="10" t="s">
        <v>63</v>
      </c>
      <c r="E244" s="11" t="s">
        <v>323</v>
      </c>
      <c r="F244" s="11" t="s">
        <v>324</v>
      </c>
      <c r="G244" s="12" t="n">
        <v>1000.0</v>
      </c>
      <c r="H244" s="13"/>
      <c r="I244" s="14" t="s">
        <v>55</v>
      </c>
      <c r="J244" s="13"/>
      <c r="K244" s="14" t="s">
        <v>55</v>
      </c>
      <c r="L244" s="13" t="s">
        <v>129</v>
      </c>
      <c r="M244" s="14" t="s">
        <v>325</v>
      </c>
      <c r="N244" s="13"/>
      <c r="O244" s="14" t="s">
        <v>55</v>
      </c>
      <c r="P244" s="13" t="s">
        <v>129</v>
      </c>
      <c r="Q244" s="14" t="s">
        <v>325</v>
      </c>
      <c r="R244" s="13"/>
      <c r="S244" s="14" t="s">
        <v>55</v>
      </c>
      <c r="T244" s="15" t="n">
        <f>2586.09</f>
        <v>2586.09</v>
      </c>
      <c r="U244" s="16" t="n">
        <f>30</f>
        <v>30.0</v>
      </c>
      <c r="V244" s="16" t="n">
        <v>30.0</v>
      </c>
      <c r="W244" s="16"/>
      <c r="X244" s="16" t="n">
        <f>79590000</f>
        <v>7.959E7</v>
      </c>
      <c r="Y244" s="16" t="n">
        <v>7.959E7</v>
      </c>
      <c r="Z244" s="17"/>
      <c r="AA244" s="13"/>
      <c r="AB244" s="18" t="n">
        <f>30</f>
        <v>30.0</v>
      </c>
      <c r="AC244" s="18" t="str">
        <f>"－"</f>
        <v>－</v>
      </c>
      <c r="AD244" s="19" t="str">
        <f>"－"</f>
        <v>－</v>
      </c>
    </row>
    <row r="245">
      <c r="A245" s="9" t="s">
        <v>49</v>
      </c>
      <c r="B245" s="10" t="s">
        <v>315</v>
      </c>
      <c r="C245" s="10" t="s">
        <v>316</v>
      </c>
      <c r="D245" s="10" t="s">
        <v>66</v>
      </c>
      <c r="E245" s="11" t="s">
        <v>326</v>
      </c>
      <c r="F245" s="11" t="s">
        <v>327</v>
      </c>
      <c r="G245" s="12" t="n">
        <v>1000.0</v>
      </c>
      <c r="H245" s="13"/>
      <c r="I245" s="14" t="s">
        <v>55</v>
      </c>
      <c r="J245" s="13"/>
      <c r="K245" s="14" t="s">
        <v>55</v>
      </c>
      <c r="L245" s="13" t="s">
        <v>129</v>
      </c>
      <c r="M245" s="14" t="s">
        <v>325</v>
      </c>
      <c r="N245" s="13"/>
      <c r="O245" s="14" t="s">
        <v>55</v>
      </c>
      <c r="P245" s="13" t="s">
        <v>129</v>
      </c>
      <c r="Q245" s="14" t="s">
        <v>325</v>
      </c>
      <c r="R245" s="13"/>
      <c r="S245" s="14" t="s">
        <v>55</v>
      </c>
      <c r="T245" s="15" t="n">
        <f>2526.55</f>
        <v>2526.55</v>
      </c>
      <c r="U245" s="16" t="n">
        <f>30</f>
        <v>30.0</v>
      </c>
      <c r="V245" s="16" t="n">
        <v>30.0</v>
      </c>
      <c r="W245" s="16"/>
      <c r="X245" s="16" t="n">
        <f>79590000</f>
        <v>7.959E7</v>
      </c>
      <c r="Y245" s="16" t="n">
        <v>7.959E7</v>
      </c>
      <c r="Z245" s="17"/>
      <c r="AA245" s="13"/>
      <c r="AB245" s="18" t="n">
        <f>30</f>
        <v>30.0</v>
      </c>
      <c r="AC245" s="18" t="str">
        <f>"－"</f>
        <v>－</v>
      </c>
      <c r="AD245" s="19" t="str">
        <f>"－"</f>
        <v>－</v>
      </c>
    </row>
    <row r="246">
      <c r="A246" s="9" t="s">
        <v>49</v>
      </c>
      <c r="B246" s="10" t="s">
        <v>315</v>
      </c>
      <c r="C246" s="10" t="s">
        <v>316</v>
      </c>
      <c r="D246" s="10" t="s">
        <v>69</v>
      </c>
      <c r="E246" s="11" t="s">
        <v>328</v>
      </c>
      <c r="F246" s="11" t="s">
        <v>329</v>
      </c>
      <c r="G246" s="12" t="n">
        <v>1000.0</v>
      </c>
      <c r="H246" s="13"/>
      <c r="I246" s="14" t="s">
        <v>55</v>
      </c>
      <c r="J246" s="13"/>
      <c r="K246" s="14" t="s">
        <v>55</v>
      </c>
      <c r="L246" s="13" t="s">
        <v>129</v>
      </c>
      <c r="M246" s="14" t="s">
        <v>325</v>
      </c>
      <c r="N246" s="13"/>
      <c r="O246" s="14" t="s">
        <v>55</v>
      </c>
      <c r="P246" s="13" t="s">
        <v>129</v>
      </c>
      <c r="Q246" s="14" t="s">
        <v>325</v>
      </c>
      <c r="R246" s="13"/>
      <c r="S246" s="14" t="s">
        <v>55</v>
      </c>
      <c r="T246" s="15" t="n">
        <f>2522.68</f>
        <v>2522.68</v>
      </c>
      <c r="U246" s="16" t="n">
        <f>30</f>
        <v>30.0</v>
      </c>
      <c r="V246" s="16" t="n">
        <v>30.0</v>
      </c>
      <c r="W246" s="16"/>
      <c r="X246" s="16" t="n">
        <f>79590000</f>
        <v>7.959E7</v>
      </c>
      <c r="Y246" s="16" t="n">
        <v>7.959E7</v>
      </c>
      <c r="Z246" s="17"/>
      <c r="AA246" s="13"/>
      <c r="AB246" s="18" t="n">
        <f>30</f>
        <v>30.0</v>
      </c>
      <c r="AC246" s="18" t="str">
        <f>"－"</f>
        <v>－</v>
      </c>
      <c r="AD246" s="19" t="str">
        <f>"－"</f>
        <v>－</v>
      </c>
    </row>
    <row r="247">
      <c r="A247" s="9" t="s">
        <v>49</v>
      </c>
      <c r="B247" s="10" t="s">
        <v>315</v>
      </c>
      <c r="C247" s="10" t="s">
        <v>316</v>
      </c>
      <c r="D247" s="10" t="s">
        <v>72</v>
      </c>
      <c r="E247" s="11" t="s">
        <v>330</v>
      </c>
      <c r="F247" s="11" t="s">
        <v>331</v>
      </c>
      <c r="G247" s="12" t="n">
        <v>1000.0</v>
      </c>
      <c r="H247" s="13"/>
      <c r="I247" s="14" t="s">
        <v>55</v>
      </c>
      <c r="J247" s="13"/>
      <c r="K247" s="14" t="s">
        <v>55</v>
      </c>
      <c r="L247" s="13"/>
      <c r="M247" s="14"/>
      <c r="N247" s="13"/>
      <c r="O247" s="14" t="s">
        <v>55</v>
      </c>
      <c r="P247" s="13"/>
      <c r="Q247" s="14"/>
      <c r="R247" s="13"/>
      <c r="S247" s="14" t="s">
        <v>55</v>
      </c>
      <c r="T247" s="15" t="n">
        <f>2472.55</f>
        <v>2472.55</v>
      </c>
      <c r="U247" s="16" t="str">
        <f>"－"</f>
        <v>－</v>
      </c>
      <c r="V247" s="16"/>
      <c r="W247" s="16"/>
      <c r="X247" s="16" t="str">
        <f>"－"</f>
        <v>－</v>
      </c>
      <c r="Y247" s="16"/>
      <c r="Z247" s="17"/>
      <c r="AA247" s="13"/>
      <c r="AB247" s="18" t="str">
        <f>"－"</f>
        <v>－</v>
      </c>
      <c r="AC247" s="18" t="str">
        <f>"－"</f>
        <v>－</v>
      </c>
      <c r="AD247" s="19" t="str">
        <f>"－"</f>
        <v>－</v>
      </c>
    </row>
    <row r="248">
      <c r="A248" s="9" t="s">
        <v>49</v>
      </c>
      <c r="B248" s="10" t="s">
        <v>315</v>
      </c>
      <c r="C248" s="10" t="s">
        <v>316</v>
      </c>
      <c r="D248" s="10" t="s">
        <v>140</v>
      </c>
      <c r="E248" s="11" t="s">
        <v>332</v>
      </c>
      <c r="F248" s="11" t="s">
        <v>333</v>
      </c>
      <c r="G248" s="12" t="n">
        <v>1000.0</v>
      </c>
      <c r="H248" s="13"/>
      <c r="I248" s="14" t="s">
        <v>55</v>
      </c>
      <c r="J248" s="13"/>
      <c r="K248" s="14" t="s">
        <v>55</v>
      </c>
      <c r="L248" s="13"/>
      <c r="M248" s="14"/>
      <c r="N248" s="13"/>
      <c r="O248" s="14" t="s">
        <v>55</v>
      </c>
      <c r="P248" s="13"/>
      <c r="Q248" s="14"/>
      <c r="R248" s="13"/>
      <c r="S248" s="14" t="s">
        <v>55</v>
      </c>
      <c r="T248" s="15" t="n">
        <f>2386.36</f>
        <v>2386.36</v>
      </c>
      <c r="U248" s="16" t="str">
        <f>"－"</f>
        <v>－</v>
      </c>
      <c r="V248" s="16"/>
      <c r="W248" s="16"/>
      <c r="X248" s="16" t="str">
        <f>"－"</f>
        <v>－</v>
      </c>
      <c r="Y248" s="16"/>
      <c r="Z248" s="17"/>
      <c r="AA248" s="13"/>
      <c r="AB248" s="18" t="str">
        <f>"－"</f>
        <v>－</v>
      </c>
      <c r="AC248" s="18" t="str">
        <f>"－"</f>
        <v>－</v>
      </c>
      <c r="AD248" s="19" t="str">
        <f>"－"</f>
        <v>－</v>
      </c>
    </row>
    <row r="249">
      <c r="A249" s="9" t="s">
        <v>49</v>
      </c>
      <c r="B249" s="10" t="s">
        <v>315</v>
      </c>
      <c r="C249" s="10" t="s">
        <v>316</v>
      </c>
      <c r="D249" s="10" t="s">
        <v>143</v>
      </c>
      <c r="E249" s="11" t="s">
        <v>334</v>
      </c>
      <c r="F249" s="11" t="s">
        <v>335</v>
      </c>
      <c r="G249" s="12" t="n">
        <v>1000.0</v>
      </c>
      <c r="H249" s="13"/>
      <c r="I249" s="14" t="s">
        <v>55</v>
      </c>
      <c r="J249" s="13"/>
      <c r="K249" s="14" t="s">
        <v>55</v>
      </c>
      <c r="L249" s="13"/>
      <c r="M249" s="14"/>
      <c r="N249" s="13"/>
      <c r="O249" s="14" t="s">
        <v>55</v>
      </c>
      <c r="P249" s="13"/>
      <c r="Q249" s="14"/>
      <c r="R249" s="13"/>
      <c r="S249" s="14" t="s">
        <v>55</v>
      </c>
      <c r="T249" s="15" t="n">
        <f>2216.36</f>
        <v>2216.36</v>
      </c>
      <c r="U249" s="16" t="str">
        <f>"－"</f>
        <v>－</v>
      </c>
      <c r="V249" s="16"/>
      <c r="W249" s="16"/>
      <c r="X249" s="16" t="str">
        <f>"－"</f>
        <v>－</v>
      </c>
      <c r="Y249" s="16"/>
      <c r="Z249" s="17"/>
      <c r="AA249" s="13"/>
      <c r="AB249" s="18" t="str">
        <f>"－"</f>
        <v>－</v>
      </c>
      <c r="AC249" s="18" t="str">
        <f>"－"</f>
        <v>－</v>
      </c>
      <c r="AD249" s="19" t="str">
        <f>"－"</f>
        <v>－</v>
      </c>
    </row>
    <row r="250">
      <c r="A250" s="9" t="s">
        <v>49</v>
      </c>
      <c r="B250" s="10" t="s">
        <v>315</v>
      </c>
      <c r="C250" s="10" t="s">
        <v>316</v>
      </c>
      <c r="D250" s="10" t="s">
        <v>148</v>
      </c>
      <c r="E250" s="11" t="s">
        <v>336</v>
      </c>
      <c r="F250" s="11" t="s">
        <v>337</v>
      </c>
      <c r="G250" s="12" t="n">
        <v>1000.0</v>
      </c>
      <c r="H250" s="13"/>
      <c r="I250" s="14" t="s">
        <v>55</v>
      </c>
      <c r="J250" s="13"/>
      <c r="K250" s="14" t="s">
        <v>55</v>
      </c>
      <c r="L250" s="13"/>
      <c r="M250" s="14"/>
      <c r="N250" s="13"/>
      <c r="O250" s="14" t="s">
        <v>55</v>
      </c>
      <c r="P250" s="13"/>
      <c r="Q250" s="14"/>
      <c r="R250" s="13"/>
      <c r="S250" s="14" t="s">
        <v>55</v>
      </c>
      <c r="T250" s="15" t="n">
        <f>1950.77</f>
        <v>1950.77</v>
      </c>
      <c r="U250" s="16" t="str">
        <f>"－"</f>
        <v>－</v>
      </c>
      <c r="V250" s="16"/>
      <c r="W250" s="16"/>
      <c r="X250" s="16" t="str">
        <f>"－"</f>
        <v>－</v>
      </c>
      <c r="Y250" s="16"/>
      <c r="Z250" s="17"/>
      <c r="AA250" s="13"/>
      <c r="AB250" s="18" t="str">
        <f>"－"</f>
        <v>－</v>
      </c>
      <c r="AC250" s="18" t="str">
        <f>"－"</f>
        <v>－</v>
      </c>
      <c r="AD250" s="19" t="str">
        <f>"－"</f>
        <v>－</v>
      </c>
    </row>
    <row r="251">
      <c r="A251" s="9" t="s">
        <v>49</v>
      </c>
      <c r="B251" s="10" t="s">
        <v>315</v>
      </c>
      <c r="C251" s="10" t="s">
        <v>316</v>
      </c>
      <c r="D251" s="10" t="s">
        <v>151</v>
      </c>
      <c r="E251" s="11" t="s">
        <v>338</v>
      </c>
      <c r="F251" s="11" t="s">
        <v>339</v>
      </c>
      <c r="G251" s="12" t="n">
        <v>1000.0</v>
      </c>
      <c r="H251" s="13"/>
      <c r="I251" s="14" t="s">
        <v>55</v>
      </c>
      <c r="J251" s="13"/>
      <c r="K251" s="14" t="s">
        <v>55</v>
      </c>
      <c r="L251" s="13"/>
      <c r="M251" s="14"/>
      <c r="N251" s="13"/>
      <c r="O251" s="14" t="s">
        <v>55</v>
      </c>
      <c r="P251" s="13"/>
      <c r="Q251" s="14"/>
      <c r="R251" s="13"/>
      <c r="S251" s="14" t="s">
        <v>55</v>
      </c>
      <c r="T251" s="15" t="n">
        <f>1859.59</f>
        <v>1859.59</v>
      </c>
      <c r="U251" s="16" t="str">
        <f>"－"</f>
        <v>－</v>
      </c>
      <c r="V251" s="16"/>
      <c r="W251" s="16"/>
      <c r="X251" s="16" t="str">
        <f>"－"</f>
        <v>－</v>
      </c>
      <c r="Y251" s="16"/>
      <c r="Z251" s="17"/>
      <c r="AA251" s="13"/>
      <c r="AB251" s="18" t="str">
        <f>"－"</f>
        <v>－</v>
      </c>
      <c r="AC251" s="18" t="str">
        <f>"－"</f>
        <v>－</v>
      </c>
      <c r="AD251" s="19" t="str">
        <f>"－"</f>
        <v>－</v>
      </c>
    </row>
    <row r="252">
      <c r="A252" s="9" t="s">
        <v>49</v>
      </c>
      <c r="B252" s="10" t="s">
        <v>315</v>
      </c>
      <c r="C252" s="10" t="s">
        <v>316</v>
      </c>
      <c r="D252" s="10" t="s">
        <v>156</v>
      </c>
      <c r="E252" s="11" t="s">
        <v>340</v>
      </c>
      <c r="F252" s="11" t="s">
        <v>341</v>
      </c>
      <c r="G252" s="12" t="n">
        <v>1000.0</v>
      </c>
      <c r="H252" s="13"/>
      <c r="I252" s="14" t="s">
        <v>55</v>
      </c>
      <c r="J252" s="13"/>
      <c r="K252" s="14" t="s">
        <v>55</v>
      </c>
      <c r="L252" s="13"/>
      <c r="M252" s="14"/>
      <c r="N252" s="13"/>
      <c r="O252" s="14" t="s">
        <v>55</v>
      </c>
      <c r="P252" s="13"/>
      <c r="Q252" s="14"/>
      <c r="R252" s="13"/>
      <c r="S252" s="14" t="s">
        <v>55</v>
      </c>
      <c r="T252" s="15" t="n">
        <f>1857.77</f>
        <v>1857.77</v>
      </c>
      <c r="U252" s="16" t="str">
        <f>"－"</f>
        <v>－</v>
      </c>
      <c r="V252" s="16"/>
      <c r="W252" s="16"/>
      <c r="X252" s="16" t="str">
        <f>"－"</f>
        <v>－</v>
      </c>
      <c r="Y252" s="16"/>
      <c r="Z252" s="17"/>
      <c r="AA252" s="13"/>
      <c r="AB252" s="18" t="str">
        <f>"－"</f>
        <v>－</v>
      </c>
      <c r="AC252" s="18" t="str">
        <f>"－"</f>
        <v>－</v>
      </c>
      <c r="AD252" s="19" t="str">
        <f>"－"</f>
        <v>－</v>
      </c>
    </row>
    <row r="253">
      <c r="A253" s="9" t="s">
        <v>49</v>
      </c>
      <c r="B253" s="10" t="s">
        <v>315</v>
      </c>
      <c r="C253" s="10" t="s">
        <v>316</v>
      </c>
      <c r="D253" s="10" t="s">
        <v>159</v>
      </c>
      <c r="E253" s="11" t="s">
        <v>342</v>
      </c>
      <c r="F253" s="11" t="s">
        <v>343</v>
      </c>
      <c r="G253" s="12" t="n">
        <v>1000.0</v>
      </c>
      <c r="H253" s="13"/>
      <c r="I253" s="14" t="s">
        <v>55</v>
      </c>
      <c r="J253" s="13"/>
      <c r="K253" s="14" t="s">
        <v>55</v>
      </c>
      <c r="L253" s="13"/>
      <c r="M253" s="14"/>
      <c r="N253" s="13"/>
      <c r="O253" s="14" t="s">
        <v>55</v>
      </c>
      <c r="P253" s="13"/>
      <c r="Q253" s="14"/>
      <c r="R253" s="13"/>
      <c r="S253" s="14" t="s">
        <v>55</v>
      </c>
      <c r="T253" s="15" t="n">
        <f>1870.55</f>
        <v>1870.55</v>
      </c>
      <c r="U253" s="16" t="str">
        <f>"－"</f>
        <v>－</v>
      </c>
      <c r="V253" s="16"/>
      <c r="W253" s="16"/>
      <c r="X253" s="16" t="str">
        <f>"－"</f>
        <v>－</v>
      </c>
      <c r="Y253" s="16"/>
      <c r="Z253" s="17"/>
      <c r="AA253" s="13"/>
      <c r="AB253" s="18" t="str">
        <f>"－"</f>
        <v>－</v>
      </c>
      <c r="AC253" s="18" t="str">
        <f>"－"</f>
        <v>－</v>
      </c>
      <c r="AD253" s="19" t="str">
        <f>"－"</f>
        <v>－</v>
      </c>
    </row>
    <row r="254">
      <c r="A254" s="9" t="s">
        <v>49</v>
      </c>
      <c r="B254" s="10" t="s">
        <v>315</v>
      </c>
      <c r="C254" s="10" t="s">
        <v>316</v>
      </c>
      <c r="D254" s="10" t="s">
        <v>164</v>
      </c>
      <c r="E254" s="11" t="s">
        <v>344</v>
      </c>
      <c r="F254" s="11" t="s">
        <v>345</v>
      </c>
      <c r="G254" s="12" t="n">
        <v>1000.0</v>
      </c>
      <c r="H254" s="13"/>
      <c r="I254" s="14" t="s">
        <v>55</v>
      </c>
      <c r="J254" s="13"/>
      <c r="K254" s="14" t="s">
        <v>55</v>
      </c>
      <c r="L254" s="13"/>
      <c r="M254" s="14"/>
      <c r="N254" s="13"/>
      <c r="O254" s="14" t="s">
        <v>55</v>
      </c>
      <c r="P254" s="13"/>
      <c r="Q254" s="14"/>
      <c r="R254" s="13"/>
      <c r="S254" s="14" t="s">
        <v>55</v>
      </c>
      <c r="T254" s="15" t="n">
        <f>1871.27</f>
        <v>1871.27</v>
      </c>
      <c r="U254" s="16" t="str">
        <f>"－"</f>
        <v>－</v>
      </c>
      <c r="V254" s="16"/>
      <c r="W254" s="16"/>
      <c r="X254" s="16" t="str">
        <f>"－"</f>
        <v>－</v>
      </c>
      <c r="Y254" s="16"/>
      <c r="Z254" s="17"/>
      <c r="AA254" s="13"/>
      <c r="AB254" s="18" t="str">
        <f>"－"</f>
        <v>－</v>
      </c>
      <c r="AC254" s="18" t="str">
        <f>"－"</f>
        <v>－</v>
      </c>
      <c r="AD254" s="19" t="str">
        <f>"－"</f>
        <v>－</v>
      </c>
    </row>
    <row r="255">
      <c r="A255" s="9" t="s">
        <v>49</v>
      </c>
      <c r="B255" s="10" t="s">
        <v>315</v>
      </c>
      <c r="C255" s="10" t="s">
        <v>316</v>
      </c>
      <c r="D255" s="10" t="s">
        <v>209</v>
      </c>
      <c r="E255" s="11" t="s">
        <v>346</v>
      </c>
      <c r="F255" s="11" t="s">
        <v>347</v>
      </c>
      <c r="G255" s="12" t="n">
        <v>1000.0</v>
      </c>
      <c r="H255" s="13"/>
      <c r="I255" s="14" t="s">
        <v>55</v>
      </c>
      <c r="J255" s="13"/>
      <c r="K255" s="14" t="s">
        <v>55</v>
      </c>
      <c r="L255" s="13"/>
      <c r="M255" s="14"/>
      <c r="N255" s="13"/>
      <c r="O255" s="14" t="s">
        <v>55</v>
      </c>
      <c r="P255" s="13"/>
      <c r="Q255" s="14"/>
      <c r="R255" s="13"/>
      <c r="S255" s="14" t="s">
        <v>55</v>
      </c>
      <c r="T255" s="15" t="n">
        <f>1876.41</f>
        <v>1876.41</v>
      </c>
      <c r="U255" s="16" t="str">
        <f>"－"</f>
        <v>－</v>
      </c>
      <c r="V255" s="16"/>
      <c r="W255" s="16"/>
      <c r="X255" s="16" t="str">
        <f>"－"</f>
        <v>－</v>
      </c>
      <c r="Y255" s="16"/>
      <c r="Z255" s="17"/>
      <c r="AA255" s="13"/>
      <c r="AB255" s="18" t="str">
        <f>"－"</f>
        <v>－</v>
      </c>
      <c r="AC255" s="18" t="str">
        <f>"－"</f>
        <v>－</v>
      </c>
      <c r="AD255" s="19" t="str">
        <f>"－"</f>
        <v>－</v>
      </c>
    </row>
    <row r="256">
      <c r="A256" s="9" t="s">
        <v>49</v>
      </c>
      <c r="B256" s="10" t="s">
        <v>315</v>
      </c>
      <c r="C256" s="10" t="s">
        <v>316</v>
      </c>
      <c r="D256" s="10" t="s">
        <v>212</v>
      </c>
      <c r="E256" s="11" t="s">
        <v>348</v>
      </c>
      <c r="F256" s="11" t="s">
        <v>349</v>
      </c>
      <c r="G256" s="12" t="n">
        <v>1000.0</v>
      </c>
      <c r="H256" s="13"/>
      <c r="I256" s="14" t="s">
        <v>55</v>
      </c>
      <c r="J256" s="13"/>
      <c r="K256" s="14" t="s">
        <v>55</v>
      </c>
      <c r="L256" s="13"/>
      <c r="M256" s="14"/>
      <c r="N256" s="13"/>
      <c r="O256" s="14" t="s">
        <v>55</v>
      </c>
      <c r="P256" s="13"/>
      <c r="Q256" s="14"/>
      <c r="R256" s="13"/>
      <c r="S256" s="14" t="s">
        <v>55</v>
      </c>
      <c r="T256" s="15" t="n">
        <f>1828.55</f>
        <v>1828.55</v>
      </c>
      <c r="U256" s="16" t="str">
        <f>"－"</f>
        <v>－</v>
      </c>
      <c r="V256" s="16"/>
      <c r="W256" s="16"/>
      <c r="X256" s="16" t="str">
        <f>"－"</f>
        <v>－</v>
      </c>
      <c r="Y256" s="16"/>
      <c r="Z256" s="17"/>
      <c r="AA256" s="13"/>
      <c r="AB256" s="18" t="str">
        <f>"－"</f>
        <v>－</v>
      </c>
      <c r="AC256" s="18" t="str">
        <f>"－"</f>
        <v>－</v>
      </c>
      <c r="AD256" s="19" t="str">
        <f>"－"</f>
        <v>－</v>
      </c>
    </row>
    <row r="257">
      <c r="A257" s="9" t="s">
        <v>49</v>
      </c>
      <c r="B257" s="10" t="s">
        <v>350</v>
      </c>
      <c r="C257" s="10" t="s">
        <v>351</v>
      </c>
      <c r="D257" s="10" t="s">
        <v>52</v>
      </c>
      <c r="E257" s="11" t="s">
        <v>53</v>
      </c>
      <c r="F257" s="11" t="s">
        <v>54</v>
      </c>
      <c r="G257" s="12" t="n">
        <v>10.0</v>
      </c>
      <c r="H257" s="13" t="s">
        <v>170</v>
      </c>
      <c r="I257" s="14" t="s">
        <v>352</v>
      </c>
      <c r="J257" s="13" t="s">
        <v>170</v>
      </c>
      <c r="K257" s="14" t="s">
        <v>352</v>
      </c>
      <c r="L257" s="13" t="s">
        <v>87</v>
      </c>
      <c r="M257" s="14" t="s">
        <v>353</v>
      </c>
      <c r="N257" s="13" t="s">
        <v>170</v>
      </c>
      <c r="O257" s="14" t="s">
        <v>352</v>
      </c>
      <c r="P257" s="13" t="s">
        <v>87</v>
      </c>
      <c r="Q257" s="14" t="s">
        <v>353</v>
      </c>
      <c r="R257" s="13" t="s">
        <v>170</v>
      </c>
      <c r="S257" s="14" t="s">
        <v>352</v>
      </c>
      <c r="T257" s="15" t="n">
        <f>94842.11</f>
        <v>94842.11</v>
      </c>
      <c r="U257" s="16" t="n">
        <f>40</f>
        <v>40.0</v>
      </c>
      <c r="V257" s="16" t="n">
        <v>20.0</v>
      </c>
      <c r="W257" s="16"/>
      <c r="X257" s="16" t="n">
        <f>37600000</f>
        <v>3.76E7</v>
      </c>
      <c r="Y257" s="16" t="n">
        <v>1.88E7</v>
      </c>
      <c r="Z257" s="17"/>
      <c r="AA257" s="13" t="s">
        <v>56</v>
      </c>
      <c r="AB257" s="18" t="n">
        <f>40</f>
        <v>40.0</v>
      </c>
      <c r="AC257" s="18" t="str">
        <f>"－"</f>
        <v>－</v>
      </c>
      <c r="AD257" s="19" t="n">
        <f>1</f>
        <v>1.0</v>
      </c>
    </row>
    <row r="258">
      <c r="A258" s="9" t="s">
        <v>49</v>
      </c>
      <c r="B258" s="10" t="s">
        <v>350</v>
      </c>
      <c r="C258" s="10" t="s">
        <v>351</v>
      </c>
      <c r="D258" s="10" t="s">
        <v>57</v>
      </c>
      <c r="E258" s="11" t="s">
        <v>58</v>
      </c>
      <c r="F258" s="11" t="s">
        <v>59</v>
      </c>
      <c r="G258" s="12" t="n">
        <v>10.0</v>
      </c>
      <c r="H258" s="13"/>
      <c r="I258" s="14" t="s">
        <v>55</v>
      </c>
      <c r="J258" s="13"/>
      <c r="K258" s="14" t="s">
        <v>55</v>
      </c>
      <c r="L258" s="13"/>
      <c r="M258" s="14"/>
      <c r="N258" s="13"/>
      <c r="O258" s="14" t="s">
        <v>55</v>
      </c>
      <c r="P258" s="13"/>
      <c r="Q258" s="14"/>
      <c r="R258" s="13"/>
      <c r="S258" s="14" t="s">
        <v>55</v>
      </c>
      <c r="T258" s="15" t="n">
        <f>95000</f>
        <v>95000.0</v>
      </c>
      <c r="U258" s="16" t="str">
        <f>"－"</f>
        <v>－</v>
      </c>
      <c r="V258" s="16"/>
      <c r="W258" s="16"/>
      <c r="X258" s="16" t="str">
        <f>"－"</f>
        <v>－</v>
      </c>
      <c r="Y258" s="16"/>
      <c r="Z258" s="17"/>
      <c r="AA258" s="13"/>
      <c r="AB258" s="18" t="str">
        <f>"－"</f>
        <v>－</v>
      </c>
      <c r="AC258" s="18" t="str">
        <f>"－"</f>
        <v>－</v>
      </c>
      <c r="AD258" s="19" t="str">
        <f>"－"</f>
        <v>－</v>
      </c>
    </row>
    <row r="259">
      <c r="A259" s="9" t="s">
        <v>49</v>
      </c>
      <c r="B259" s="10" t="s">
        <v>350</v>
      </c>
      <c r="C259" s="10" t="s">
        <v>351</v>
      </c>
      <c r="D259" s="10" t="s">
        <v>60</v>
      </c>
      <c r="E259" s="11" t="s">
        <v>61</v>
      </c>
      <c r="F259" s="11" t="s">
        <v>62</v>
      </c>
      <c r="G259" s="12" t="n">
        <v>10.0</v>
      </c>
      <c r="H259" s="13"/>
      <c r="I259" s="14" t="s">
        <v>55</v>
      </c>
      <c r="J259" s="13"/>
      <c r="K259" s="14" t="s">
        <v>55</v>
      </c>
      <c r="L259" s="13"/>
      <c r="M259" s="14"/>
      <c r="N259" s="13"/>
      <c r="O259" s="14" t="s">
        <v>55</v>
      </c>
      <c r="P259" s="13"/>
      <c r="Q259" s="14"/>
      <c r="R259" s="13"/>
      <c r="S259" s="14" t="s">
        <v>55</v>
      </c>
      <c r="T259" s="15" t="n">
        <f>95000</f>
        <v>95000.0</v>
      </c>
      <c r="U259" s="16" t="str">
        <f>"－"</f>
        <v>－</v>
      </c>
      <c r="V259" s="16"/>
      <c r="W259" s="16"/>
      <c r="X259" s="16" t="str">
        <f>"－"</f>
        <v>－</v>
      </c>
      <c r="Y259" s="16"/>
      <c r="Z259" s="17"/>
      <c r="AA259" s="13"/>
      <c r="AB259" s="18" t="str">
        <f>"－"</f>
        <v>－</v>
      </c>
      <c r="AC259" s="18" t="str">
        <f>"－"</f>
        <v>－</v>
      </c>
      <c r="AD259" s="19" t="str">
        <f>"－"</f>
        <v>－</v>
      </c>
    </row>
    <row r="260">
      <c r="A260" s="9" t="s">
        <v>49</v>
      </c>
      <c r="B260" s="10" t="s">
        <v>350</v>
      </c>
      <c r="C260" s="10" t="s">
        <v>351</v>
      </c>
      <c r="D260" s="10" t="s">
        <v>63</v>
      </c>
      <c r="E260" s="11" t="s">
        <v>64</v>
      </c>
      <c r="F260" s="11" t="s">
        <v>65</v>
      </c>
      <c r="G260" s="12" t="n">
        <v>10.0</v>
      </c>
      <c r="H260" s="13"/>
      <c r="I260" s="14" t="s">
        <v>55</v>
      </c>
      <c r="J260" s="13"/>
      <c r="K260" s="14" t="s">
        <v>55</v>
      </c>
      <c r="L260" s="13"/>
      <c r="M260" s="14"/>
      <c r="N260" s="13"/>
      <c r="O260" s="14" t="s">
        <v>55</v>
      </c>
      <c r="P260" s="13"/>
      <c r="Q260" s="14"/>
      <c r="R260" s="13"/>
      <c r="S260" s="14" t="s">
        <v>55</v>
      </c>
      <c r="T260" s="15" t="n">
        <f>95000</f>
        <v>95000.0</v>
      </c>
      <c r="U260" s="16" t="str">
        <f>"－"</f>
        <v>－</v>
      </c>
      <c r="V260" s="16"/>
      <c r="W260" s="16"/>
      <c r="X260" s="16" t="str">
        <f>"－"</f>
        <v>－</v>
      </c>
      <c r="Y260" s="16"/>
      <c r="Z260" s="17"/>
      <c r="AA260" s="13"/>
      <c r="AB260" s="18" t="str">
        <f>"－"</f>
        <v>－</v>
      </c>
      <c r="AC260" s="18" t="str">
        <f>"－"</f>
        <v>－</v>
      </c>
      <c r="AD260" s="19" t="str">
        <f>"－"</f>
        <v>－</v>
      </c>
    </row>
    <row r="261">
      <c r="A261" s="9" t="s">
        <v>49</v>
      </c>
      <c r="B261" s="10" t="s">
        <v>350</v>
      </c>
      <c r="C261" s="10" t="s">
        <v>351</v>
      </c>
      <c r="D261" s="10" t="s">
        <v>66</v>
      </c>
      <c r="E261" s="11" t="s">
        <v>67</v>
      </c>
      <c r="F261" s="11" t="s">
        <v>68</v>
      </c>
      <c r="G261" s="12" t="n">
        <v>10.0</v>
      </c>
      <c r="H261" s="13"/>
      <c r="I261" s="14" t="s">
        <v>55</v>
      </c>
      <c r="J261" s="13"/>
      <c r="K261" s="14" t="s">
        <v>55</v>
      </c>
      <c r="L261" s="13"/>
      <c r="M261" s="14"/>
      <c r="N261" s="13"/>
      <c r="O261" s="14" t="s">
        <v>55</v>
      </c>
      <c r="P261" s="13"/>
      <c r="Q261" s="14"/>
      <c r="R261" s="13"/>
      <c r="S261" s="14" t="s">
        <v>55</v>
      </c>
      <c r="T261" s="15" t="n">
        <f>95000</f>
        <v>95000.0</v>
      </c>
      <c r="U261" s="16" t="str">
        <f>"－"</f>
        <v>－</v>
      </c>
      <c r="V261" s="16"/>
      <c r="W261" s="16"/>
      <c r="X261" s="16" t="str">
        <f>"－"</f>
        <v>－</v>
      </c>
      <c r="Y261" s="16"/>
      <c r="Z261" s="17"/>
      <c r="AA261" s="13"/>
      <c r="AB261" s="18" t="str">
        <f>"－"</f>
        <v>－</v>
      </c>
      <c r="AC261" s="18" t="str">
        <f>"－"</f>
        <v>－</v>
      </c>
      <c r="AD261" s="19" t="str">
        <f>"－"</f>
        <v>－</v>
      </c>
    </row>
    <row r="262">
      <c r="A262" s="9" t="s">
        <v>49</v>
      </c>
      <c r="B262" s="10" t="s">
        <v>350</v>
      </c>
      <c r="C262" s="10" t="s">
        <v>351</v>
      </c>
      <c r="D262" s="10" t="s">
        <v>69</v>
      </c>
      <c r="E262" s="11" t="s">
        <v>70</v>
      </c>
      <c r="F262" s="11" t="s">
        <v>71</v>
      </c>
      <c r="G262" s="12" t="n">
        <v>10.0</v>
      </c>
      <c r="H262" s="13"/>
      <c r="I262" s="14" t="s">
        <v>55</v>
      </c>
      <c r="J262" s="13"/>
      <c r="K262" s="14" t="s">
        <v>55</v>
      </c>
      <c r="L262" s="13"/>
      <c r="M262" s="14"/>
      <c r="N262" s="13"/>
      <c r="O262" s="14" t="s">
        <v>55</v>
      </c>
      <c r="P262" s="13"/>
      <c r="Q262" s="14"/>
      <c r="R262" s="13"/>
      <c r="S262" s="14" t="s">
        <v>55</v>
      </c>
      <c r="T262" s="15" t="n">
        <f>95000</f>
        <v>95000.0</v>
      </c>
      <c r="U262" s="16" t="str">
        <f>"－"</f>
        <v>－</v>
      </c>
      <c r="V262" s="16"/>
      <c r="W262" s="16"/>
      <c r="X262" s="16" t="str">
        <f>"－"</f>
        <v>－</v>
      </c>
      <c r="Y262" s="16"/>
      <c r="Z262" s="17"/>
      <c r="AA262" s="13"/>
      <c r="AB262" s="18" t="str">
        <f>"－"</f>
        <v>－</v>
      </c>
      <c r="AC262" s="18" t="str">
        <f>"－"</f>
        <v>－</v>
      </c>
      <c r="AD262" s="19" t="str">
        <f>"－"</f>
        <v>－</v>
      </c>
    </row>
    <row r="263">
      <c r="A263" s="9" t="s">
        <v>49</v>
      </c>
      <c r="B263" s="10" t="s">
        <v>350</v>
      </c>
      <c r="C263" s="10" t="s">
        <v>351</v>
      </c>
      <c r="D263" s="10" t="s">
        <v>72</v>
      </c>
      <c r="E263" s="11" t="s">
        <v>73</v>
      </c>
      <c r="F263" s="11" t="s">
        <v>74</v>
      </c>
      <c r="G263" s="12" t="n">
        <v>10.0</v>
      </c>
      <c r="H263" s="13"/>
      <c r="I263" s="14" t="s">
        <v>55</v>
      </c>
      <c r="J263" s="13"/>
      <c r="K263" s="14" t="s">
        <v>55</v>
      </c>
      <c r="L263" s="13"/>
      <c r="M263" s="14"/>
      <c r="N263" s="13"/>
      <c r="O263" s="14" t="s">
        <v>55</v>
      </c>
      <c r="P263" s="13"/>
      <c r="Q263" s="14"/>
      <c r="R263" s="13"/>
      <c r="S263" s="14" t="s">
        <v>55</v>
      </c>
      <c r="T263" s="15" t="n">
        <f>95000</f>
        <v>95000.0</v>
      </c>
      <c r="U263" s="16" t="str">
        <f>"－"</f>
        <v>－</v>
      </c>
      <c r="V263" s="16"/>
      <c r="W263" s="16"/>
      <c r="X263" s="16" t="str">
        <f>"－"</f>
        <v>－</v>
      </c>
      <c r="Y263" s="16"/>
      <c r="Z263" s="17"/>
      <c r="AA263" s="13"/>
      <c r="AB263" s="18" t="str">
        <f>"－"</f>
        <v>－</v>
      </c>
      <c r="AC263" s="18" t="str">
        <f>"－"</f>
        <v>－</v>
      </c>
      <c r="AD263" s="19" t="str">
        <f>"－"</f>
        <v>－</v>
      </c>
    </row>
    <row r="264">
      <c r="A264" s="9" t="s">
        <v>49</v>
      </c>
      <c r="B264" s="10" t="s">
        <v>354</v>
      </c>
      <c r="C264" s="10" t="s">
        <v>355</v>
      </c>
      <c r="D264" s="10" t="s">
        <v>52</v>
      </c>
      <c r="E264" s="11" t="s">
        <v>53</v>
      </c>
      <c r="F264" s="11" t="s">
        <v>54</v>
      </c>
      <c r="G264" s="12" t="n">
        <v>10.0</v>
      </c>
      <c r="H264" s="13" t="s">
        <v>87</v>
      </c>
      <c r="I264" s="14" t="s">
        <v>356</v>
      </c>
      <c r="J264" s="13" t="s">
        <v>87</v>
      </c>
      <c r="K264" s="14" t="s">
        <v>356</v>
      </c>
      <c r="L264" s="13"/>
      <c r="M264" s="14"/>
      <c r="N264" s="13" t="s">
        <v>87</v>
      </c>
      <c r="O264" s="14" t="s">
        <v>356</v>
      </c>
      <c r="P264" s="13"/>
      <c r="Q264" s="14"/>
      <c r="R264" s="13" t="s">
        <v>87</v>
      </c>
      <c r="S264" s="14" t="s">
        <v>356</v>
      </c>
      <c r="T264" s="15" t="n">
        <f>105026.32</f>
        <v>105026.32</v>
      </c>
      <c r="U264" s="16" t="n">
        <f>7</f>
        <v>7.0</v>
      </c>
      <c r="V264" s="16"/>
      <c r="W264" s="16"/>
      <c r="X264" s="16" t="n">
        <f>7385000</f>
        <v>7385000.0</v>
      </c>
      <c r="Y264" s="16"/>
      <c r="Z264" s="17"/>
      <c r="AA264" s="13" t="s">
        <v>56</v>
      </c>
      <c r="AB264" s="18" t="n">
        <f>7</f>
        <v>7.0</v>
      </c>
      <c r="AC264" s="18" t="str">
        <f>"－"</f>
        <v>－</v>
      </c>
      <c r="AD264" s="19" t="n">
        <f>1</f>
        <v>1.0</v>
      </c>
    </row>
    <row r="265">
      <c r="A265" s="9" t="s">
        <v>49</v>
      </c>
      <c r="B265" s="10" t="s">
        <v>354</v>
      </c>
      <c r="C265" s="10" t="s">
        <v>355</v>
      </c>
      <c r="D265" s="10" t="s">
        <v>57</v>
      </c>
      <c r="E265" s="11" t="s">
        <v>58</v>
      </c>
      <c r="F265" s="11" t="s">
        <v>59</v>
      </c>
      <c r="G265" s="12" t="n">
        <v>10.0</v>
      </c>
      <c r="H265" s="13"/>
      <c r="I265" s="14" t="s">
        <v>55</v>
      </c>
      <c r="J265" s="13"/>
      <c r="K265" s="14" t="s">
        <v>55</v>
      </c>
      <c r="L265" s="13"/>
      <c r="M265" s="14"/>
      <c r="N265" s="13"/>
      <c r="O265" s="14" t="s">
        <v>55</v>
      </c>
      <c r="P265" s="13"/>
      <c r="Q265" s="14"/>
      <c r="R265" s="13"/>
      <c r="S265" s="14" t="s">
        <v>55</v>
      </c>
      <c r="T265" s="15" t="n">
        <f>105000</f>
        <v>105000.0</v>
      </c>
      <c r="U265" s="16" t="str">
        <f>"－"</f>
        <v>－</v>
      </c>
      <c r="V265" s="16"/>
      <c r="W265" s="16"/>
      <c r="X265" s="16" t="str">
        <f>"－"</f>
        <v>－</v>
      </c>
      <c r="Y265" s="16"/>
      <c r="Z265" s="17"/>
      <c r="AA265" s="13"/>
      <c r="AB265" s="18" t="str">
        <f>"－"</f>
        <v>－</v>
      </c>
      <c r="AC265" s="18" t="str">
        <f>"－"</f>
        <v>－</v>
      </c>
      <c r="AD265" s="19" t="str">
        <f>"－"</f>
        <v>－</v>
      </c>
    </row>
    <row r="266">
      <c r="A266" s="9" t="s">
        <v>49</v>
      </c>
      <c r="B266" s="10" t="s">
        <v>354</v>
      </c>
      <c r="C266" s="10" t="s">
        <v>355</v>
      </c>
      <c r="D266" s="10" t="s">
        <v>60</v>
      </c>
      <c r="E266" s="11" t="s">
        <v>61</v>
      </c>
      <c r="F266" s="11" t="s">
        <v>62</v>
      </c>
      <c r="G266" s="12" t="n">
        <v>10.0</v>
      </c>
      <c r="H266" s="13"/>
      <c r="I266" s="14" t="s">
        <v>55</v>
      </c>
      <c r="J266" s="13"/>
      <c r="K266" s="14" t="s">
        <v>55</v>
      </c>
      <c r="L266" s="13"/>
      <c r="M266" s="14"/>
      <c r="N266" s="13"/>
      <c r="O266" s="14" t="s">
        <v>55</v>
      </c>
      <c r="P266" s="13"/>
      <c r="Q266" s="14"/>
      <c r="R266" s="13"/>
      <c r="S266" s="14" t="s">
        <v>55</v>
      </c>
      <c r="T266" s="15" t="n">
        <f>105000</f>
        <v>105000.0</v>
      </c>
      <c r="U266" s="16" t="str">
        <f>"－"</f>
        <v>－</v>
      </c>
      <c r="V266" s="16"/>
      <c r="W266" s="16"/>
      <c r="X266" s="16" t="str">
        <f>"－"</f>
        <v>－</v>
      </c>
      <c r="Y266" s="16"/>
      <c r="Z266" s="17"/>
      <c r="AA266" s="13"/>
      <c r="AB266" s="18" t="str">
        <f>"－"</f>
        <v>－</v>
      </c>
      <c r="AC266" s="18" t="str">
        <f>"－"</f>
        <v>－</v>
      </c>
      <c r="AD266" s="19" t="str">
        <f>"－"</f>
        <v>－</v>
      </c>
    </row>
    <row r="267">
      <c r="A267" s="9" t="s">
        <v>49</v>
      </c>
      <c r="B267" s="10" t="s">
        <v>354</v>
      </c>
      <c r="C267" s="10" t="s">
        <v>355</v>
      </c>
      <c r="D267" s="10" t="s">
        <v>63</v>
      </c>
      <c r="E267" s="11" t="s">
        <v>64</v>
      </c>
      <c r="F267" s="11" t="s">
        <v>65</v>
      </c>
      <c r="G267" s="12" t="n">
        <v>10.0</v>
      </c>
      <c r="H267" s="13"/>
      <c r="I267" s="14" t="s">
        <v>55</v>
      </c>
      <c r="J267" s="13"/>
      <c r="K267" s="14" t="s">
        <v>55</v>
      </c>
      <c r="L267" s="13"/>
      <c r="M267" s="14"/>
      <c r="N267" s="13"/>
      <c r="O267" s="14" t="s">
        <v>55</v>
      </c>
      <c r="P267" s="13"/>
      <c r="Q267" s="14"/>
      <c r="R267" s="13"/>
      <c r="S267" s="14" t="s">
        <v>55</v>
      </c>
      <c r="T267" s="15" t="n">
        <f>105000</f>
        <v>105000.0</v>
      </c>
      <c r="U267" s="16" t="str">
        <f>"－"</f>
        <v>－</v>
      </c>
      <c r="V267" s="16"/>
      <c r="W267" s="16"/>
      <c r="X267" s="16" t="str">
        <f>"－"</f>
        <v>－</v>
      </c>
      <c r="Y267" s="16"/>
      <c r="Z267" s="17"/>
      <c r="AA267" s="13"/>
      <c r="AB267" s="18" t="str">
        <f>"－"</f>
        <v>－</v>
      </c>
      <c r="AC267" s="18" t="str">
        <f>"－"</f>
        <v>－</v>
      </c>
      <c r="AD267" s="19" t="str">
        <f>"－"</f>
        <v>－</v>
      </c>
    </row>
    <row r="268">
      <c r="A268" s="9" t="s">
        <v>49</v>
      </c>
      <c r="B268" s="10" t="s">
        <v>354</v>
      </c>
      <c r="C268" s="10" t="s">
        <v>355</v>
      </c>
      <c r="D268" s="10" t="s">
        <v>66</v>
      </c>
      <c r="E268" s="11" t="s">
        <v>67</v>
      </c>
      <c r="F268" s="11" t="s">
        <v>68</v>
      </c>
      <c r="G268" s="12" t="n">
        <v>10.0</v>
      </c>
      <c r="H268" s="13"/>
      <c r="I268" s="14" t="s">
        <v>55</v>
      </c>
      <c r="J268" s="13"/>
      <c r="K268" s="14" t="s">
        <v>55</v>
      </c>
      <c r="L268" s="13"/>
      <c r="M268" s="14"/>
      <c r="N268" s="13"/>
      <c r="O268" s="14" t="s">
        <v>55</v>
      </c>
      <c r="P268" s="13"/>
      <c r="Q268" s="14"/>
      <c r="R268" s="13"/>
      <c r="S268" s="14" t="s">
        <v>55</v>
      </c>
      <c r="T268" s="15" t="n">
        <f>105000</f>
        <v>105000.0</v>
      </c>
      <c r="U268" s="16" t="str">
        <f>"－"</f>
        <v>－</v>
      </c>
      <c r="V268" s="16"/>
      <c r="W268" s="16"/>
      <c r="X268" s="16" t="str">
        <f>"－"</f>
        <v>－</v>
      </c>
      <c r="Y268" s="16"/>
      <c r="Z268" s="17"/>
      <c r="AA268" s="13"/>
      <c r="AB268" s="18" t="str">
        <f>"－"</f>
        <v>－</v>
      </c>
      <c r="AC268" s="18" t="str">
        <f>"－"</f>
        <v>－</v>
      </c>
      <c r="AD268" s="19" t="str">
        <f>"－"</f>
        <v>－</v>
      </c>
    </row>
    <row r="269">
      <c r="A269" s="9" t="s">
        <v>49</v>
      </c>
      <c r="B269" s="10" t="s">
        <v>354</v>
      </c>
      <c r="C269" s="10" t="s">
        <v>355</v>
      </c>
      <c r="D269" s="10" t="s">
        <v>69</v>
      </c>
      <c r="E269" s="11" t="s">
        <v>70</v>
      </c>
      <c r="F269" s="11" t="s">
        <v>71</v>
      </c>
      <c r="G269" s="12" t="n">
        <v>10.0</v>
      </c>
      <c r="H269" s="13"/>
      <c r="I269" s="14" t="s">
        <v>55</v>
      </c>
      <c r="J269" s="13"/>
      <c r="K269" s="14" t="s">
        <v>55</v>
      </c>
      <c r="L269" s="13"/>
      <c r="M269" s="14"/>
      <c r="N269" s="13"/>
      <c r="O269" s="14" t="s">
        <v>55</v>
      </c>
      <c r="P269" s="13"/>
      <c r="Q269" s="14"/>
      <c r="R269" s="13"/>
      <c r="S269" s="14" t="s">
        <v>55</v>
      </c>
      <c r="T269" s="15" t="n">
        <f>105000</f>
        <v>105000.0</v>
      </c>
      <c r="U269" s="16" t="str">
        <f>"－"</f>
        <v>－</v>
      </c>
      <c r="V269" s="16"/>
      <c r="W269" s="16"/>
      <c r="X269" s="16" t="str">
        <f>"－"</f>
        <v>－</v>
      </c>
      <c r="Y269" s="16"/>
      <c r="Z269" s="17"/>
      <c r="AA269" s="13"/>
      <c r="AB269" s="18" t="str">
        <f>"－"</f>
        <v>－</v>
      </c>
      <c r="AC269" s="18" t="str">
        <f>"－"</f>
        <v>－</v>
      </c>
      <c r="AD269" s="19" t="str">
        <f>"－"</f>
        <v>－</v>
      </c>
    </row>
    <row r="270">
      <c r="A270" s="9" t="s">
        <v>49</v>
      </c>
      <c r="B270" s="10" t="s">
        <v>354</v>
      </c>
      <c r="C270" s="10" t="s">
        <v>355</v>
      </c>
      <c r="D270" s="10" t="s">
        <v>72</v>
      </c>
      <c r="E270" s="11" t="s">
        <v>73</v>
      </c>
      <c r="F270" s="11" t="s">
        <v>74</v>
      </c>
      <c r="G270" s="12" t="n">
        <v>10.0</v>
      </c>
      <c r="H270" s="13"/>
      <c r="I270" s="14" t="s">
        <v>55</v>
      </c>
      <c r="J270" s="13"/>
      <c r="K270" s="14" t="s">
        <v>55</v>
      </c>
      <c r="L270" s="13"/>
      <c r="M270" s="14"/>
      <c r="N270" s="13"/>
      <c r="O270" s="14" t="s">
        <v>55</v>
      </c>
      <c r="P270" s="13"/>
      <c r="Q270" s="14"/>
      <c r="R270" s="13"/>
      <c r="S270" s="14" t="s">
        <v>55</v>
      </c>
      <c r="T270" s="15" t="n">
        <f>105000</f>
        <v>105000.0</v>
      </c>
      <c r="U270" s="16" t="str">
        <f>"－"</f>
        <v>－</v>
      </c>
      <c r="V270" s="16"/>
      <c r="W270" s="16"/>
      <c r="X270" s="16" t="str">
        <f>"－"</f>
        <v>－</v>
      </c>
      <c r="Y270" s="16"/>
      <c r="Z270" s="17"/>
      <c r="AA270" s="13"/>
      <c r="AB270" s="18" t="str">
        <f>"－"</f>
        <v>－</v>
      </c>
      <c r="AC270" s="18" t="str">
        <f>"－"</f>
        <v>－</v>
      </c>
      <c r="AD270" s="19" t="str">
        <f>"－"</f>
        <v>－</v>
      </c>
    </row>
  </sheetData>
  <mergeCells count="34">
    <mergeCell ref="Y4:Y5"/>
    <mergeCell ref="Z4:Z5"/>
    <mergeCell ref="W4:W5"/>
    <mergeCell ref="X4:X5"/>
    <mergeCell ref="A1:K1"/>
    <mergeCell ref="A2:C2"/>
    <mergeCell ref="AA2:AB2"/>
    <mergeCell ref="A3:A5"/>
    <mergeCell ref="B3:B6"/>
    <mergeCell ref="C3:C6"/>
    <mergeCell ref="D3:D5"/>
    <mergeCell ref="E3:F5"/>
    <mergeCell ref="G3:G5"/>
    <mergeCell ref="H3:S3"/>
    <mergeCell ref="T3:T5"/>
    <mergeCell ref="U3:W3"/>
    <mergeCell ref="X3:Z3"/>
    <mergeCell ref="AA3:AB5"/>
    <mergeCell ref="E6:F6"/>
    <mergeCell ref="AA6:AB6"/>
    <mergeCell ref="AC3:AC5"/>
    <mergeCell ref="AD3:AD5"/>
    <mergeCell ref="H4:H5"/>
    <mergeCell ref="I4:I5"/>
    <mergeCell ref="J4:J5"/>
    <mergeCell ref="K4:K5"/>
    <mergeCell ref="L4:M4"/>
    <mergeCell ref="N4:N5"/>
    <mergeCell ref="O4:O5"/>
    <mergeCell ref="P4:Q4"/>
    <mergeCell ref="R4:R5"/>
    <mergeCell ref="S4:S5"/>
    <mergeCell ref="U4:U5"/>
    <mergeCell ref="V4:V5"/>
  </mergeCells>
  <phoneticPr fontId="6"/>
  <printOptions horizontalCentered="1"/>
  <pageMargins left="0.39370078740157483" right="0.39370078740157483" top="0.59055118110236227" bottom="0.98425196850393704" header="0.51181102362204722" footer="0.51181102362204722"/>
  <pageSetup paperSize="9" scale="35" fitToHeight="0" orientation="landscape" useFirstPageNumber="1" r:id="rId1"/>
  <headerFooter>
    <oddFooter xml:space="preserve">&amp;C&amp;P/&amp;N&amp;RCopyright (c) Japan Exchange Group, Inc. All Rights Reserved.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BO_DM0007</vt:lpstr>
      <vt:lpstr>BO_DM0007!Print_Titles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2017-12-14T02:19:15Z</dcterms:created>
  <cp:lastPrinted>2020-11-13T03:36:16Z</cp:lastPrinted>
  <dcterms:modified xsi:type="dcterms:W3CDTF">2020-11-13T04:05:16Z</dcterms:modified>
</cp:coreProperties>
</file>