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mlhtcwipf01jc10\userdata\k-yazu\Desktop\20210120235921\"/>
    </mc:Choice>
  </mc:AlternateContent>
  <xr:revisionPtr revIDLastSave="0" documentId="13_ncr:1_{B35173E5-8316-4E56-9088-041B1DF30EEA}" xr6:coauthVersionLast="45" xr6:coauthVersionMax="45" xr10:uidLastSave="{00000000-0000-0000-0000-000000000000}"/>
  <bookViews>
    <workbookView xWindow="3300" yWindow="1320" windowWidth="16380" windowHeight="10290" tabRatio="734" xr2:uid="{00000000-000D-0000-FFFF-FFFF00000000}"/>
  </bookViews>
  <sheets>
    <sheet name="月次-RSS3" sheetId="5" r:id="rId1"/>
    <sheet name="月次-TSR20" sheetId="14" r:id="rId2"/>
    <sheet name="年次-RSS3" sheetId="10" r:id="rId3"/>
    <sheet name="年次-TSR20" sheetId="15" r:id="rId4"/>
  </sheets>
  <definedNames>
    <definedName name="_xlnm.Print_Titles" localSheetId="0">'月次-RSS3'!$1:$1</definedName>
    <definedName name="_xlnm.Print_Titles" localSheetId="1">'月次-TSR20'!$1:$1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0" i="10" l="1"/>
  <c r="I4" i="15"/>
  <c r="I3" i="15" l="1"/>
  <c r="I2" i="15"/>
  <c r="I2" i="14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C2" i="10" l="1"/>
  <c r="I2" i="10" l="1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5" i="10" l="1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34" i="10"/>
  <c r="I365" i="5" l="1"/>
  <c r="I3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2" i="5"/>
  <c r="F129" i="5" l="1"/>
  <c r="F128" i="5"/>
  <c r="F127" i="5"/>
  <c r="F126" i="5"/>
  <c r="F125" i="5"/>
  <c r="F124" i="5"/>
  <c r="F123" i="5"/>
  <c r="C129" i="5"/>
  <c r="C128" i="5"/>
  <c r="C127" i="5"/>
  <c r="C126" i="5"/>
  <c r="C125" i="5"/>
  <c r="C124" i="5"/>
  <c r="C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F110" i="5"/>
  <c r="F109" i="5"/>
  <c r="F108" i="5"/>
  <c r="F107" i="5"/>
  <c r="F106" i="5"/>
  <c r="F105" i="5"/>
  <c r="F104" i="5"/>
  <c r="F102" i="5"/>
  <c r="F103" i="5"/>
  <c r="F101" i="5"/>
  <c r="F100" i="5"/>
  <c r="F99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F98" i="5"/>
  <c r="F97" i="5"/>
  <c r="F96" i="5"/>
  <c r="F95" i="5"/>
  <c r="F94" i="5"/>
  <c r="F93" i="5"/>
  <c r="F92" i="5"/>
  <c r="F91" i="5"/>
  <c r="F90" i="5"/>
  <c r="F89" i="5"/>
  <c r="F88" i="5"/>
  <c r="F87" i="5"/>
  <c r="C98" i="5"/>
  <c r="C97" i="5"/>
  <c r="C96" i="5"/>
  <c r="C95" i="5"/>
  <c r="C94" i="5"/>
  <c r="C93" i="5"/>
  <c r="C92" i="5"/>
  <c r="C91" i="5"/>
  <c r="C90" i="5"/>
  <c r="C89" i="5"/>
  <c r="C88" i="5"/>
  <c r="C87" i="5"/>
  <c r="F86" i="5"/>
  <c r="F85" i="5"/>
  <c r="F84" i="5"/>
  <c r="F83" i="5"/>
  <c r="F82" i="5"/>
  <c r="F81" i="5"/>
  <c r="F80" i="5"/>
  <c r="F79" i="5"/>
  <c r="F78" i="5"/>
  <c r="F77" i="5"/>
  <c r="F76" i="5"/>
  <c r="F75" i="5"/>
  <c r="C86" i="5"/>
  <c r="C85" i="5"/>
  <c r="C84" i="5"/>
  <c r="C83" i="5"/>
  <c r="C82" i="5"/>
  <c r="C81" i="5"/>
  <c r="C80" i="5"/>
  <c r="C79" i="5"/>
  <c r="C78" i="5"/>
  <c r="C77" i="5"/>
  <c r="C76" i="5"/>
  <c r="C75" i="5"/>
  <c r="F74" i="5"/>
  <c r="F73" i="5"/>
  <c r="F72" i="5"/>
  <c r="F71" i="5"/>
  <c r="F70" i="5"/>
  <c r="F69" i="5"/>
  <c r="F68" i="5"/>
  <c r="F67" i="5"/>
  <c r="F66" i="5"/>
  <c r="F65" i="5"/>
  <c r="F64" i="5"/>
  <c r="F63" i="5"/>
  <c r="C74" i="5"/>
  <c r="C73" i="5"/>
  <c r="C72" i="5"/>
  <c r="C71" i="5"/>
  <c r="C70" i="5"/>
  <c r="C69" i="5"/>
  <c r="C68" i="5"/>
  <c r="C67" i="5"/>
  <c r="C66" i="5"/>
  <c r="C65" i="5"/>
  <c r="C64" i="5"/>
  <c r="C63" i="5"/>
  <c r="F60" i="5"/>
  <c r="F59" i="5"/>
  <c r="F58" i="5"/>
  <c r="F57" i="5"/>
  <c r="F56" i="5"/>
  <c r="F55" i="5"/>
  <c r="F54" i="5"/>
  <c r="F53" i="5"/>
  <c r="F52" i="5"/>
  <c r="F51" i="5"/>
  <c r="F62" i="5"/>
  <c r="F61" i="5"/>
  <c r="C62" i="5"/>
  <c r="C61" i="5"/>
  <c r="C59" i="5"/>
  <c r="C60" i="5"/>
  <c r="C58" i="5"/>
  <c r="C57" i="5"/>
  <c r="C56" i="5"/>
  <c r="C55" i="5"/>
  <c r="C54" i="5"/>
  <c r="C53" i="5"/>
  <c r="C52" i="5"/>
  <c r="C51" i="5"/>
  <c r="F50" i="5"/>
  <c r="F49" i="5"/>
  <c r="F48" i="5"/>
  <c r="F47" i="5"/>
  <c r="F46" i="5"/>
  <c r="F45" i="5"/>
  <c r="F44" i="5"/>
  <c r="F43" i="5"/>
  <c r="F42" i="5"/>
  <c r="F41" i="5"/>
  <c r="F40" i="5"/>
  <c r="F39" i="5"/>
  <c r="C50" i="5"/>
  <c r="C49" i="5"/>
  <c r="C48" i="5"/>
  <c r="C47" i="5"/>
  <c r="C46" i="5"/>
  <c r="C45" i="5"/>
  <c r="C44" i="5"/>
  <c r="C43" i="5"/>
  <c r="C42" i="5"/>
  <c r="C41" i="5"/>
  <c r="C40" i="5"/>
  <c r="C39" i="5"/>
  <c r="F38" i="5"/>
  <c r="F37" i="5"/>
  <c r="F36" i="5"/>
  <c r="F35" i="5"/>
  <c r="F34" i="5"/>
  <c r="F33" i="5"/>
  <c r="F32" i="5"/>
  <c r="F31" i="5"/>
  <c r="F30" i="5"/>
  <c r="F29" i="5"/>
  <c r="F28" i="5"/>
  <c r="F27" i="5"/>
  <c r="C38" i="5"/>
  <c r="C37" i="5"/>
  <c r="C36" i="5"/>
  <c r="C35" i="5"/>
  <c r="C34" i="5"/>
  <c r="C33" i="5"/>
  <c r="C32" i="5"/>
  <c r="C31" i="5"/>
  <c r="C30" i="5"/>
  <c r="C29" i="5"/>
  <c r="C28" i="5"/>
  <c r="C27" i="5"/>
  <c r="F26" i="5"/>
  <c r="F25" i="5"/>
  <c r="F24" i="5"/>
  <c r="F23" i="5"/>
  <c r="F22" i="5"/>
  <c r="F21" i="5"/>
  <c r="F20" i="5"/>
  <c r="F19" i="5"/>
  <c r="F18" i="5"/>
  <c r="F17" i="5"/>
  <c r="F16" i="5"/>
  <c r="F15" i="5"/>
  <c r="C26" i="5"/>
  <c r="C25" i="5"/>
  <c r="C24" i="5"/>
  <c r="C23" i="5"/>
  <c r="C22" i="5"/>
  <c r="C21" i="5"/>
  <c r="C20" i="5"/>
  <c r="C19" i="5"/>
  <c r="C18" i="5"/>
  <c r="C17" i="5"/>
  <c r="C16" i="5"/>
  <c r="C15" i="5"/>
  <c r="F2" i="5"/>
  <c r="F3" i="5"/>
  <c r="F4" i="5"/>
  <c r="F5" i="5"/>
  <c r="F6" i="5"/>
  <c r="F7" i="5"/>
  <c r="F8" i="5"/>
  <c r="F9" i="5"/>
  <c r="F10" i="5"/>
  <c r="F11" i="5"/>
  <c r="F12" i="5"/>
  <c r="F13" i="5"/>
  <c r="F14" i="5"/>
  <c r="C2" i="5"/>
  <c r="C3" i="5"/>
  <c r="C14" i="5"/>
  <c r="C13" i="5"/>
  <c r="C12" i="5"/>
  <c r="C11" i="5"/>
  <c r="C10" i="5"/>
  <c r="C9" i="5"/>
  <c r="C8" i="5"/>
  <c r="C7" i="5"/>
  <c r="C6" i="5"/>
  <c r="C5" i="5"/>
  <c r="C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Kensuke Yazu</author>
  </authors>
  <commentList>
    <comment ref="C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四本値に付き、1989.5まで納会日以降は-1番限のデータを採用。1989.6以降の納会日以降は新規に取引開始された6番限を採用。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Kensuke Yazu</author>
  </authors>
  <commentList>
    <comment ref="C1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四本値に付き、1989.5まで納会日以降は-1番限のデータを採用。1989.6以降の納会日以降は新規に取引開始された6番限を採用。</t>
        </r>
      </text>
    </comment>
  </commentList>
</comments>
</file>

<file path=xl/sharedStrings.xml><?xml version="1.0" encoding="utf-8"?>
<sst xmlns="http://schemas.openxmlformats.org/spreadsheetml/2006/main" count="74" uniqueCount="40">
  <si>
    <t>高値</t>
    <rPh sb="0" eb="2">
      <t>タカネ</t>
    </rPh>
    <phoneticPr fontId="2"/>
  </si>
  <si>
    <t>安値</t>
    <rPh sb="0" eb="2">
      <t>ヤスネ</t>
    </rPh>
    <phoneticPr fontId="2"/>
  </si>
  <si>
    <t>始値</t>
    <rPh sb="0" eb="1">
      <t>ハジ</t>
    </rPh>
    <rPh sb="1" eb="2">
      <t>ネ</t>
    </rPh>
    <phoneticPr fontId="2"/>
  </si>
  <si>
    <t>終値</t>
    <rPh sb="0" eb="2">
      <t>オワリネ</t>
    </rPh>
    <phoneticPr fontId="2"/>
  </si>
  <si>
    <t>番限</t>
    <rPh sb="0" eb="1">
      <t>バン</t>
    </rPh>
    <rPh sb="1" eb="2">
      <t>キリ</t>
    </rPh>
    <phoneticPr fontId="2"/>
  </si>
  <si>
    <t>年</t>
    <rPh sb="0" eb="1">
      <t>ネン</t>
    </rPh>
    <phoneticPr fontId="2"/>
  </si>
  <si>
    <t>年月</t>
    <rPh sb="0" eb="1">
      <t>ネン</t>
    </rPh>
    <rPh sb="1" eb="2">
      <t>ツキ</t>
    </rPh>
    <phoneticPr fontId="2"/>
  </si>
  <si>
    <t>月間
総取引高</t>
    <rPh sb="0" eb="2">
      <t>ゲッカン</t>
    </rPh>
    <rPh sb="3" eb="4">
      <t>ソウ</t>
    </rPh>
    <rPh sb="4" eb="6">
      <t>トリヒキ</t>
    </rPh>
    <rPh sb="6" eb="7">
      <t>ダカ</t>
    </rPh>
    <phoneticPr fontId="2"/>
  </si>
  <si>
    <t>一日平均
取引高</t>
    <rPh sb="0" eb="2">
      <t>イチニチ</t>
    </rPh>
    <rPh sb="2" eb="4">
      <t>ヘイキン</t>
    </rPh>
    <rPh sb="5" eb="7">
      <t>トリヒキ</t>
    </rPh>
    <rPh sb="7" eb="8">
      <t>ダカ</t>
    </rPh>
    <phoneticPr fontId="2"/>
  </si>
  <si>
    <t>立会日数</t>
    <rPh sb="0" eb="2">
      <t>タチアイ</t>
    </rPh>
    <rPh sb="2" eb="4">
      <t>ニッスウ</t>
    </rPh>
    <phoneticPr fontId="2"/>
  </si>
  <si>
    <t>総受渡高</t>
    <rPh sb="0" eb="1">
      <t>ソウ</t>
    </rPh>
    <rPh sb="1" eb="3">
      <t>ウケワタシ</t>
    </rPh>
    <rPh sb="3" eb="4">
      <t>ダカ</t>
    </rPh>
    <phoneticPr fontId="2"/>
  </si>
  <si>
    <t>備考</t>
    <rPh sb="0" eb="2">
      <t>ビコウ</t>
    </rPh>
    <phoneticPr fontId="2"/>
  </si>
  <si>
    <t>RSS1立会休止（1963.11.1）、廃止日は1990.12.27</t>
    <rPh sb="4" eb="6">
      <t>タチアイ</t>
    </rPh>
    <rPh sb="6" eb="8">
      <t>キュウシ</t>
    </rPh>
    <rPh sb="20" eb="22">
      <t>ハイシ</t>
    </rPh>
    <rPh sb="22" eb="23">
      <t>ビ</t>
    </rPh>
    <phoneticPr fontId="2"/>
  </si>
  <si>
    <t>総取組高
（年末）</t>
    <rPh sb="0" eb="1">
      <t>ソウ</t>
    </rPh>
    <rPh sb="1" eb="3">
      <t>トリクミ</t>
    </rPh>
    <rPh sb="3" eb="4">
      <t>ダカ</t>
    </rPh>
    <rPh sb="6" eb="8">
      <t>ネンマツ</t>
    </rPh>
    <phoneticPr fontId="2"/>
  </si>
  <si>
    <t>年間
総取引高</t>
    <rPh sb="0" eb="2">
      <t>ネンカン</t>
    </rPh>
    <rPh sb="3" eb="4">
      <t>ソウ</t>
    </rPh>
    <rPh sb="4" eb="6">
      <t>トリヒキ</t>
    </rPh>
    <rPh sb="6" eb="7">
      <t>ダカ</t>
    </rPh>
    <phoneticPr fontId="2"/>
  </si>
  <si>
    <t>立会
日数</t>
    <rPh sb="0" eb="2">
      <t>タチアイ</t>
    </rPh>
    <rPh sb="3" eb="5">
      <t>ニッスウ</t>
    </rPh>
    <phoneticPr fontId="2"/>
  </si>
  <si>
    <t>売買・受渡単位250ポンド→500ポンド（1954.1.1、6月限から）</t>
    <rPh sb="0" eb="2">
      <t>バイバイ</t>
    </rPh>
    <rPh sb="3" eb="4">
      <t>ウ</t>
    </rPh>
    <rPh sb="4" eb="5">
      <t>ワタ</t>
    </rPh>
    <rPh sb="5" eb="7">
      <t>タンイ</t>
    </rPh>
    <rPh sb="31" eb="32">
      <t>ガツ</t>
    </rPh>
    <rPh sb="32" eb="33">
      <t>キリ</t>
    </rPh>
    <phoneticPr fontId="2"/>
  </si>
  <si>
    <t>取引限月 変則6限月制→連続6限月制（1992.12.8、7月限から）</t>
    <rPh sb="0" eb="2">
      <t>トリヒキ</t>
    </rPh>
    <rPh sb="2" eb="4">
      <t>ゲンゲツ</t>
    </rPh>
    <rPh sb="5" eb="7">
      <t>ヘンソク</t>
    </rPh>
    <rPh sb="8" eb="10">
      <t>ゲンゲツ</t>
    </rPh>
    <rPh sb="10" eb="11">
      <t>セイ</t>
    </rPh>
    <rPh sb="12" eb="14">
      <t>レンゾク</t>
    </rPh>
    <rPh sb="15" eb="17">
      <t>ゲンゲツ</t>
    </rPh>
    <rPh sb="17" eb="18">
      <t>セイ</t>
    </rPh>
    <rPh sb="30" eb="31">
      <t>ガツ</t>
    </rPh>
    <rPh sb="31" eb="32">
      <t>キリ</t>
    </rPh>
    <phoneticPr fontId="2"/>
  </si>
  <si>
    <t>取引単位・受渡単位5,000kg→10,000kg、標準価格帯及び制限値段の変更（2002.5.21）</t>
    <rPh sb="0" eb="2">
      <t>トリヒキ</t>
    </rPh>
    <rPh sb="2" eb="4">
      <t>タンイ</t>
    </rPh>
    <rPh sb="5" eb="7">
      <t>ウケワタシ</t>
    </rPh>
    <rPh sb="7" eb="9">
      <t>タンイ</t>
    </rPh>
    <phoneticPr fontId="2"/>
  </si>
  <si>
    <t>EFP取引導入</t>
    <phoneticPr fontId="2"/>
  </si>
  <si>
    <t>取引限月 連続6限月→連続9限月制（1984.1.4）</t>
    <rPh sb="0" eb="2">
      <t>トリヒキ</t>
    </rPh>
    <rPh sb="2" eb="4">
      <t>ゲンゲツ</t>
    </rPh>
    <rPh sb="9" eb="10">
      <t>ゲツ</t>
    </rPh>
    <phoneticPr fontId="2"/>
  </si>
  <si>
    <t>標準価格帯・制限値段の変更（1995.4.3）</t>
    <phoneticPr fontId="2"/>
  </si>
  <si>
    <t>取引開始（1952.12.12）※ポンド建値段×2.2046でキロ建換算</t>
    <rPh sb="0" eb="2">
      <t>トリヒキ</t>
    </rPh>
    <rPh sb="2" eb="4">
      <t>カイシ</t>
    </rPh>
    <rPh sb="20" eb="21">
      <t>ダ</t>
    </rPh>
    <rPh sb="21" eb="23">
      <t>ネダン</t>
    </rPh>
    <rPh sb="33" eb="34">
      <t>ダ</t>
    </rPh>
    <rPh sb="34" eb="36">
      <t>カンサン</t>
    </rPh>
    <phoneticPr fontId="2"/>
  </si>
  <si>
    <t>売買・受渡単位500ポンド→1,000ポンド（1959.2.1、1956.7月限から）</t>
    <rPh sb="0" eb="2">
      <t>バイバイ</t>
    </rPh>
    <rPh sb="3" eb="4">
      <t>ウ</t>
    </rPh>
    <rPh sb="4" eb="5">
      <t>ワタ</t>
    </rPh>
    <rPh sb="5" eb="7">
      <t>タンイ</t>
    </rPh>
    <rPh sb="38" eb="39">
      <t>ガツ</t>
    </rPh>
    <rPh sb="39" eb="40">
      <t>キリ</t>
    </rPh>
    <phoneticPr fontId="2"/>
  </si>
  <si>
    <t>売買・受渡単位1,000ポンド→2,000ポンド（1961.8.1、1962.1月限から）</t>
    <rPh sb="0" eb="2">
      <t>バイバイ</t>
    </rPh>
    <rPh sb="3" eb="4">
      <t>ウ</t>
    </rPh>
    <rPh sb="4" eb="5">
      <t>ワタ</t>
    </rPh>
    <rPh sb="5" eb="7">
      <t>タンイ</t>
    </rPh>
    <rPh sb="40" eb="41">
      <t>ガツ</t>
    </rPh>
    <rPh sb="41" eb="42">
      <t>キリ</t>
    </rPh>
    <phoneticPr fontId="2"/>
  </si>
  <si>
    <t>売買・受渡単位2,000ポンド→3,000kg（1966.5.2、1966.10月限から）、値幅制限8%→5%</t>
    <rPh sb="0" eb="2">
      <t>バイバイ</t>
    </rPh>
    <rPh sb="3" eb="4">
      <t>ウ</t>
    </rPh>
    <rPh sb="4" eb="5">
      <t>ワタ</t>
    </rPh>
    <rPh sb="5" eb="7">
      <t>タンイ</t>
    </rPh>
    <rPh sb="40" eb="41">
      <t>ガツ</t>
    </rPh>
    <rPh sb="41" eb="42">
      <t>キリ</t>
    </rPh>
    <phoneticPr fontId="2"/>
  </si>
  <si>
    <t>東京工業品取引所に統合（1984.11.1）</t>
    <rPh sb="0" eb="2">
      <t>トウキョウ</t>
    </rPh>
    <rPh sb="2" eb="4">
      <t>コウギョウ</t>
    </rPh>
    <rPh sb="4" eb="5">
      <t>ヒン</t>
    </rPh>
    <rPh sb="5" eb="7">
      <t>トリヒキ</t>
    </rPh>
    <rPh sb="7" eb="8">
      <t>ジョ</t>
    </rPh>
    <rPh sb="9" eb="11">
      <t>トウゴウ</t>
    </rPh>
    <phoneticPr fontId="2"/>
  </si>
  <si>
    <t>取引限月 連続9限月制→変則6限月制に変更（1987.11.2）</t>
    <rPh sb="0" eb="2">
      <t>トリヒキ</t>
    </rPh>
    <rPh sb="2" eb="4">
      <t>ゲンゲツ</t>
    </rPh>
    <rPh sb="5" eb="7">
      <t>レンゾク</t>
    </rPh>
    <rPh sb="8" eb="10">
      <t>ゲンゲツ</t>
    </rPh>
    <rPh sb="10" eb="11">
      <t>セイ</t>
    </rPh>
    <rPh sb="12" eb="14">
      <t>ヘンソク</t>
    </rPh>
    <rPh sb="15" eb="17">
      <t>ゲンゲツ</t>
    </rPh>
    <rPh sb="17" eb="18">
      <t>セイ</t>
    </rPh>
    <rPh sb="19" eb="21">
      <t>ヘンコウ</t>
    </rPh>
    <phoneticPr fontId="2"/>
  </si>
  <si>
    <t>新甫発会日を翌月第一営業日から当限落ちの翌営業日に変更（1989.6.27）</t>
    <rPh sb="0" eb="2">
      <t>シンポ</t>
    </rPh>
    <rPh sb="2" eb="4">
      <t>ハッカイ</t>
    </rPh>
    <rPh sb="4" eb="5">
      <t>ビ</t>
    </rPh>
    <rPh sb="6" eb="8">
      <t>ヨクゲツ</t>
    </rPh>
    <rPh sb="8" eb="9">
      <t>ダイ</t>
    </rPh>
    <rPh sb="9" eb="10">
      <t>イチ</t>
    </rPh>
    <rPh sb="10" eb="13">
      <t>エイギョウビ</t>
    </rPh>
    <rPh sb="15" eb="17">
      <t>トウギリ</t>
    </rPh>
    <rPh sb="17" eb="18">
      <t>オ</t>
    </rPh>
    <rPh sb="20" eb="24">
      <t>ヨクエイギョウビ</t>
    </rPh>
    <rPh sb="25" eb="27">
      <t>ヘンコウ</t>
    </rPh>
    <phoneticPr fontId="2"/>
  </si>
  <si>
    <t>手振り板寄せ取引から、システム売買による板合せ・ザラバ取引に移行（2005.1.4）</t>
    <phoneticPr fontId="2"/>
  </si>
  <si>
    <t>東京工業品取引所から東京商品取引所に社名変更（2013.2.12）</t>
    <rPh sb="0" eb="2">
      <t>トウキョウ</t>
    </rPh>
    <rPh sb="2" eb="4">
      <t>コウギョウ</t>
    </rPh>
    <rPh sb="4" eb="5">
      <t>ヒン</t>
    </rPh>
    <rPh sb="5" eb="7">
      <t>トリヒキ</t>
    </rPh>
    <rPh sb="7" eb="8">
      <t>ジョ</t>
    </rPh>
    <rPh sb="10" eb="12">
      <t>トウキョウ</t>
    </rPh>
    <rPh sb="12" eb="14">
      <t>ショウヒン</t>
    </rPh>
    <rPh sb="14" eb="16">
      <t>トリヒキ</t>
    </rPh>
    <rPh sb="16" eb="17">
      <t>ジョ</t>
    </rPh>
    <rPh sb="18" eb="20">
      <t>シャメイ</t>
    </rPh>
    <rPh sb="20" eb="22">
      <t>ヘンコウ</t>
    </rPh>
    <phoneticPr fontId="2"/>
  </si>
  <si>
    <t>月末
取組高</t>
    <rPh sb="0" eb="2">
      <t>ゲツマツ</t>
    </rPh>
    <rPh sb="3" eb="5">
      <t>トリクミ</t>
    </rPh>
    <rPh sb="5" eb="6">
      <t>ダカ</t>
    </rPh>
    <phoneticPr fontId="2"/>
  </si>
  <si>
    <t>月間
受渡高</t>
    <rPh sb="0" eb="2">
      <t>ゲッカン</t>
    </rPh>
    <rPh sb="3" eb="5">
      <t>ウケワタシ</t>
    </rPh>
    <rPh sb="5" eb="6">
      <t>ダカ</t>
    </rPh>
    <phoneticPr fontId="2"/>
  </si>
  <si>
    <t>出来事・備考</t>
    <rPh sb="0" eb="3">
      <t>デキゴト</t>
    </rPh>
    <rPh sb="4" eb="6">
      <t>ビコウ</t>
    </rPh>
    <phoneticPr fontId="2"/>
  </si>
  <si>
    <t>-</t>
  </si>
  <si>
    <t>RSS1上場、値幅制限10%→8%（1959.3.2）</t>
    <rPh sb="4" eb="6">
      <t>ジョウジョウ</t>
    </rPh>
    <rPh sb="7" eb="9">
      <t>ネハバ</t>
    </rPh>
    <rPh sb="9" eb="11">
      <t>セイゲン</t>
    </rPh>
    <phoneticPr fontId="2"/>
  </si>
  <si>
    <t>1964.1よりキロ建に変更</t>
    <rPh sb="10" eb="11">
      <t>ダ</t>
    </rPh>
    <rPh sb="12" eb="14">
      <t>ヘンコウ</t>
    </rPh>
    <phoneticPr fontId="2"/>
  </si>
  <si>
    <t>取引開始（2018.10.9）</t>
    <rPh sb="0" eb="2">
      <t>トリヒキ</t>
    </rPh>
    <rPh sb="2" eb="4">
      <t>カイシ</t>
    </rPh>
    <phoneticPr fontId="2"/>
  </si>
  <si>
    <t>取引時間を19:00まで延長</t>
    <rPh sb="0" eb="2">
      <t>トリヒキ</t>
    </rPh>
    <rPh sb="2" eb="4">
      <t>ジカン</t>
    </rPh>
    <rPh sb="12" eb="14">
      <t>エンチョウ</t>
    </rPh>
    <phoneticPr fontId="2"/>
  </si>
  <si>
    <t>12月受渡高を除く</t>
    <rPh sb="2" eb="3">
      <t>ガツ</t>
    </rPh>
    <rPh sb="3" eb="5">
      <t>ウケワタ</t>
    </rPh>
    <rPh sb="5" eb="6">
      <t>ダカ</t>
    </rPh>
    <rPh sb="7" eb="8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</si>
</sst>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_ "/>
    <numFmt numFmtId="178" formatCode="yyyy&quot;年&quot;m&quot;月&quot;;@"/>
    <numFmt numFmtId="179" formatCode="yyyy\.mm;@"/>
    <numFmt numFmtId="180" formatCode="0_);[Red]\(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Calibri"/>
      <family val="2"/>
    </font>
    <font>
      <sz val="10"/>
      <name val="ＭＳ Ｐゴシック"/>
      <family val="3"/>
      <charset val="128"/>
    </font>
    <font>
      <sz val="10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1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" fillId="0" borderId="0"/>
    <xf numFmtId="0" fontId="19" fillId="32" borderId="0" applyNumberFormat="0" applyBorder="0" applyAlignment="0" applyProtection="0">
      <alignment vertical="center"/>
    </xf>
  </cellStyleXfs>
  <cellXfs count="22">
    <xf numFmtId="0" fontId="0" fillId="0" borderId="0" xfId="0" applyAlignment="1">
      <alignment vertical="center"/>
    </xf>
    <xf numFmtId="178" fontId="20" fillId="0" borderId="0" xfId="42" applyNumberFormat="1" applyFont="1" applyFill="1" applyBorder="1" applyAlignment="1">
      <alignment vertical="center" shrinkToFit="1"/>
    </xf>
    <xf numFmtId="0" fontId="20" fillId="0" borderId="0" xfId="42" applyFont="1" applyBorder="1" applyAlignment="1">
      <alignment vertical="center" shrinkToFit="1"/>
    </xf>
    <xf numFmtId="0" fontId="20" fillId="0" borderId="0" xfId="42" applyFont="1" applyBorder="1" applyAlignment="1">
      <alignment horizontal="center" vertical="center" shrinkToFit="1"/>
    </xf>
    <xf numFmtId="179" fontId="20" fillId="0" borderId="0" xfId="42" applyNumberFormat="1" applyFont="1" applyFill="1" applyBorder="1" applyAlignment="1">
      <alignment vertical="center" shrinkToFit="1"/>
    </xf>
    <xf numFmtId="176" fontId="20" fillId="0" borderId="0" xfId="42" applyNumberFormat="1" applyFont="1" applyFill="1" applyBorder="1" applyAlignment="1">
      <alignment vertical="center" shrinkToFit="1"/>
    </xf>
    <xf numFmtId="177" fontId="20" fillId="0" borderId="0" xfId="42" applyNumberFormat="1" applyFont="1" applyFill="1" applyBorder="1" applyAlignment="1">
      <alignment vertical="center" shrinkToFit="1"/>
    </xf>
    <xf numFmtId="38" fontId="20" fillId="0" borderId="0" xfId="33" applyFont="1" applyFill="1" applyBorder="1" applyAlignment="1">
      <alignment vertical="center" shrinkToFit="1"/>
    </xf>
    <xf numFmtId="0" fontId="21" fillId="0" borderId="0" xfId="0" applyFont="1" applyAlignment="1">
      <alignment vertical="center"/>
    </xf>
    <xf numFmtId="38" fontId="22" fillId="0" borderId="0" xfId="33" applyFont="1" applyFill="1" applyBorder="1" applyAlignment="1">
      <alignment horizontal="center" vertical="center" wrapText="1"/>
    </xf>
    <xf numFmtId="38" fontId="22" fillId="0" borderId="0" xfId="33" applyFont="1" applyFill="1" applyBorder="1" applyAlignment="1">
      <alignment horizontal="center" vertical="center"/>
    </xf>
    <xf numFmtId="178" fontId="22" fillId="0" borderId="0" xfId="42" applyNumberFormat="1" applyFont="1" applyFill="1" applyBorder="1" applyAlignment="1">
      <alignment horizontal="center" vertical="center"/>
    </xf>
    <xf numFmtId="176" fontId="22" fillId="0" borderId="0" xfId="42" applyNumberFormat="1" applyFont="1" applyFill="1" applyBorder="1" applyAlignment="1">
      <alignment horizontal="center" vertical="center"/>
    </xf>
    <xf numFmtId="38" fontId="22" fillId="0" borderId="0" xfId="33" applyFont="1" applyFill="1" applyBorder="1" applyAlignment="1">
      <alignment vertical="center"/>
    </xf>
    <xf numFmtId="180" fontId="20" fillId="0" borderId="0" xfId="42" applyNumberFormat="1" applyFont="1" applyFill="1" applyBorder="1" applyAlignment="1">
      <alignment horizontal="right" vertical="center" shrinkToFit="1"/>
    </xf>
    <xf numFmtId="178" fontId="20" fillId="0" borderId="0" xfId="42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 vertical="center"/>
    </xf>
    <xf numFmtId="38" fontId="20" fillId="0" borderId="0" xfId="33" applyNumberFormat="1" applyFont="1" applyFill="1" applyBorder="1" applyAlignment="1">
      <alignment vertical="center" shrinkToFit="1"/>
    </xf>
    <xf numFmtId="38" fontId="20" fillId="0" borderId="0" xfId="42" applyNumberFormat="1" applyFont="1" applyFill="1" applyBorder="1" applyAlignment="1">
      <alignment vertical="center" shrinkToFit="1"/>
    </xf>
    <xf numFmtId="38" fontId="24" fillId="0" borderId="0" xfId="33" applyFont="1" applyFill="1" applyBorder="1" applyAlignment="1">
      <alignment vertical="center"/>
    </xf>
    <xf numFmtId="38" fontId="20" fillId="0" borderId="0" xfId="33" applyFont="1" applyFill="1" applyBorder="1" applyAlignment="1">
      <alignment horizontal="right" vertical="center" shrinkToFit="1"/>
    </xf>
    <xf numFmtId="176" fontId="20" fillId="0" borderId="0" xfId="42" applyNumberFormat="1" applyFont="1" applyFill="1" applyBorder="1" applyAlignment="1">
      <alignment horizontal="right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ゴム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3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4.125" defaultRowHeight="10.35" customHeight="1" x14ac:dyDescent="0.15"/>
  <cols>
    <col min="1" max="1" width="9.375" style="1" customWidth="1"/>
    <col min="2" max="2" width="5.375" style="6" customWidth="1"/>
    <col min="3" max="3" width="8.625" style="5" customWidth="1"/>
    <col min="4" max="4" width="8.875" style="5" customWidth="1"/>
    <col min="5" max="5" width="8.625" style="5" customWidth="1"/>
    <col min="6" max="6" width="8.875" style="5" customWidth="1"/>
    <col min="7" max="7" width="5.125" style="6" customWidth="1"/>
    <col min="8" max="9" width="8.875" style="7" customWidth="1"/>
    <col min="10" max="10" width="8.375" style="7" customWidth="1"/>
    <col min="11" max="11" width="8.875" style="7" customWidth="1"/>
    <col min="12" max="12" width="46.125" style="13" customWidth="1"/>
    <col min="13" max="16384" width="4.125" style="2"/>
  </cols>
  <sheetData>
    <row r="1" spans="1:12" s="3" customFormat="1" ht="35.25" customHeight="1" x14ac:dyDescent="0.15">
      <c r="A1" s="11" t="s">
        <v>6</v>
      </c>
      <c r="B1" s="12" t="s">
        <v>4</v>
      </c>
      <c r="C1" s="12" t="s">
        <v>2</v>
      </c>
      <c r="D1" s="12" t="s">
        <v>0</v>
      </c>
      <c r="E1" s="12" t="s">
        <v>1</v>
      </c>
      <c r="F1" s="12" t="s">
        <v>3</v>
      </c>
      <c r="G1" s="9" t="s">
        <v>9</v>
      </c>
      <c r="H1" s="9" t="s">
        <v>7</v>
      </c>
      <c r="I1" s="9" t="s">
        <v>8</v>
      </c>
      <c r="J1" s="9" t="s">
        <v>31</v>
      </c>
      <c r="K1" s="9" t="s">
        <v>32</v>
      </c>
      <c r="L1" s="13" t="s">
        <v>11</v>
      </c>
    </row>
    <row r="2" spans="1:12" ht="13.5" customHeight="1" x14ac:dyDescent="0.15">
      <c r="A2" s="4">
        <v>19329</v>
      </c>
      <c r="B2" s="6">
        <v>6</v>
      </c>
      <c r="C2" s="5">
        <f>2.2046*108.4</f>
        <v>238.97864000000001</v>
      </c>
      <c r="D2" s="5">
        <v>239</v>
      </c>
      <c r="E2" s="5">
        <v>208.1</v>
      </c>
      <c r="F2" s="5">
        <f>2.2046*108.4</f>
        <v>238.97864000000001</v>
      </c>
      <c r="G2" s="6">
        <v>14</v>
      </c>
      <c r="H2" s="7">
        <v>3323</v>
      </c>
      <c r="I2" s="7">
        <f>H2/G2</f>
        <v>237.35714285714286</v>
      </c>
      <c r="J2" s="7">
        <v>1144</v>
      </c>
      <c r="K2" s="7">
        <v>0</v>
      </c>
      <c r="L2" s="13" t="s">
        <v>22</v>
      </c>
    </row>
    <row r="3" spans="1:12" ht="13.5" customHeight="1" x14ac:dyDescent="0.15">
      <c r="A3" s="4">
        <v>19360</v>
      </c>
      <c r="B3" s="6">
        <v>6</v>
      </c>
      <c r="C3" s="5">
        <f>2.2046*101.5</f>
        <v>223.76690000000002</v>
      </c>
      <c r="D3" s="5">
        <v>223.8</v>
      </c>
      <c r="E3" s="5">
        <v>193.3</v>
      </c>
      <c r="F3" s="5">
        <f>2.2046*87.9</f>
        <v>193.78434000000001</v>
      </c>
      <c r="G3" s="6">
        <v>23</v>
      </c>
      <c r="H3" s="7">
        <v>5286</v>
      </c>
      <c r="I3" s="7">
        <f t="shared" ref="I3:I66" si="0">H3/G3</f>
        <v>229.82608695652175</v>
      </c>
      <c r="J3" s="7">
        <v>1909</v>
      </c>
      <c r="K3" s="7">
        <v>61</v>
      </c>
    </row>
    <row r="4" spans="1:12" ht="13.5" customHeight="1" x14ac:dyDescent="0.15">
      <c r="A4" s="4">
        <v>19391</v>
      </c>
      <c r="B4" s="6">
        <v>6</v>
      </c>
      <c r="C4" s="5">
        <f>2.2046*89.8</f>
        <v>197.97308000000001</v>
      </c>
      <c r="D4" s="5">
        <v>203.9</v>
      </c>
      <c r="E4" s="5">
        <v>191.1</v>
      </c>
      <c r="F4" s="5">
        <f>2.2046*88.3</f>
        <v>194.66618</v>
      </c>
      <c r="G4" s="6">
        <v>24</v>
      </c>
      <c r="H4" s="7">
        <v>7423</v>
      </c>
      <c r="I4" s="7">
        <f t="shared" si="0"/>
        <v>309.29166666666669</v>
      </c>
      <c r="J4" s="7">
        <v>3392</v>
      </c>
      <c r="K4" s="7">
        <v>125</v>
      </c>
    </row>
    <row r="5" spans="1:12" ht="13.5" customHeight="1" x14ac:dyDescent="0.15">
      <c r="A5" s="4">
        <v>19419</v>
      </c>
      <c r="B5" s="6">
        <v>6</v>
      </c>
      <c r="C5" s="5">
        <f>2.2046*88</f>
        <v>194.00480000000002</v>
      </c>
      <c r="D5" s="5">
        <v>194.7</v>
      </c>
      <c r="E5" s="5">
        <v>175.9</v>
      </c>
      <c r="F5" s="5">
        <f>2.2046*79.8</f>
        <v>175.92707999999999</v>
      </c>
      <c r="G5" s="6">
        <v>25</v>
      </c>
      <c r="H5" s="7">
        <v>7935</v>
      </c>
      <c r="I5" s="7">
        <f t="shared" si="0"/>
        <v>317.39999999999998</v>
      </c>
      <c r="J5" s="7">
        <v>4481</v>
      </c>
      <c r="K5" s="7">
        <v>240</v>
      </c>
    </row>
    <row r="6" spans="1:12" ht="13.5" customHeight="1" x14ac:dyDescent="0.15">
      <c r="A6" s="4">
        <v>19450</v>
      </c>
      <c r="B6" s="6">
        <v>6</v>
      </c>
      <c r="C6" s="5">
        <f>2.2046*77.6</f>
        <v>171.07695999999999</v>
      </c>
      <c r="D6" s="5">
        <v>184.5</v>
      </c>
      <c r="E6" s="5">
        <v>155</v>
      </c>
      <c r="F6" s="5">
        <f>2.2046*83.4</f>
        <v>183.86364000000003</v>
      </c>
      <c r="G6" s="6">
        <v>25</v>
      </c>
      <c r="H6" s="7">
        <v>10815</v>
      </c>
      <c r="I6" s="7">
        <f t="shared" si="0"/>
        <v>432.6</v>
      </c>
      <c r="J6" s="7">
        <v>3056</v>
      </c>
      <c r="K6" s="7">
        <v>234</v>
      </c>
    </row>
    <row r="7" spans="1:12" ht="13.5" customHeight="1" x14ac:dyDescent="0.15">
      <c r="A7" s="4">
        <v>19480</v>
      </c>
      <c r="B7" s="6">
        <v>6</v>
      </c>
      <c r="C7" s="5">
        <f>2.2046*81.8</f>
        <v>180.33628000000002</v>
      </c>
      <c r="D7" s="5">
        <v>190</v>
      </c>
      <c r="E7" s="5">
        <v>173.1</v>
      </c>
      <c r="F7" s="5">
        <f>2.2046*78.5</f>
        <v>173.06110000000001</v>
      </c>
      <c r="G7" s="6">
        <v>25</v>
      </c>
      <c r="H7" s="7">
        <v>7602</v>
      </c>
      <c r="I7" s="7">
        <f t="shared" si="0"/>
        <v>304.08</v>
      </c>
      <c r="J7" s="7">
        <v>3092</v>
      </c>
      <c r="K7" s="7">
        <v>129</v>
      </c>
    </row>
    <row r="8" spans="1:12" ht="13.5" customHeight="1" x14ac:dyDescent="0.15">
      <c r="A8" s="4">
        <v>19511</v>
      </c>
      <c r="B8" s="6">
        <v>6</v>
      </c>
      <c r="C8" s="5">
        <f>2.2046*78.5</f>
        <v>173.06110000000001</v>
      </c>
      <c r="D8" s="5">
        <v>173.1</v>
      </c>
      <c r="E8" s="5">
        <v>164.2</v>
      </c>
      <c r="F8" s="5">
        <f>2.2046*74.5</f>
        <v>164.24270000000001</v>
      </c>
      <c r="G8" s="6">
        <v>26</v>
      </c>
      <c r="H8" s="7">
        <v>7227</v>
      </c>
      <c r="I8" s="7">
        <f t="shared" si="0"/>
        <v>277.96153846153845</v>
      </c>
      <c r="J8" s="7">
        <v>3061</v>
      </c>
      <c r="K8" s="7">
        <v>64</v>
      </c>
    </row>
    <row r="9" spans="1:12" ht="13.5" customHeight="1" x14ac:dyDescent="0.15">
      <c r="A9" s="4">
        <v>19541</v>
      </c>
      <c r="B9" s="6">
        <v>6</v>
      </c>
      <c r="C9" s="5">
        <f>2.2046*73.6</f>
        <v>162.25855999999999</v>
      </c>
      <c r="D9" s="5">
        <v>169.8</v>
      </c>
      <c r="E9" s="5">
        <v>161.80000000000001</v>
      </c>
      <c r="F9" s="5">
        <f>2.2046*74.3</f>
        <v>163.80178000000001</v>
      </c>
      <c r="G9" s="6">
        <v>27</v>
      </c>
      <c r="H9" s="7">
        <v>6069</v>
      </c>
      <c r="I9" s="7">
        <f t="shared" si="0"/>
        <v>224.77777777777777</v>
      </c>
      <c r="J9" s="7">
        <v>3949</v>
      </c>
      <c r="K9" s="7">
        <v>202</v>
      </c>
    </row>
    <row r="10" spans="1:12" ht="13.5" customHeight="1" x14ac:dyDescent="0.15">
      <c r="A10" s="4">
        <v>19572</v>
      </c>
      <c r="B10" s="6">
        <v>6</v>
      </c>
      <c r="C10" s="5">
        <f>2.2046*75.5</f>
        <v>166.44730000000001</v>
      </c>
      <c r="D10" s="5">
        <v>172</v>
      </c>
      <c r="E10" s="5">
        <v>164.7</v>
      </c>
      <c r="F10" s="5">
        <f>2.2046*76.2</f>
        <v>167.99052</v>
      </c>
      <c r="G10" s="6">
        <v>26</v>
      </c>
      <c r="H10" s="7">
        <v>3582</v>
      </c>
      <c r="I10" s="7">
        <f t="shared" si="0"/>
        <v>137.76923076923077</v>
      </c>
      <c r="J10" s="7">
        <v>3962</v>
      </c>
      <c r="K10" s="7">
        <v>122</v>
      </c>
    </row>
    <row r="11" spans="1:12" ht="13.5" customHeight="1" x14ac:dyDescent="0.15">
      <c r="A11" s="4">
        <v>19603</v>
      </c>
      <c r="B11" s="6">
        <v>6</v>
      </c>
      <c r="C11" s="5">
        <f>2.2046*76.6</f>
        <v>168.87235999999999</v>
      </c>
      <c r="D11" s="5">
        <v>170</v>
      </c>
      <c r="E11" s="5">
        <v>164.7</v>
      </c>
      <c r="F11" s="5">
        <f>2.2046*75</f>
        <v>165.345</v>
      </c>
      <c r="G11" s="6">
        <v>25</v>
      </c>
      <c r="H11" s="7">
        <v>3804</v>
      </c>
      <c r="I11" s="7">
        <f t="shared" si="0"/>
        <v>152.16</v>
      </c>
      <c r="J11" s="7">
        <v>3489</v>
      </c>
      <c r="K11" s="7">
        <v>210</v>
      </c>
    </row>
    <row r="12" spans="1:12" ht="13.5" customHeight="1" x14ac:dyDescent="0.15">
      <c r="A12" s="4">
        <v>19633</v>
      </c>
      <c r="B12" s="6">
        <v>6</v>
      </c>
      <c r="C12" s="5">
        <f>2.2046*74.9</f>
        <v>165.12454000000002</v>
      </c>
      <c r="D12" s="5">
        <v>165.1</v>
      </c>
      <c r="E12" s="5">
        <v>136</v>
      </c>
      <c r="F12" s="5">
        <f>2.2046*64.2</f>
        <v>141.53532000000001</v>
      </c>
      <c r="G12" s="6">
        <v>27</v>
      </c>
      <c r="H12" s="7">
        <v>8389</v>
      </c>
      <c r="I12" s="7">
        <f t="shared" si="0"/>
        <v>310.7037037037037</v>
      </c>
      <c r="J12" s="7">
        <v>4076</v>
      </c>
      <c r="K12" s="7">
        <v>322</v>
      </c>
    </row>
    <row r="13" spans="1:12" ht="13.5" customHeight="1" x14ac:dyDescent="0.15">
      <c r="A13" s="4">
        <v>19664</v>
      </c>
      <c r="B13" s="6">
        <v>6</v>
      </c>
      <c r="C13" s="5">
        <f>2.2046*64.2</f>
        <v>141.53532000000001</v>
      </c>
      <c r="D13" s="5">
        <v>158.30000000000001</v>
      </c>
      <c r="E13" s="5">
        <v>136.69999999999999</v>
      </c>
      <c r="F13" s="5">
        <f>2.2046*70.8</f>
        <v>156.08568</v>
      </c>
      <c r="G13" s="6">
        <v>23</v>
      </c>
      <c r="H13" s="7">
        <v>6601</v>
      </c>
      <c r="I13" s="7">
        <f t="shared" si="0"/>
        <v>287</v>
      </c>
      <c r="J13" s="7">
        <v>4341</v>
      </c>
      <c r="K13" s="7">
        <v>204</v>
      </c>
    </row>
    <row r="14" spans="1:12" ht="13.5" customHeight="1" x14ac:dyDescent="0.15">
      <c r="A14" s="4">
        <v>19694</v>
      </c>
      <c r="B14" s="6">
        <v>6</v>
      </c>
      <c r="C14" s="5">
        <f>2.2046*70.9</f>
        <v>156.30614000000003</v>
      </c>
      <c r="D14" s="5">
        <v>158.5</v>
      </c>
      <c r="E14" s="5">
        <v>148.6</v>
      </c>
      <c r="F14" s="5">
        <f>2.2046*68.3</f>
        <v>150.57418000000001</v>
      </c>
      <c r="G14" s="6">
        <v>24</v>
      </c>
      <c r="H14" s="7">
        <v>6775</v>
      </c>
      <c r="I14" s="7">
        <f t="shared" si="0"/>
        <v>282.29166666666669</v>
      </c>
      <c r="J14" s="7">
        <v>4855</v>
      </c>
      <c r="K14" s="7">
        <v>307</v>
      </c>
    </row>
    <row r="15" spans="1:12" ht="13.5" customHeight="1" x14ac:dyDescent="0.15">
      <c r="A15" s="4">
        <v>19725</v>
      </c>
      <c r="B15" s="6">
        <v>6</v>
      </c>
      <c r="C15" s="5">
        <f>2.2046*68.6</f>
        <v>151.23555999999999</v>
      </c>
      <c r="D15" s="5">
        <v>151.9</v>
      </c>
      <c r="E15" s="5">
        <v>142</v>
      </c>
      <c r="F15" s="5">
        <f>2.2046*67.1</f>
        <v>147.92866000000001</v>
      </c>
      <c r="G15" s="6">
        <v>23</v>
      </c>
      <c r="H15" s="7">
        <v>5646</v>
      </c>
      <c r="I15" s="7">
        <f t="shared" si="0"/>
        <v>245.47826086956522</v>
      </c>
      <c r="J15" s="7">
        <v>4555</v>
      </c>
      <c r="K15" s="7">
        <v>233</v>
      </c>
      <c r="L15" s="13" t="s">
        <v>16</v>
      </c>
    </row>
    <row r="16" spans="1:12" ht="13.5" customHeight="1" x14ac:dyDescent="0.15">
      <c r="A16" s="4">
        <v>19756</v>
      </c>
      <c r="B16" s="6">
        <v>6</v>
      </c>
      <c r="C16" s="5">
        <f>2.2046*66.9</f>
        <v>147.48774000000003</v>
      </c>
      <c r="D16" s="5">
        <v>155.9</v>
      </c>
      <c r="E16" s="5">
        <v>145.9</v>
      </c>
      <c r="F16" s="5">
        <f>2.2046*68.7</f>
        <v>151.45602000000002</v>
      </c>
      <c r="G16" s="6">
        <v>24</v>
      </c>
      <c r="H16" s="7">
        <v>7148</v>
      </c>
      <c r="I16" s="7">
        <f t="shared" si="0"/>
        <v>297.83333333333331</v>
      </c>
      <c r="J16" s="7">
        <v>5153</v>
      </c>
      <c r="K16" s="7">
        <v>239</v>
      </c>
    </row>
    <row r="17" spans="1:11" ht="13.5" customHeight="1" x14ac:dyDescent="0.15">
      <c r="A17" s="4">
        <v>19784</v>
      </c>
      <c r="B17" s="6">
        <v>6</v>
      </c>
      <c r="C17" s="5">
        <f>2.2046*69</f>
        <v>152.1174</v>
      </c>
      <c r="D17" s="5">
        <v>152.80000000000001</v>
      </c>
      <c r="E17" s="5">
        <v>147.9</v>
      </c>
      <c r="F17" s="5">
        <f>2.2046*68.8</f>
        <v>151.67648</v>
      </c>
      <c r="G17" s="6">
        <v>27</v>
      </c>
      <c r="H17" s="7">
        <v>3860</v>
      </c>
      <c r="I17" s="7">
        <f t="shared" si="0"/>
        <v>142.96296296296296</v>
      </c>
      <c r="J17" s="7">
        <v>4050</v>
      </c>
      <c r="K17" s="7">
        <v>304</v>
      </c>
    </row>
    <row r="18" spans="1:11" ht="13.5" customHeight="1" x14ac:dyDescent="0.15">
      <c r="A18" s="4">
        <v>19815</v>
      </c>
      <c r="B18" s="6">
        <v>6</v>
      </c>
      <c r="C18" s="5">
        <f>2.2046*69.2</f>
        <v>152.55832000000001</v>
      </c>
      <c r="D18" s="5">
        <v>168.9</v>
      </c>
      <c r="E18" s="5">
        <v>152.6</v>
      </c>
      <c r="F18" s="5">
        <f>2.2046*75.9</f>
        <v>167.32914000000002</v>
      </c>
      <c r="G18" s="6">
        <v>25</v>
      </c>
      <c r="H18" s="7">
        <v>5066</v>
      </c>
      <c r="I18" s="7">
        <f t="shared" si="0"/>
        <v>202.64</v>
      </c>
      <c r="J18" s="7">
        <v>2943</v>
      </c>
      <c r="K18" s="7">
        <v>587</v>
      </c>
    </row>
    <row r="19" spans="1:11" ht="13.5" customHeight="1" x14ac:dyDescent="0.15">
      <c r="A19" s="4">
        <v>19845</v>
      </c>
      <c r="B19" s="6">
        <v>6</v>
      </c>
      <c r="C19" s="5">
        <f>2.2046*77.2</f>
        <v>170.19512</v>
      </c>
      <c r="D19" s="5">
        <v>170.2</v>
      </c>
      <c r="E19" s="5">
        <v>158.1</v>
      </c>
      <c r="F19" s="5">
        <f>2.2046*75.5</f>
        <v>166.44730000000001</v>
      </c>
      <c r="G19" s="6">
        <v>24</v>
      </c>
      <c r="H19" s="7">
        <v>6529</v>
      </c>
      <c r="I19" s="7">
        <f t="shared" si="0"/>
        <v>272.04166666666669</v>
      </c>
      <c r="J19" s="7">
        <v>3062</v>
      </c>
      <c r="K19" s="7">
        <v>428</v>
      </c>
    </row>
    <row r="20" spans="1:11" ht="13.5" customHeight="1" x14ac:dyDescent="0.15">
      <c r="A20" s="4">
        <v>19876</v>
      </c>
      <c r="B20" s="6">
        <v>6</v>
      </c>
      <c r="C20" s="5">
        <f>2.2046*75.2</f>
        <v>165.78592</v>
      </c>
      <c r="D20" s="5">
        <v>177.5</v>
      </c>
      <c r="E20" s="5">
        <v>165.1</v>
      </c>
      <c r="F20" s="5">
        <f>2.2046*79.9</f>
        <v>176.14754000000002</v>
      </c>
      <c r="G20" s="6">
        <v>26</v>
      </c>
      <c r="H20" s="7">
        <v>6039</v>
      </c>
      <c r="I20" s="7">
        <f t="shared" si="0"/>
        <v>232.26923076923077</v>
      </c>
      <c r="J20" s="7">
        <v>3422</v>
      </c>
      <c r="K20" s="7">
        <v>239</v>
      </c>
    </row>
    <row r="21" spans="1:11" ht="13.5" customHeight="1" x14ac:dyDescent="0.15">
      <c r="A21" s="4">
        <v>19906</v>
      </c>
      <c r="B21" s="6">
        <v>6</v>
      </c>
      <c r="C21" s="5">
        <f>2.2046*79.7</f>
        <v>175.70662000000002</v>
      </c>
      <c r="D21" s="5">
        <v>187</v>
      </c>
      <c r="E21" s="5">
        <v>175.7</v>
      </c>
      <c r="F21" s="5">
        <f>2.2046*81.9</f>
        <v>180.55674000000002</v>
      </c>
      <c r="G21" s="6">
        <v>27</v>
      </c>
      <c r="H21" s="7">
        <v>7758</v>
      </c>
      <c r="I21" s="7">
        <f t="shared" si="0"/>
        <v>287.33333333333331</v>
      </c>
      <c r="J21" s="7">
        <v>3653</v>
      </c>
      <c r="K21" s="7">
        <v>318</v>
      </c>
    </row>
    <row r="22" spans="1:11" ht="13.5" customHeight="1" x14ac:dyDescent="0.15">
      <c r="A22" s="4">
        <v>19937</v>
      </c>
      <c r="B22" s="6">
        <v>6</v>
      </c>
      <c r="C22" s="5">
        <f>2.2046*82.1</f>
        <v>180.99766</v>
      </c>
      <c r="D22" s="5">
        <v>183</v>
      </c>
      <c r="E22" s="5">
        <v>176.2</v>
      </c>
      <c r="F22" s="5">
        <f>2.2046*81.9</f>
        <v>180.55674000000002</v>
      </c>
      <c r="G22" s="6">
        <v>26</v>
      </c>
      <c r="H22" s="7">
        <v>2817</v>
      </c>
      <c r="I22" s="7">
        <f t="shared" si="0"/>
        <v>108.34615384615384</v>
      </c>
      <c r="J22" s="7">
        <v>3158</v>
      </c>
      <c r="K22" s="7">
        <v>133</v>
      </c>
    </row>
    <row r="23" spans="1:11" ht="13.5" customHeight="1" x14ac:dyDescent="0.15">
      <c r="A23" s="4">
        <v>19968</v>
      </c>
      <c r="B23" s="6">
        <v>6</v>
      </c>
      <c r="C23" s="5">
        <f>2.2046*82.4</f>
        <v>181.65904000000003</v>
      </c>
      <c r="D23" s="5">
        <v>194</v>
      </c>
      <c r="E23" s="5">
        <v>181</v>
      </c>
      <c r="F23" s="5">
        <f>2.2046*88</f>
        <v>194.00480000000002</v>
      </c>
      <c r="G23" s="6">
        <v>25</v>
      </c>
      <c r="H23" s="7">
        <v>3361</v>
      </c>
      <c r="I23" s="7">
        <f t="shared" si="0"/>
        <v>134.44</v>
      </c>
      <c r="J23" s="7">
        <v>2497</v>
      </c>
      <c r="K23" s="7">
        <v>139</v>
      </c>
    </row>
    <row r="24" spans="1:11" ht="13.5" customHeight="1" x14ac:dyDescent="0.15">
      <c r="A24" s="4">
        <v>19998</v>
      </c>
      <c r="B24" s="6">
        <v>6</v>
      </c>
      <c r="C24" s="5">
        <f>2.2046*89.1</f>
        <v>196.42985999999999</v>
      </c>
      <c r="D24" s="5">
        <v>209.2</v>
      </c>
      <c r="E24" s="5">
        <v>196</v>
      </c>
      <c r="F24" s="5">
        <f>2.2046*93.1</f>
        <v>205.24825999999999</v>
      </c>
      <c r="G24" s="6">
        <v>26</v>
      </c>
      <c r="H24" s="7">
        <v>4565</v>
      </c>
      <c r="I24" s="7">
        <f t="shared" si="0"/>
        <v>175.57692307692307</v>
      </c>
      <c r="J24" s="7">
        <v>1973</v>
      </c>
      <c r="K24" s="7">
        <v>180</v>
      </c>
    </row>
    <row r="25" spans="1:11" ht="13.5" customHeight="1" x14ac:dyDescent="0.15">
      <c r="A25" s="4">
        <v>20029</v>
      </c>
      <c r="B25" s="6">
        <v>6</v>
      </c>
      <c r="C25" s="5">
        <f>2.2046*93</f>
        <v>205.02780000000001</v>
      </c>
      <c r="D25" s="5">
        <v>220.7</v>
      </c>
      <c r="E25" s="5">
        <v>205</v>
      </c>
      <c r="F25" s="5">
        <f>2.2046*96.9</f>
        <v>213.62574000000004</v>
      </c>
      <c r="G25" s="6">
        <v>24</v>
      </c>
      <c r="H25" s="7">
        <v>4277</v>
      </c>
      <c r="I25" s="7">
        <f t="shared" si="0"/>
        <v>178.20833333333334</v>
      </c>
      <c r="J25" s="7">
        <v>1927</v>
      </c>
      <c r="K25" s="7">
        <v>154</v>
      </c>
    </row>
    <row r="26" spans="1:11" ht="13.5" customHeight="1" x14ac:dyDescent="0.15">
      <c r="A26" s="4">
        <v>20059</v>
      </c>
      <c r="B26" s="6">
        <v>6</v>
      </c>
      <c r="C26" s="5">
        <f>2.2046*96.1</f>
        <v>211.86205999999999</v>
      </c>
      <c r="D26" s="5">
        <v>239.2</v>
      </c>
      <c r="E26" s="5">
        <v>207.9</v>
      </c>
      <c r="F26" s="5">
        <f>2.2046*107.9</f>
        <v>237.87634000000003</v>
      </c>
      <c r="G26" s="6">
        <v>24</v>
      </c>
      <c r="H26" s="7">
        <v>5562</v>
      </c>
      <c r="I26" s="7">
        <f t="shared" si="0"/>
        <v>231.75</v>
      </c>
      <c r="J26" s="7">
        <v>2790</v>
      </c>
      <c r="K26" s="7">
        <v>70</v>
      </c>
    </row>
    <row r="27" spans="1:11" ht="13.5" customHeight="1" x14ac:dyDescent="0.15">
      <c r="A27" s="4">
        <v>20090</v>
      </c>
      <c r="B27" s="6">
        <v>6</v>
      </c>
      <c r="C27" s="5">
        <f>2.2046*113.8</f>
        <v>250.88348000000002</v>
      </c>
      <c r="D27" s="5">
        <v>272.3</v>
      </c>
      <c r="E27" s="5">
        <v>225.1</v>
      </c>
      <c r="F27" s="5">
        <f>2.2046*116.2</f>
        <v>256.17452000000003</v>
      </c>
      <c r="G27" s="6">
        <v>23</v>
      </c>
      <c r="H27" s="7">
        <v>8183</v>
      </c>
      <c r="I27" s="7">
        <f t="shared" si="0"/>
        <v>355.78260869565219</v>
      </c>
      <c r="J27" s="7">
        <v>3410</v>
      </c>
      <c r="K27" s="7">
        <v>103</v>
      </c>
    </row>
    <row r="28" spans="1:11" ht="13.5" customHeight="1" x14ac:dyDescent="0.15">
      <c r="A28" s="4">
        <v>20121</v>
      </c>
      <c r="B28" s="6">
        <v>6</v>
      </c>
      <c r="C28" s="5">
        <f>2.2046*118.3</f>
        <v>260.80418000000003</v>
      </c>
      <c r="D28" s="5">
        <v>270.10000000000002</v>
      </c>
      <c r="E28" s="5">
        <v>223.5</v>
      </c>
      <c r="F28" s="5">
        <f>2.2046*104.8</f>
        <v>231.04208</v>
      </c>
      <c r="G28" s="6">
        <v>24</v>
      </c>
      <c r="H28" s="7">
        <v>7859</v>
      </c>
      <c r="I28" s="7">
        <f t="shared" si="0"/>
        <v>327.45833333333331</v>
      </c>
      <c r="J28" s="7">
        <v>3072</v>
      </c>
      <c r="K28" s="7">
        <v>224</v>
      </c>
    </row>
    <row r="29" spans="1:11" ht="13.5" customHeight="1" x14ac:dyDescent="0.15">
      <c r="A29" s="4">
        <v>20149</v>
      </c>
      <c r="B29" s="6">
        <v>6</v>
      </c>
      <c r="C29" s="5">
        <f>2.2046*99.9</f>
        <v>220.23954000000003</v>
      </c>
      <c r="D29" s="5">
        <v>230.4</v>
      </c>
      <c r="E29" s="5">
        <v>211</v>
      </c>
      <c r="F29" s="5">
        <f>2.2046*102.5</f>
        <v>225.97150000000002</v>
      </c>
      <c r="G29" s="6">
        <v>26</v>
      </c>
      <c r="H29" s="7">
        <v>7202</v>
      </c>
      <c r="I29" s="7">
        <f t="shared" si="0"/>
        <v>277</v>
      </c>
      <c r="J29" s="7">
        <v>3179</v>
      </c>
      <c r="K29" s="7">
        <v>200</v>
      </c>
    </row>
    <row r="30" spans="1:11" ht="13.5" customHeight="1" x14ac:dyDescent="0.15">
      <c r="A30" s="4">
        <v>20180</v>
      </c>
      <c r="B30" s="6">
        <v>6</v>
      </c>
      <c r="C30" s="5">
        <f>2.2046*101.9</f>
        <v>224.64874000000003</v>
      </c>
      <c r="D30" s="5">
        <v>226.6</v>
      </c>
      <c r="E30" s="5">
        <v>218.9</v>
      </c>
      <c r="F30" s="5">
        <f>2.2046*101.3</f>
        <v>223.32598000000002</v>
      </c>
      <c r="G30" s="6">
        <v>25</v>
      </c>
      <c r="H30" s="7">
        <v>2668</v>
      </c>
      <c r="I30" s="7">
        <f t="shared" si="0"/>
        <v>106.72</v>
      </c>
      <c r="J30" s="7">
        <v>2680</v>
      </c>
      <c r="K30" s="7">
        <v>54</v>
      </c>
    </row>
    <row r="31" spans="1:11" ht="13.5" customHeight="1" x14ac:dyDescent="0.15">
      <c r="A31" s="4">
        <v>20210</v>
      </c>
      <c r="B31" s="6">
        <v>6</v>
      </c>
      <c r="C31" s="5">
        <f>2.2046*101.2</f>
        <v>223.10552000000001</v>
      </c>
      <c r="D31" s="5">
        <v>230.6</v>
      </c>
      <c r="E31" s="5">
        <v>220.9</v>
      </c>
      <c r="F31" s="5">
        <f>2.2046*103.2</f>
        <v>227.51472000000001</v>
      </c>
      <c r="G31" s="6">
        <v>24</v>
      </c>
      <c r="H31" s="7">
        <v>2564</v>
      </c>
      <c r="I31" s="7">
        <f t="shared" si="0"/>
        <v>106.83333333333333</v>
      </c>
      <c r="J31" s="7">
        <v>2436</v>
      </c>
      <c r="K31" s="7">
        <v>49</v>
      </c>
    </row>
    <row r="32" spans="1:11" ht="13.5" customHeight="1" x14ac:dyDescent="0.15">
      <c r="A32" s="4">
        <v>20241</v>
      </c>
      <c r="B32" s="6">
        <v>6</v>
      </c>
      <c r="C32" s="5">
        <f>2.2046*103.1</f>
        <v>227.29426000000001</v>
      </c>
      <c r="D32" s="5">
        <v>264.10000000000002</v>
      </c>
      <c r="E32" s="5">
        <v>227.1</v>
      </c>
      <c r="F32" s="5">
        <f>2.2046*117.3</f>
        <v>258.59958</v>
      </c>
      <c r="G32" s="6">
        <v>26</v>
      </c>
      <c r="H32" s="7">
        <v>10003</v>
      </c>
      <c r="I32" s="7">
        <f t="shared" si="0"/>
        <v>384.73076923076923</v>
      </c>
      <c r="J32" s="7">
        <v>3033</v>
      </c>
      <c r="K32" s="7">
        <v>14</v>
      </c>
    </row>
    <row r="33" spans="1:12" ht="13.5" customHeight="1" x14ac:dyDescent="0.15">
      <c r="A33" s="4">
        <v>20271</v>
      </c>
      <c r="B33" s="6">
        <v>6</v>
      </c>
      <c r="C33" s="5">
        <f>2.2046*118.9</f>
        <v>262.12694000000005</v>
      </c>
      <c r="D33" s="5">
        <v>304.89999999999998</v>
      </c>
      <c r="E33" s="5">
        <v>251.1</v>
      </c>
      <c r="F33" s="5">
        <f>2.2046*138.3</f>
        <v>304.89618000000002</v>
      </c>
      <c r="G33" s="6">
        <v>26</v>
      </c>
      <c r="H33" s="7">
        <v>13577</v>
      </c>
      <c r="I33" s="7">
        <f t="shared" si="0"/>
        <v>522.19230769230774</v>
      </c>
      <c r="J33" s="7">
        <v>4173</v>
      </c>
      <c r="K33" s="7">
        <v>80</v>
      </c>
    </row>
    <row r="34" spans="1:12" ht="13.5" customHeight="1" x14ac:dyDescent="0.15">
      <c r="A34" s="4">
        <v>20302</v>
      </c>
      <c r="B34" s="6">
        <v>6</v>
      </c>
      <c r="C34" s="5">
        <f>2.2046*136.5</f>
        <v>300.92790000000002</v>
      </c>
      <c r="D34" s="5">
        <v>341.7</v>
      </c>
      <c r="E34" s="5">
        <v>286.39999999999998</v>
      </c>
      <c r="F34" s="5">
        <f>2.2046*143.6</f>
        <v>316.58055999999999</v>
      </c>
      <c r="G34" s="6">
        <v>27</v>
      </c>
      <c r="H34" s="7">
        <v>19494</v>
      </c>
      <c r="I34" s="7">
        <f t="shared" si="0"/>
        <v>722</v>
      </c>
      <c r="J34" s="7">
        <v>5741</v>
      </c>
      <c r="K34" s="7">
        <v>166</v>
      </c>
    </row>
    <row r="35" spans="1:12" ht="13.5" customHeight="1" x14ac:dyDescent="0.15">
      <c r="A35" s="4">
        <v>20333</v>
      </c>
      <c r="B35" s="6">
        <v>6</v>
      </c>
      <c r="C35" s="5">
        <f>2.2046*144.7</f>
        <v>319.00561999999996</v>
      </c>
      <c r="D35" s="5">
        <v>363.5</v>
      </c>
      <c r="E35" s="5">
        <v>319</v>
      </c>
      <c r="F35" s="5">
        <f>2.2046*146.7</f>
        <v>323.41482000000002</v>
      </c>
      <c r="G35" s="6">
        <v>25</v>
      </c>
      <c r="H35" s="7">
        <v>20247</v>
      </c>
      <c r="I35" s="7">
        <f t="shared" si="0"/>
        <v>809.88</v>
      </c>
      <c r="J35" s="7">
        <v>5983</v>
      </c>
      <c r="K35" s="7">
        <v>120</v>
      </c>
    </row>
    <row r="36" spans="1:12" ht="13.5" customHeight="1" x14ac:dyDescent="0.15">
      <c r="A36" s="4">
        <v>20363</v>
      </c>
      <c r="B36" s="6">
        <v>6</v>
      </c>
      <c r="C36" s="5">
        <f>2.2046*144.6</f>
        <v>318.78516000000002</v>
      </c>
      <c r="D36" s="5">
        <v>318.8</v>
      </c>
      <c r="E36" s="5">
        <v>271.2</v>
      </c>
      <c r="F36" s="5">
        <f>2.2046*125</f>
        <v>275.57499999999999</v>
      </c>
      <c r="G36" s="6">
        <v>26</v>
      </c>
      <c r="H36" s="7">
        <v>23992</v>
      </c>
      <c r="I36" s="7">
        <f t="shared" si="0"/>
        <v>922.76923076923072</v>
      </c>
      <c r="J36" s="7">
        <v>7858</v>
      </c>
      <c r="K36" s="7">
        <v>210</v>
      </c>
    </row>
    <row r="37" spans="1:12" ht="13.5" customHeight="1" x14ac:dyDescent="0.15">
      <c r="A37" s="4">
        <v>20394</v>
      </c>
      <c r="B37" s="6">
        <v>6</v>
      </c>
      <c r="C37" s="5">
        <f>2.2046*118.7</f>
        <v>261.68602000000004</v>
      </c>
      <c r="D37" s="5">
        <v>282.60000000000002</v>
      </c>
      <c r="E37" s="5">
        <v>240.5</v>
      </c>
      <c r="F37" s="5">
        <f>2.2046*126.7</f>
        <v>279.32282000000004</v>
      </c>
      <c r="G37" s="6">
        <v>24</v>
      </c>
      <c r="H37" s="7">
        <v>30523</v>
      </c>
      <c r="I37" s="7">
        <f t="shared" si="0"/>
        <v>1271.7916666666667</v>
      </c>
      <c r="J37" s="7">
        <v>11296</v>
      </c>
      <c r="K37" s="7">
        <v>132</v>
      </c>
    </row>
    <row r="38" spans="1:12" ht="13.5" customHeight="1" x14ac:dyDescent="0.15">
      <c r="A38" s="4">
        <v>20424</v>
      </c>
      <c r="B38" s="6">
        <v>6</v>
      </c>
      <c r="C38" s="5">
        <f>2.2046*126</f>
        <v>277.77960000000002</v>
      </c>
      <c r="D38" s="5">
        <v>294.10000000000002</v>
      </c>
      <c r="E38" s="5">
        <v>268.10000000000002</v>
      </c>
      <c r="F38" s="5">
        <f>2.2046*131.5</f>
        <v>289.9049</v>
      </c>
      <c r="G38" s="6">
        <v>24</v>
      </c>
      <c r="H38" s="7">
        <v>36291</v>
      </c>
      <c r="I38" s="7">
        <f t="shared" si="0"/>
        <v>1512.125</v>
      </c>
      <c r="J38" s="7">
        <v>13422</v>
      </c>
      <c r="K38" s="7">
        <v>124</v>
      </c>
    </row>
    <row r="39" spans="1:12" ht="13.5" customHeight="1" x14ac:dyDescent="0.15">
      <c r="A39" s="4">
        <v>20455</v>
      </c>
      <c r="B39" s="6">
        <v>6</v>
      </c>
      <c r="C39" s="5">
        <f>2.2046*127.5</f>
        <v>281.0865</v>
      </c>
      <c r="D39" s="5">
        <v>284</v>
      </c>
      <c r="E39" s="5">
        <v>251.1</v>
      </c>
      <c r="F39" s="5">
        <f>2.2046*116.6</f>
        <v>257.05635999999998</v>
      </c>
      <c r="G39" s="6">
        <v>24</v>
      </c>
      <c r="H39" s="7">
        <v>32109</v>
      </c>
      <c r="I39" s="7">
        <f t="shared" si="0"/>
        <v>1337.875</v>
      </c>
      <c r="J39" s="7">
        <v>14931</v>
      </c>
      <c r="K39" s="7">
        <v>231</v>
      </c>
    </row>
    <row r="40" spans="1:12" ht="13.5" customHeight="1" x14ac:dyDescent="0.15">
      <c r="A40" s="4">
        <v>20486</v>
      </c>
      <c r="B40" s="6">
        <v>6</v>
      </c>
      <c r="C40" s="5">
        <f>2.2046*115.5</f>
        <v>254.63130000000001</v>
      </c>
      <c r="D40" s="5">
        <v>262.60000000000002</v>
      </c>
      <c r="E40" s="5">
        <v>237</v>
      </c>
      <c r="F40" s="5">
        <f>2.2046*109.9</f>
        <v>242.28554000000003</v>
      </c>
      <c r="G40" s="6">
        <v>25</v>
      </c>
      <c r="H40" s="7">
        <v>26576</v>
      </c>
      <c r="I40" s="7">
        <f t="shared" si="0"/>
        <v>1063.04</v>
      </c>
      <c r="J40" s="7">
        <v>13698</v>
      </c>
      <c r="K40" s="7">
        <v>139</v>
      </c>
      <c r="L40" s="13" t="s">
        <v>23</v>
      </c>
    </row>
    <row r="41" spans="1:12" ht="13.5" customHeight="1" x14ac:dyDescent="0.15">
      <c r="A41" s="4">
        <v>20515</v>
      </c>
      <c r="B41" s="6">
        <v>6</v>
      </c>
      <c r="C41" s="5">
        <f>2.2046*108.8</f>
        <v>239.86048</v>
      </c>
      <c r="D41" s="5">
        <v>255.5</v>
      </c>
      <c r="E41" s="5">
        <v>234.1</v>
      </c>
      <c r="F41" s="5">
        <f>2.2046*106.9</f>
        <v>235.67174000000003</v>
      </c>
      <c r="G41" s="6">
        <v>26</v>
      </c>
      <c r="H41" s="7">
        <v>23014</v>
      </c>
      <c r="I41" s="7">
        <f t="shared" si="0"/>
        <v>885.15384615384619</v>
      </c>
      <c r="J41" s="7">
        <v>13597</v>
      </c>
      <c r="K41" s="7">
        <v>452</v>
      </c>
    </row>
    <row r="42" spans="1:12" ht="13.5" customHeight="1" x14ac:dyDescent="0.15">
      <c r="A42" s="4">
        <v>20546</v>
      </c>
      <c r="B42" s="6">
        <v>6</v>
      </c>
      <c r="C42" s="5">
        <f>2.2046*105</f>
        <v>231.483</v>
      </c>
      <c r="D42" s="5">
        <v>242.5</v>
      </c>
      <c r="E42" s="5">
        <v>220.2</v>
      </c>
      <c r="F42" s="5">
        <f>2.2046*101.1</f>
        <v>222.88506000000001</v>
      </c>
      <c r="G42" s="6">
        <v>25</v>
      </c>
      <c r="H42" s="7">
        <v>17852</v>
      </c>
      <c r="I42" s="7">
        <f t="shared" si="0"/>
        <v>714.08</v>
      </c>
      <c r="J42" s="7">
        <v>11671</v>
      </c>
      <c r="K42" s="7">
        <v>220</v>
      </c>
    </row>
    <row r="43" spans="1:12" ht="13.5" customHeight="1" x14ac:dyDescent="0.15">
      <c r="A43" s="4">
        <v>20576</v>
      </c>
      <c r="B43" s="6">
        <v>6</v>
      </c>
      <c r="C43" s="5">
        <f>2.2046*101.1</f>
        <v>222.88506000000001</v>
      </c>
      <c r="D43" s="5">
        <v>230.2</v>
      </c>
      <c r="E43" s="5">
        <v>183.4</v>
      </c>
      <c r="F43" s="5">
        <f>2.2046*84.1</f>
        <v>185.40685999999999</v>
      </c>
      <c r="G43" s="6">
        <v>25</v>
      </c>
      <c r="H43" s="7">
        <v>16751</v>
      </c>
      <c r="I43" s="7">
        <f t="shared" si="0"/>
        <v>670.04</v>
      </c>
      <c r="J43" s="7">
        <v>10074</v>
      </c>
      <c r="K43" s="7">
        <v>144</v>
      </c>
    </row>
    <row r="44" spans="1:12" ht="13.5" customHeight="1" x14ac:dyDescent="0.15">
      <c r="A44" s="4">
        <v>20607</v>
      </c>
      <c r="B44" s="6">
        <v>6</v>
      </c>
      <c r="C44" s="5">
        <f>2.2046*81.7</f>
        <v>180.11582000000001</v>
      </c>
      <c r="D44" s="5">
        <v>226.6</v>
      </c>
      <c r="E44" s="5">
        <v>180.1</v>
      </c>
      <c r="F44" s="5">
        <f>2.2046*98.2</f>
        <v>216.49172000000002</v>
      </c>
      <c r="G44" s="6">
        <v>26</v>
      </c>
      <c r="H44" s="7">
        <v>25758</v>
      </c>
      <c r="I44" s="7">
        <f t="shared" si="0"/>
        <v>990.69230769230774</v>
      </c>
      <c r="J44" s="7">
        <v>11101</v>
      </c>
      <c r="K44" s="7">
        <v>170</v>
      </c>
    </row>
    <row r="45" spans="1:12" ht="13.5" customHeight="1" x14ac:dyDescent="0.15">
      <c r="A45" s="4">
        <v>20637</v>
      </c>
      <c r="B45" s="6">
        <v>6</v>
      </c>
      <c r="C45" s="5">
        <f>2.2046*96</f>
        <v>211.64160000000001</v>
      </c>
      <c r="D45" s="5">
        <v>242.3</v>
      </c>
      <c r="E45" s="5">
        <v>206.1</v>
      </c>
      <c r="F45" s="5">
        <f>2.2046*109.1</f>
        <v>240.52186</v>
      </c>
      <c r="G45" s="6">
        <v>26</v>
      </c>
      <c r="H45" s="7">
        <v>22722</v>
      </c>
      <c r="I45" s="7">
        <f t="shared" si="0"/>
        <v>873.92307692307691</v>
      </c>
      <c r="J45" s="7">
        <v>9558</v>
      </c>
      <c r="K45" s="7">
        <v>201</v>
      </c>
    </row>
    <row r="46" spans="1:12" ht="13.5" customHeight="1" x14ac:dyDescent="0.15">
      <c r="A46" s="4">
        <v>20668</v>
      </c>
      <c r="B46" s="6">
        <v>6</v>
      </c>
      <c r="C46" s="5">
        <f>2.2046*111.4</f>
        <v>245.59244000000004</v>
      </c>
      <c r="D46" s="5">
        <v>258.60000000000002</v>
      </c>
      <c r="E46" s="5">
        <v>227.5</v>
      </c>
      <c r="F46" s="5">
        <f>2.2046*104.1</f>
        <v>229.49886000000001</v>
      </c>
      <c r="G46" s="6">
        <v>27</v>
      </c>
      <c r="H46" s="7">
        <v>25102</v>
      </c>
      <c r="I46" s="7">
        <f t="shared" si="0"/>
        <v>929.7037037037037</v>
      </c>
      <c r="J46" s="7">
        <v>9690</v>
      </c>
      <c r="K46" s="7">
        <v>301</v>
      </c>
    </row>
    <row r="47" spans="1:12" ht="13.5" customHeight="1" x14ac:dyDescent="0.15">
      <c r="A47" s="4">
        <v>20699</v>
      </c>
      <c r="B47" s="6">
        <v>6</v>
      </c>
      <c r="C47" s="5">
        <f>2.2046*105.1</f>
        <v>231.70346000000001</v>
      </c>
      <c r="D47" s="5">
        <v>234.6</v>
      </c>
      <c r="E47" s="5">
        <v>213.6</v>
      </c>
      <c r="F47" s="5">
        <f>2.2046*99.9</f>
        <v>220.23954000000003</v>
      </c>
      <c r="G47" s="6">
        <v>25</v>
      </c>
      <c r="H47" s="7">
        <v>14240</v>
      </c>
      <c r="I47" s="7">
        <f t="shared" si="0"/>
        <v>569.6</v>
      </c>
      <c r="J47" s="7">
        <v>10299</v>
      </c>
      <c r="K47" s="7">
        <v>200</v>
      </c>
    </row>
    <row r="48" spans="1:12" ht="13.5" customHeight="1" x14ac:dyDescent="0.15">
      <c r="A48" s="4">
        <v>20729</v>
      </c>
      <c r="B48" s="6">
        <v>6</v>
      </c>
      <c r="C48" s="5">
        <f>2.2046*99.4</f>
        <v>219.13724000000002</v>
      </c>
      <c r="D48" s="5">
        <v>250</v>
      </c>
      <c r="E48" s="5">
        <v>215</v>
      </c>
      <c r="F48" s="5">
        <f>2.2046*110.1</f>
        <v>242.72646</v>
      </c>
      <c r="G48" s="6">
        <v>27</v>
      </c>
      <c r="H48" s="7">
        <v>15391</v>
      </c>
      <c r="I48" s="7">
        <f t="shared" si="0"/>
        <v>570.03703703703707</v>
      </c>
      <c r="J48" s="7">
        <v>10738</v>
      </c>
      <c r="K48" s="7">
        <v>245</v>
      </c>
    </row>
    <row r="49" spans="1:11" ht="13.5" customHeight="1" x14ac:dyDescent="0.15">
      <c r="A49" s="4">
        <v>20760</v>
      </c>
      <c r="B49" s="6">
        <v>6</v>
      </c>
      <c r="C49" s="5">
        <f>2.2046*118.9</f>
        <v>262.12694000000005</v>
      </c>
      <c r="D49" s="5">
        <v>278.2</v>
      </c>
      <c r="E49" s="5">
        <v>239.4</v>
      </c>
      <c r="F49" s="5">
        <f>2.2046*123.9</f>
        <v>273.14994000000002</v>
      </c>
      <c r="G49" s="6">
        <v>24</v>
      </c>
      <c r="H49" s="7">
        <v>39998</v>
      </c>
      <c r="I49" s="7">
        <f t="shared" si="0"/>
        <v>1666.5833333333333</v>
      </c>
      <c r="J49" s="7">
        <v>11216</v>
      </c>
      <c r="K49" s="7">
        <v>152</v>
      </c>
    </row>
    <row r="50" spans="1:11" ht="13.5" customHeight="1" x14ac:dyDescent="0.15">
      <c r="A50" s="4">
        <v>20790</v>
      </c>
      <c r="B50" s="6">
        <v>6</v>
      </c>
      <c r="C50" s="5">
        <f>2.2046*126.4</f>
        <v>278.66144000000003</v>
      </c>
      <c r="D50" s="5">
        <v>281.8</v>
      </c>
      <c r="E50" s="5">
        <v>259</v>
      </c>
      <c r="F50" s="5">
        <f>2.2046*124.7</f>
        <v>274.91362000000004</v>
      </c>
      <c r="G50" s="6">
        <v>24</v>
      </c>
      <c r="H50" s="7">
        <v>29737</v>
      </c>
      <c r="I50" s="7">
        <f t="shared" si="0"/>
        <v>1239.0416666666667</v>
      </c>
      <c r="J50" s="7">
        <v>13392</v>
      </c>
      <c r="K50" s="7">
        <v>174</v>
      </c>
    </row>
    <row r="51" spans="1:11" ht="13.5" customHeight="1" x14ac:dyDescent="0.15">
      <c r="A51" s="4">
        <v>20821</v>
      </c>
      <c r="B51" s="6">
        <v>6</v>
      </c>
      <c r="C51" s="5">
        <f>2.2046*121.4</f>
        <v>267.63844</v>
      </c>
      <c r="D51" s="5">
        <v>268.3</v>
      </c>
      <c r="E51" s="5">
        <v>226.2</v>
      </c>
      <c r="F51" s="5">
        <f>2.2046*106.1</f>
        <v>233.90806000000001</v>
      </c>
      <c r="G51" s="6">
        <v>23</v>
      </c>
      <c r="H51" s="7">
        <v>29005</v>
      </c>
      <c r="I51" s="7">
        <f t="shared" si="0"/>
        <v>1261.0869565217392</v>
      </c>
      <c r="J51" s="7">
        <v>15327</v>
      </c>
      <c r="K51" s="7">
        <v>256</v>
      </c>
    </row>
    <row r="52" spans="1:11" ht="13.5" customHeight="1" x14ac:dyDescent="0.15">
      <c r="A52" s="4">
        <v>20852</v>
      </c>
      <c r="B52" s="6">
        <v>6</v>
      </c>
      <c r="C52" s="5">
        <f>2.2046*106.5</f>
        <v>234.78990000000002</v>
      </c>
      <c r="D52" s="5">
        <v>235</v>
      </c>
      <c r="E52" s="5">
        <v>218.5</v>
      </c>
      <c r="F52" s="5">
        <f>2.2046*103.5</f>
        <v>228.17610000000002</v>
      </c>
      <c r="G52" s="6">
        <v>24</v>
      </c>
      <c r="H52" s="7">
        <v>18848</v>
      </c>
      <c r="I52" s="7">
        <f t="shared" si="0"/>
        <v>785.33333333333337</v>
      </c>
      <c r="J52" s="7">
        <v>15232</v>
      </c>
      <c r="K52" s="7">
        <v>254</v>
      </c>
    </row>
    <row r="53" spans="1:11" ht="13.5" customHeight="1" x14ac:dyDescent="0.15">
      <c r="A53" s="4">
        <v>20880</v>
      </c>
      <c r="B53" s="6">
        <v>6</v>
      </c>
      <c r="C53" s="5">
        <f>2.2046*105.8</f>
        <v>233.24668</v>
      </c>
      <c r="D53" s="5">
        <v>241.6</v>
      </c>
      <c r="E53" s="5">
        <v>229.1</v>
      </c>
      <c r="F53" s="5">
        <f>2.2046*105.8</f>
        <v>233.24668</v>
      </c>
      <c r="G53" s="6">
        <v>25</v>
      </c>
      <c r="H53" s="7">
        <v>17574</v>
      </c>
      <c r="I53" s="7">
        <f t="shared" si="0"/>
        <v>702.96</v>
      </c>
      <c r="J53" s="7">
        <v>12198</v>
      </c>
      <c r="K53" s="7">
        <v>407</v>
      </c>
    </row>
    <row r="54" spans="1:11" ht="13.5" customHeight="1" x14ac:dyDescent="0.15">
      <c r="A54" s="4">
        <v>20911</v>
      </c>
      <c r="B54" s="6">
        <v>6</v>
      </c>
      <c r="C54" s="5">
        <f>2.2046*105.6</f>
        <v>232.80575999999999</v>
      </c>
      <c r="D54" s="5">
        <v>241.4</v>
      </c>
      <c r="E54" s="5">
        <v>230.8</v>
      </c>
      <c r="F54" s="5">
        <f>2.2046*107.2</f>
        <v>236.33312000000001</v>
      </c>
      <c r="G54" s="6">
        <v>25</v>
      </c>
      <c r="H54" s="7">
        <v>9573</v>
      </c>
      <c r="I54" s="7">
        <f t="shared" si="0"/>
        <v>382.92</v>
      </c>
      <c r="J54" s="7">
        <v>9745</v>
      </c>
      <c r="K54" s="7">
        <v>438</v>
      </c>
    </row>
    <row r="55" spans="1:11" ht="13.5" customHeight="1" x14ac:dyDescent="0.15">
      <c r="A55" s="4">
        <v>20941</v>
      </c>
      <c r="B55" s="6">
        <v>6</v>
      </c>
      <c r="C55" s="5">
        <f>2.2046*107.4</f>
        <v>236.77404000000001</v>
      </c>
      <c r="D55" s="5">
        <v>238.3</v>
      </c>
      <c r="E55" s="5">
        <v>227.1</v>
      </c>
      <c r="F55" s="5">
        <f>2.2046*106.1</f>
        <v>233.90806000000001</v>
      </c>
      <c r="G55" s="6">
        <v>26</v>
      </c>
      <c r="H55" s="7">
        <v>11265</v>
      </c>
      <c r="I55" s="7">
        <f t="shared" si="0"/>
        <v>433.26923076923077</v>
      </c>
      <c r="J55" s="7">
        <v>7902</v>
      </c>
      <c r="K55" s="7">
        <v>209</v>
      </c>
    </row>
    <row r="56" spans="1:11" ht="13.5" customHeight="1" x14ac:dyDescent="0.15">
      <c r="A56" s="4">
        <v>20972</v>
      </c>
      <c r="B56" s="6">
        <v>6</v>
      </c>
      <c r="C56" s="5">
        <f>2.2046*106.3</f>
        <v>234.34898000000001</v>
      </c>
      <c r="D56" s="5">
        <v>253.8</v>
      </c>
      <c r="E56" s="5">
        <v>234.4</v>
      </c>
      <c r="F56" s="5">
        <f>2.2046*113.7</f>
        <v>250.66302000000002</v>
      </c>
      <c r="G56" s="6">
        <v>25</v>
      </c>
      <c r="H56" s="7">
        <v>12406</v>
      </c>
      <c r="I56" s="7">
        <f t="shared" si="0"/>
        <v>496.24</v>
      </c>
      <c r="J56" s="7">
        <v>6355</v>
      </c>
      <c r="K56" s="7">
        <v>463</v>
      </c>
    </row>
    <row r="57" spans="1:11" ht="13.5" customHeight="1" x14ac:dyDescent="0.15">
      <c r="A57" s="4">
        <v>21002</v>
      </c>
      <c r="B57" s="6">
        <v>6</v>
      </c>
      <c r="C57" s="5">
        <f>2.2046*114.5</f>
        <v>252.42670000000001</v>
      </c>
      <c r="D57" s="5">
        <v>253.3</v>
      </c>
      <c r="E57" s="5">
        <v>246.9</v>
      </c>
      <c r="F57" s="5">
        <f>2.2046*112.3</f>
        <v>247.57658000000001</v>
      </c>
      <c r="G57" s="6">
        <v>27</v>
      </c>
      <c r="H57" s="7">
        <v>4922</v>
      </c>
      <c r="I57" s="7">
        <f t="shared" si="0"/>
        <v>182.2962962962963</v>
      </c>
      <c r="J57" s="7">
        <v>4989</v>
      </c>
      <c r="K57" s="7">
        <v>348</v>
      </c>
    </row>
    <row r="58" spans="1:11" ht="13.5" customHeight="1" x14ac:dyDescent="0.15">
      <c r="A58" s="4">
        <v>21033</v>
      </c>
      <c r="B58" s="6">
        <v>6</v>
      </c>
      <c r="C58" s="5">
        <f>2.2046*112.4</f>
        <v>247.79704000000004</v>
      </c>
      <c r="D58" s="5">
        <v>252.7</v>
      </c>
      <c r="E58" s="5">
        <v>233.3</v>
      </c>
      <c r="F58" s="5">
        <f>2.2046*107.1</f>
        <v>236.11266000000001</v>
      </c>
      <c r="G58" s="6">
        <v>27</v>
      </c>
      <c r="H58" s="7">
        <v>5001</v>
      </c>
      <c r="I58" s="7">
        <f t="shared" si="0"/>
        <v>185.22222222222223</v>
      </c>
      <c r="J58" s="7">
        <v>3983</v>
      </c>
      <c r="K58" s="7">
        <v>380</v>
      </c>
    </row>
    <row r="59" spans="1:11" ht="13.5" customHeight="1" x14ac:dyDescent="0.15">
      <c r="A59" s="4">
        <v>21064</v>
      </c>
      <c r="B59" s="6">
        <v>6</v>
      </c>
      <c r="C59" s="5">
        <f>2.2046*107.2</f>
        <v>236.33312000000001</v>
      </c>
      <c r="D59" s="5">
        <v>237.4</v>
      </c>
      <c r="E59" s="5">
        <v>209.2</v>
      </c>
      <c r="F59" s="5">
        <f>2.2046*99</f>
        <v>218.25540000000001</v>
      </c>
      <c r="G59" s="6">
        <v>24</v>
      </c>
      <c r="H59" s="7">
        <v>7185</v>
      </c>
      <c r="I59" s="7">
        <f t="shared" si="0"/>
        <v>299.375</v>
      </c>
      <c r="J59" s="7">
        <v>4350</v>
      </c>
      <c r="K59" s="7">
        <v>405</v>
      </c>
    </row>
    <row r="60" spans="1:11" ht="13.5" customHeight="1" x14ac:dyDescent="0.15">
      <c r="A60" s="4">
        <v>21094</v>
      </c>
      <c r="B60" s="6">
        <v>6</v>
      </c>
      <c r="C60" s="5">
        <f>2.2046*97.7</f>
        <v>215.38942000000003</v>
      </c>
      <c r="D60" s="5">
        <v>222.4</v>
      </c>
      <c r="E60" s="5">
        <v>199.1</v>
      </c>
      <c r="F60" s="5">
        <f>2.2046*90.3</f>
        <v>199.07538</v>
      </c>
      <c r="G60" s="6">
        <v>27</v>
      </c>
      <c r="H60" s="7">
        <v>8267</v>
      </c>
      <c r="I60" s="7">
        <f t="shared" si="0"/>
        <v>306.18518518518516</v>
      </c>
      <c r="J60" s="7">
        <v>4591</v>
      </c>
      <c r="K60" s="7">
        <v>424</v>
      </c>
    </row>
    <row r="61" spans="1:11" ht="13.5" customHeight="1" x14ac:dyDescent="0.15">
      <c r="A61" s="4">
        <v>21125</v>
      </c>
      <c r="B61" s="6">
        <v>6</v>
      </c>
      <c r="C61" s="5">
        <f>2.2046*91.7</f>
        <v>202.16182000000001</v>
      </c>
      <c r="D61" s="5">
        <v>204.8</v>
      </c>
      <c r="E61" s="5">
        <v>190.9</v>
      </c>
      <c r="F61" s="5">
        <f>2.2046*86.6</f>
        <v>190.91836000000001</v>
      </c>
      <c r="G61" s="6">
        <v>25</v>
      </c>
      <c r="H61" s="7">
        <v>8287</v>
      </c>
      <c r="I61" s="7">
        <f t="shared" si="0"/>
        <v>331.48</v>
      </c>
      <c r="J61" s="7">
        <v>5238</v>
      </c>
      <c r="K61" s="7">
        <v>323</v>
      </c>
    </row>
    <row r="62" spans="1:11" ht="13.5" customHeight="1" x14ac:dyDescent="0.15">
      <c r="A62" s="4">
        <v>21155</v>
      </c>
      <c r="B62" s="6">
        <v>6</v>
      </c>
      <c r="C62" s="5">
        <f>2.2046*91.3</f>
        <v>201.27997999999999</v>
      </c>
      <c r="D62" s="5">
        <v>219.8</v>
      </c>
      <c r="E62" s="5">
        <v>199.1</v>
      </c>
      <c r="F62" s="5">
        <f>2.2046*95.3</f>
        <v>210.09837999999999</v>
      </c>
      <c r="G62" s="6">
        <v>24</v>
      </c>
      <c r="H62" s="7">
        <v>10652</v>
      </c>
      <c r="I62" s="7">
        <f t="shared" si="0"/>
        <v>443.83333333333331</v>
      </c>
      <c r="J62" s="7">
        <v>4917</v>
      </c>
      <c r="K62" s="7">
        <v>385</v>
      </c>
    </row>
    <row r="63" spans="1:11" ht="13.5" customHeight="1" x14ac:dyDescent="0.15">
      <c r="A63" s="4">
        <v>21186</v>
      </c>
      <c r="B63" s="6">
        <v>6</v>
      </c>
      <c r="C63" s="5">
        <f>2.2046*92.5</f>
        <v>203.9255</v>
      </c>
      <c r="D63" s="5">
        <v>207</v>
      </c>
      <c r="E63" s="5">
        <v>191.4</v>
      </c>
      <c r="F63" s="5">
        <f>2.2046*90.5</f>
        <v>199.5163</v>
      </c>
      <c r="G63" s="6">
        <v>23</v>
      </c>
      <c r="H63" s="7">
        <v>8214</v>
      </c>
      <c r="I63" s="7">
        <f t="shared" si="0"/>
        <v>357.13043478260869</v>
      </c>
      <c r="J63" s="7">
        <v>5420</v>
      </c>
      <c r="K63" s="7">
        <v>209</v>
      </c>
    </row>
    <row r="64" spans="1:11" ht="13.5" customHeight="1" x14ac:dyDescent="0.15">
      <c r="A64" s="4">
        <v>21217</v>
      </c>
      <c r="B64" s="6">
        <v>6</v>
      </c>
      <c r="C64" s="5">
        <f>2.2046*90.8</f>
        <v>200.17768000000001</v>
      </c>
      <c r="D64" s="5">
        <v>202.2</v>
      </c>
      <c r="E64" s="5">
        <v>193.1</v>
      </c>
      <c r="F64" s="5">
        <f>2.2046*88.3</f>
        <v>194.66618</v>
      </c>
      <c r="G64" s="6">
        <v>24</v>
      </c>
      <c r="H64" s="7">
        <v>6694</v>
      </c>
      <c r="I64" s="7">
        <f t="shared" si="0"/>
        <v>278.91666666666669</v>
      </c>
      <c r="J64" s="7">
        <v>5507</v>
      </c>
      <c r="K64" s="7">
        <v>250</v>
      </c>
    </row>
    <row r="65" spans="1:12" ht="13.5" customHeight="1" x14ac:dyDescent="0.15">
      <c r="A65" s="4">
        <v>21245</v>
      </c>
      <c r="B65" s="6">
        <v>6</v>
      </c>
      <c r="C65" s="5">
        <f>2.2046*88.2</f>
        <v>194.44572000000002</v>
      </c>
      <c r="D65" s="5">
        <v>195.6</v>
      </c>
      <c r="E65" s="5">
        <v>190.7</v>
      </c>
      <c r="F65" s="5">
        <f>2.2046*87.5</f>
        <v>192.9025</v>
      </c>
      <c r="G65" s="6">
        <v>25</v>
      </c>
      <c r="H65" s="7">
        <v>5093</v>
      </c>
      <c r="I65" s="7">
        <f t="shared" si="0"/>
        <v>203.72</v>
      </c>
      <c r="J65" s="7">
        <v>4884</v>
      </c>
      <c r="K65" s="7">
        <v>314</v>
      </c>
    </row>
    <row r="66" spans="1:12" ht="13.5" customHeight="1" x14ac:dyDescent="0.15">
      <c r="A66" s="4">
        <v>21276</v>
      </c>
      <c r="B66" s="6">
        <v>6</v>
      </c>
      <c r="C66" s="5">
        <f>2.2046*87.9</f>
        <v>193.78434000000001</v>
      </c>
      <c r="D66" s="5">
        <v>194.7</v>
      </c>
      <c r="E66" s="5">
        <v>175.9</v>
      </c>
      <c r="F66" s="5">
        <f>2.2046*80.5</f>
        <v>177.47030000000001</v>
      </c>
      <c r="G66" s="6">
        <v>25</v>
      </c>
      <c r="H66" s="7">
        <v>7127</v>
      </c>
      <c r="I66" s="7">
        <f t="shared" si="0"/>
        <v>285.08</v>
      </c>
      <c r="J66" s="7">
        <v>5869</v>
      </c>
      <c r="K66" s="7">
        <v>302</v>
      </c>
    </row>
    <row r="67" spans="1:12" ht="13.5" customHeight="1" x14ac:dyDescent="0.15">
      <c r="A67" s="4">
        <v>21306</v>
      </c>
      <c r="B67" s="6">
        <v>6</v>
      </c>
      <c r="C67" s="5">
        <f>2.2046*77.9</f>
        <v>171.73834000000002</v>
      </c>
      <c r="D67" s="5">
        <v>180.1</v>
      </c>
      <c r="E67" s="5">
        <v>169.8</v>
      </c>
      <c r="F67" s="5">
        <f>2.2046*81.1</f>
        <v>178.79306</v>
      </c>
      <c r="G67" s="6">
        <v>25</v>
      </c>
      <c r="H67" s="7">
        <v>9204</v>
      </c>
      <c r="I67" s="7">
        <f t="shared" ref="I67:I130" si="1">H67/G67</f>
        <v>368.16</v>
      </c>
      <c r="J67" s="7">
        <v>7731</v>
      </c>
      <c r="K67" s="7">
        <v>582</v>
      </c>
    </row>
    <row r="68" spans="1:12" ht="13.5" customHeight="1" x14ac:dyDescent="0.15">
      <c r="A68" s="4">
        <v>21337</v>
      </c>
      <c r="B68" s="6">
        <v>6</v>
      </c>
      <c r="C68" s="5">
        <f>2.2046*81.5</f>
        <v>179.67490000000001</v>
      </c>
      <c r="D68" s="5">
        <v>185.9</v>
      </c>
      <c r="E68" s="5">
        <v>173.9</v>
      </c>
      <c r="F68" s="5">
        <f>2.2046*83.5</f>
        <v>184.08410000000001</v>
      </c>
      <c r="G68" s="6">
        <v>25</v>
      </c>
      <c r="H68" s="7">
        <v>6532</v>
      </c>
      <c r="I68" s="7">
        <f t="shared" si="1"/>
        <v>261.27999999999997</v>
      </c>
      <c r="J68" s="7">
        <v>6228</v>
      </c>
      <c r="K68" s="7">
        <v>576</v>
      </c>
    </row>
    <row r="69" spans="1:12" ht="13.5" customHeight="1" x14ac:dyDescent="0.15">
      <c r="A69" s="4">
        <v>21367</v>
      </c>
      <c r="B69" s="6">
        <v>6</v>
      </c>
      <c r="C69" s="5">
        <f>2.2046*84.5</f>
        <v>186.28870000000001</v>
      </c>
      <c r="D69" s="5">
        <v>216.1</v>
      </c>
      <c r="E69" s="5">
        <v>182.1</v>
      </c>
      <c r="F69" s="5">
        <f>2.2046*91.6</f>
        <v>201.94136</v>
      </c>
      <c r="G69" s="6">
        <v>27</v>
      </c>
      <c r="H69" s="7">
        <v>15811</v>
      </c>
      <c r="I69" s="7">
        <f t="shared" si="1"/>
        <v>585.59259259259261</v>
      </c>
      <c r="J69" s="7">
        <v>5736</v>
      </c>
      <c r="K69" s="7">
        <v>452</v>
      </c>
    </row>
    <row r="70" spans="1:12" ht="13.5" customHeight="1" x14ac:dyDescent="0.15">
      <c r="A70" s="4">
        <v>21398</v>
      </c>
      <c r="B70" s="6">
        <v>6</v>
      </c>
      <c r="C70" s="5">
        <f>2.2046*91.1</f>
        <v>200.83905999999999</v>
      </c>
      <c r="D70" s="5">
        <v>206.8</v>
      </c>
      <c r="E70" s="5">
        <v>198</v>
      </c>
      <c r="F70" s="5">
        <f>2.2046*92.9</f>
        <v>204.80734000000001</v>
      </c>
      <c r="G70" s="6">
        <v>26</v>
      </c>
      <c r="H70" s="7">
        <v>6112</v>
      </c>
      <c r="I70" s="7">
        <f t="shared" si="1"/>
        <v>235.07692307692307</v>
      </c>
      <c r="J70" s="7">
        <v>5560</v>
      </c>
      <c r="K70" s="7">
        <v>277</v>
      </c>
    </row>
    <row r="71" spans="1:12" ht="13.5" customHeight="1" x14ac:dyDescent="0.15">
      <c r="A71" s="4">
        <v>21429</v>
      </c>
      <c r="B71" s="6">
        <v>6</v>
      </c>
      <c r="C71" s="5">
        <f>2.2046*93.1</f>
        <v>205.24825999999999</v>
      </c>
      <c r="D71" s="5">
        <v>214.3</v>
      </c>
      <c r="E71" s="5">
        <v>202.2</v>
      </c>
      <c r="F71" s="5">
        <f>2.2046*96.5</f>
        <v>212.74390000000002</v>
      </c>
      <c r="G71" s="6">
        <v>25</v>
      </c>
      <c r="H71" s="7">
        <v>7402</v>
      </c>
      <c r="I71" s="7">
        <f t="shared" si="1"/>
        <v>296.08</v>
      </c>
      <c r="J71" s="7">
        <v>4576</v>
      </c>
      <c r="K71" s="7">
        <v>367</v>
      </c>
    </row>
    <row r="72" spans="1:12" ht="13.5" customHeight="1" x14ac:dyDescent="0.15">
      <c r="A72" s="4">
        <v>21459</v>
      </c>
      <c r="B72" s="6">
        <v>6</v>
      </c>
      <c r="C72" s="5">
        <f>2.2046*96.7</f>
        <v>213.18482000000003</v>
      </c>
      <c r="D72" s="5">
        <v>231.3</v>
      </c>
      <c r="E72" s="5">
        <v>211.9</v>
      </c>
      <c r="F72" s="5">
        <f>2.2046*102.8</f>
        <v>226.63288</v>
      </c>
      <c r="G72" s="6">
        <v>27</v>
      </c>
      <c r="H72" s="7">
        <v>12003</v>
      </c>
      <c r="I72" s="7">
        <f t="shared" si="1"/>
        <v>444.55555555555554</v>
      </c>
      <c r="J72" s="7">
        <v>4004</v>
      </c>
      <c r="K72" s="7">
        <v>131</v>
      </c>
    </row>
    <row r="73" spans="1:12" ht="13.5" customHeight="1" x14ac:dyDescent="0.15">
      <c r="A73" s="4">
        <v>21490</v>
      </c>
      <c r="B73" s="6">
        <v>6</v>
      </c>
      <c r="C73" s="5">
        <f>2.2046*101.9</f>
        <v>224.64874000000003</v>
      </c>
      <c r="D73" s="5">
        <v>234.6</v>
      </c>
      <c r="E73" s="5">
        <v>219.1</v>
      </c>
      <c r="F73" s="5">
        <f>2.2046*99.4</f>
        <v>219.13724000000002</v>
      </c>
      <c r="G73" s="6">
        <v>24</v>
      </c>
      <c r="H73" s="7">
        <v>8504</v>
      </c>
      <c r="I73" s="7">
        <f t="shared" si="1"/>
        <v>354.33333333333331</v>
      </c>
      <c r="J73" s="7">
        <v>4544</v>
      </c>
      <c r="K73" s="7">
        <v>109</v>
      </c>
    </row>
    <row r="74" spans="1:12" ht="13.5" customHeight="1" x14ac:dyDescent="0.15">
      <c r="A74" s="4">
        <v>21520</v>
      </c>
      <c r="B74" s="6">
        <v>6</v>
      </c>
      <c r="C74" s="5">
        <f>2.2046*99.4</f>
        <v>219.13724000000002</v>
      </c>
      <c r="D74" s="5">
        <v>219.4</v>
      </c>
      <c r="E74" s="5">
        <v>210.5</v>
      </c>
      <c r="F74" s="5">
        <f>2.2046*98</f>
        <v>216.05080000000001</v>
      </c>
      <c r="G74" s="6">
        <v>24</v>
      </c>
      <c r="H74" s="7">
        <v>11182</v>
      </c>
      <c r="I74" s="7">
        <f t="shared" si="1"/>
        <v>465.91666666666669</v>
      </c>
      <c r="J74" s="7">
        <v>5393</v>
      </c>
      <c r="K74" s="7">
        <v>88</v>
      </c>
    </row>
    <row r="75" spans="1:12" ht="13.5" customHeight="1" x14ac:dyDescent="0.15">
      <c r="A75" s="4">
        <v>21551</v>
      </c>
      <c r="B75" s="6">
        <v>6</v>
      </c>
      <c r="C75" s="5">
        <f>2.2046*99.2</f>
        <v>218.69632000000001</v>
      </c>
      <c r="D75" s="5">
        <v>229.5</v>
      </c>
      <c r="E75" s="5">
        <v>218.7</v>
      </c>
      <c r="F75" s="5">
        <f>2.2046*99.8</f>
        <v>220.01908</v>
      </c>
      <c r="G75" s="6">
        <v>23</v>
      </c>
      <c r="H75" s="7">
        <v>10547</v>
      </c>
      <c r="I75" s="7">
        <f t="shared" si="1"/>
        <v>458.56521739130437</v>
      </c>
      <c r="J75" s="7">
        <v>5435</v>
      </c>
      <c r="K75" s="7">
        <v>56</v>
      </c>
    </row>
    <row r="76" spans="1:12" ht="13.5" customHeight="1" x14ac:dyDescent="0.15">
      <c r="A76" s="4">
        <v>21582</v>
      </c>
      <c r="B76" s="6">
        <v>6</v>
      </c>
      <c r="C76" s="5">
        <f>2.2046*99.8</f>
        <v>220.01908</v>
      </c>
      <c r="D76" s="5">
        <v>228</v>
      </c>
      <c r="E76" s="5">
        <v>220</v>
      </c>
      <c r="F76" s="5">
        <f>2.2046*102.9</f>
        <v>226.85334000000003</v>
      </c>
      <c r="G76" s="6">
        <v>24</v>
      </c>
      <c r="H76" s="7">
        <v>5506</v>
      </c>
      <c r="I76" s="7">
        <f t="shared" si="1"/>
        <v>229.41666666666666</v>
      </c>
      <c r="J76" s="7">
        <v>5036</v>
      </c>
      <c r="K76" s="7">
        <v>50</v>
      </c>
    </row>
    <row r="77" spans="1:12" ht="13.5" customHeight="1" x14ac:dyDescent="0.15">
      <c r="A77" s="4">
        <v>21610</v>
      </c>
      <c r="B77" s="6">
        <v>6</v>
      </c>
      <c r="C77" s="5">
        <f>2.2046*103.1</f>
        <v>227.29426000000001</v>
      </c>
      <c r="D77" s="5">
        <v>241.4</v>
      </c>
      <c r="E77" s="5">
        <v>226.4</v>
      </c>
      <c r="F77" s="5">
        <f>2.2046*109.5</f>
        <v>241.40370000000001</v>
      </c>
      <c r="G77" s="6">
        <v>25</v>
      </c>
      <c r="H77" s="7">
        <v>11327</v>
      </c>
      <c r="I77" s="7">
        <f t="shared" si="1"/>
        <v>453.08</v>
      </c>
      <c r="J77" s="7">
        <v>4157</v>
      </c>
      <c r="K77" s="7">
        <v>18</v>
      </c>
      <c r="L77" s="13" t="s">
        <v>35</v>
      </c>
    </row>
    <row r="78" spans="1:12" ht="13.5" customHeight="1" x14ac:dyDescent="0.15">
      <c r="A78" s="4">
        <v>21641</v>
      </c>
      <c r="B78" s="6">
        <v>6</v>
      </c>
      <c r="C78" s="5">
        <f>2.2046*109.5</f>
        <v>241.40370000000001</v>
      </c>
      <c r="D78" s="5">
        <v>256</v>
      </c>
      <c r="E78" s="5">
        <v>237.7</v>
      </c>
      <c r="F78" s="5">
        <f>2.2046*116</f>
        <v>255.73360000000002</v>
      </c>
      <c r="G78" s="6">
        <v>24</v>
      </c>
      <c r="H78" s="7">
        <v>11745</v>
      </c>
      <c r="I78" s="7">
        <f t="shared" si="1"/>
        <v>489.375</v>
      </c>
      <c r="J78" s="7">
        <v>4819</v>
      </c>
      <c r="K78" s="7">
        <v>130</v>
      </c>
    </row>
    <row r="79" spans="1:12" ht="13.5" customHeight="1" x14ac:dyDescent="0.15">
      <c r="A79" s="4">
        <v>21671</v>
      </c>
      <c r="B79" s="6">
        <v>6</v>
      </c>
      <c r="C79" s="5">
        <f>2.2046*115.3</f>
        <v>254.19038</v>
      </c>
      <c r="D79" s="5">
        <v>267.89999999999998</v>
      </c>
      <c r="E79" s="5">
        <v>246.7</v>
      </c>
      <c r="F79" s="5">
        <f>2.2046*112.4</f>
        <v>247.79704000000004</v>
      </c>
      <c r="G79" s="6">
        <v>25</v>
      </c>
      <c r="H79" s="7">
        <v>21542</v>
      </c>
      <c r="I79" s="7">
        <f t="shared" si="1"/>
        <v>861.68</v>
      </c>
      <c r="J79" s="7">
        <v>7485</v>
      </c>
      <c r="K79" s="7">
        <v>278</v>
      </c>
    </row>
    <row r="80" spans="1:12" ht="13.5" customHeight="1" x14ac:dyDescent="0.15">
      <c r="A80" s="4">
        <v>21702</v>
      </c>
      <c r="B80" s="6">
        <v>6</v>
      </c>
      <c r="C80" s="5">
        <f>2.2046*111.3</f>
        <v>245.37198000000001</v>
      </c>
      <c r="D80" s="5">
        <v>251.5</v>
      </c>
      <c r="E80" s="5">
        <v>239.2</v>
      </c>
      <c r="F80" s="5">
        <f>2.2046*110.9</f>
        <v>244.49014000000003</v>
      </c>
      <c r="G80" s="6">
        <v>26</v>
      </c>
      <c r="H80" s="7">
        <v>16977</v>
      </c>
      <c r="I80" s="7">
        <f t="shared" si="1"/>
        <v>652.96153846153845</v>
      </c>
      <c r="J80" s="7">
        <v>7193</v>
      </c>
      <c r="K80" s="7">
        <v>85</v>
      </c>
    </row>
    <row r="81" spans="1:11" ht="13.5" customHeight="1" x14ac:dyDescent="0.15">
      <c r="A81" s="4">
        <v>21732</v>
      </c>
      <c r="B81" s="6">
        <v>6</v>
      </c>
      <c r="C81" s="5">
        <f>2.2046*110.4</f>
        <v>243.38784000000001</v>
      </c>
      <c r="D81" s="5">
        <v>263.5</v>
      </c>
      <c r="E81" s="5">
        <v>241.4</v>
      </c>
      <c r="F81" s="5">
        <f>2.2046*119.5</f>
        <v>263.44970000000001</v>
      </c>
      <c r="G81" s="6">
        <v>27</v>
      </c>
      <c r="H81" s="7">
        <v>12306</v>
      </c>
      <c r="I81" s="7">
        <f t="shared" si="1"/>
        <v>455.77777777777777</v>
      </c>
      <c r="J81" s="7">
        <v>7883</v>
      </c>
      <c r="K81" s="7">
        <v>286</v>
      </c>
    </row>
    <row r="82" spans="1:11" ht="13.5" customHeight="1" x14ac:dyDescent="0.15">
      <c r="A82" s="4">
        <v>21763</v>
      </c>
      <c r="B82" s="6">
        <v>6</v>
      </c>
      <c r="C82" s="5">
        <f>2.2046*121.4</f>
        <v>267.63844</v>
      </c>
      <c r="D82" s="5">
        <v>275.60000000000002</v>
      </c>
      <c r="E82" s="5">
        <v>260.10000000000002</v>
      </c>
      <c r="F82" s="5">
        <f>2.2046*119.4</f>
        <v>263.22924</v>
      </c>
      <c r="G82" s="6">
        <v>26</v>
      </c>
      <c r="H82" s="7">
        <v>18053</v>
      </c>
      <c r="I82" s="7">
        <f t="shared" si="1"/>
        <v>694.34615384615381</v>
      </c>
      <c r="J82" s="7">
        <v>8318</v>
      </c>
      <c r="K82" s="7">
        <v>415</v>
      </c>
    </row>
    <row r="83" spans="1:11" ht="13.5" customHeight="1" x14ac:dyDescent="0.15">
      <c r="A83" s="4">
        <v>21794</v>
      </c>
      <c r="B83" s="6">
        <v>6</v>
      </c>
      <c r="C83" s="5">
        <f>2.2046*119.2</f>
        <v>262.78832</v>
      </c>
      <c r="D83" s="5">
        <v>272.3</v>
      </c>
      <c r="E83" s="5">
        <v>245.4</v>
      </c>
      <c r="F83" s="5">
        <f>2.2046*113.8</f>
        <v>250.88348000000002</v>
      </c>
      <c r="G83" s="6">
        <v>25</v>
      </c>
      <c r="H83" s="7">
        <v>14559</v>
      </c>
      <c r="I83" s="7">
        <f t="shared" si="1"/>
        <v>582.36</v>
      </c>
      <c r="J83" s="7">
        <v>7977</v>
      </c>
      <c r="K83" s="7">
        <v>457</v>
      </c>
    </row>
    <row r="84" spans="1:11" ht="13.5" customHeight="1" x14ac:dyDescent="0.15">
      <c r="A84" s="4">
        <v>21824</v>
      </c>
      <c r="B84" s="6">
        <v>6</v>
      </c>
      <c r="C84" s="5">
        <f>2.2046*112.5</f>
        <v>248.01750000000001</v>
      </c>
      <c r="D84" s="5">
        <v>266.8</v>
      </c>
      <c r="E84" s="5">
        <v>239.6</v>
      </c>
      <c r="F84" s="5">
        <f>2.2046*119</f>
        <v>262.34739999999999</v>
      </c>
      <c r="G84" s="6">
        <v>27</v>
      </c>
      <c r="H84" s="7">
        <v>21231</v>
      </c>
      <c r="I84" s="7">
        <f t="shared" si="1"/>
        <v>786.33333333333337</v>
      </c>
      <c r="J84" s="7">
        <v>8417</v>
      </c>
      <c r="K84" s="7">
        <v>577</v>
      </c>
    </row>
    <row r="85" spans="1:11" ht="13.5" customHeight="1" x14ac:dyDescent="0.15">
      <c r="A85" s="4">
        <v>21855</v>
      </c>
      <c r="B85" s="6">
        <v>6</v>
      </c>
      <c r="C85" s="5">
        <f>2.2046*118</f>
        <v>260.14280000000002</v>
      </c>
      <c r="D85" s="5">
        <v>297.39999999999998</v>
      </c>
      <c r="E85" s="5">
        <v>259</v>
      </c>
      <c r="F85" s="5">
        <f>2.2046*128.1</f>
        <v>282.40926000000002</v>
      </c>
      <c r="G85" s="6">
        <v>23</v>
      </c>
      <c r="H85" s="7">
        <v>52772</v>
      </c>
      <c r="I85" s="7">
        <f t="shared" si="1"/>
        <v>2294.4347826086955</v>
      </c>
      <c r="J85" s="7">
        <v>9653</v>
      </c>
      <c r="K85" s="7">
        <v>140</v>
      </c>
    </row>
    <row r="86" spans="1:11" ht="13.5" customHeight="1" x14ac:dyDescent="0.15">
      <c r="A86" s="4">
        <v>21885</v>
      </c>
      <c r="B86" s="6">
        <v>6</v>
      </c>
      <c r="C86" s="5">
        <f>2.2046*125</f>
        <v>275.57499999999999</v>
      </c>
      <c r="D86" s="5">
        <v>286.39999999999998</v>
      </c>
      <c r="E86" s="5">
        <v>271.39999999999998</v>
      </c>
      <c r="F86" s="5">
        <f>2.2046*129.4</f>
        <v>285.27524000000005</v>
      </c>
      <c r="G86" s="6">
        <v>24</v>
      </c>
      <c r="H86" s="7">
        <v>24447</v>
      </c>
      <c r="I86" s="7">
        <f t="shared" si="1"/>
        <v>1018.625</v>
      </c>
      <c r="J86" s="7">
        <v>8693</v>
      </c>
      <c r="K86" s="7">
        <v>324</v>
      </c>
    </row>
    <row r="87" spans="1:11" ht="13.5" customHeight="1" x14ac:dyDescent="0.15">
      <c r="A87" s="4">
        <v>21916</v>
      </c>
      <c r="B87" s="6">
        <v>6</v>
      </c>
      <c r="C87" s="5">
        <f>2.2046*123.1</f>
        <v>271.38625999999999</v>
      </c>
      <c r="D87" s="5">
        <v>300.7</v>
      </c>
      <c r="E87" s="5">
        <v>271.39999999999998</v>
      </c>
      <c r="F87" s="5">
        <f>2.2046*135</f>
        <v>297.62100000000004</v>
      </c>
      <c r="G87" s="6">
        <v>23</v>
      </c>
      <c r="H87" s="7">
        <v>17846</v>
      </c>
      <c r="I87" s="7">
        <f t="shared" si="1"/>
        <v>775.91304347826087</v>
      </c>
      <c r="J87" s="7">
        <v>8588</v>
      </c>
      <c r="K87" s="7">
        <v>254</v>
      </c>
    </row>
    <row r="88" spans="1:11" ht="13.5" customHeight="1" x14ac:dyDescent="0.15">
      <c r="A88" s="4">
        <v>21947</v>
      </c>
      <c r="B88" s="6">
        <v>6</v>
      </c>
      <c r="C88" s="5">
        <f>2.2046*133.5</f>
        <v>294.3141</v>
      </c>
      <c r="D88" s="5">
        <v>296.7</v>
      </c>
      <c r="E88" s="5">
        <v>277.8</v>
      </c>
      <c r="F88" s="5">
        <f>2.2046*132</f>
        <v>291.00720000000001</v>
      </c>
      <c r="G88" s="6">
        <v>25</v>
      </c>
      <c r="H88" s="7">
        <v>22221</v>
      </c>
      <c r="I88" s="7">
        <f t="shared" si="1"/>
        <v>888.84</v>
      </c>
      <c r="J88" s="7">
        <v>8656</v>
      </c>
      <c r="K88" s="7">
        <v>188</v>
      </c>
    </row>
    <row r="89" spans="1:11" ht="13.5" customHeight="1" x14ac:dyDescent="0.15">
      <c r="A89" s="4">
        <v>21976</v>
      </c>
      <c r="B89" s="6">
        <v>6</v>
      </c>
      <c r="C89" s="5">
        <f>2.2046*131.1</f>
        <v>289.02305999999999</v>
      </c>
      <c r="D89" s="5">
        <v>299.39999999999998</v>
      </c>
      <c r="E89" s="5">
        <v>286.60000000000002</v>
      </c>
      <c r="F89" s="5">
        <f>2.2046*135.6</f>
        <v>298.94376</v>
      </c>
      <c r="G89" s="6">
        <v>27</v>
      </c>
      <c r="H89" s="7">
        <v>13115</v>
      </c>
      <c r="I89" s="7">
        <f t="shared" si="1"/>
        <v>485.74074074074076</v>
      </c>
      <c r="J89" s="7">
        <v>7501</v>
      </c>
      <c r="K89" s="7">
        <v>205</v>
      </c>
    </row>
    <row r="90" spans="1:11" ht="13.5" customHeight="1" x14ac:dyDescent="0.15">
      <c r="A90" s="4">
        <v>22007</v>
      </c>
      <c r="B90" s="6">
        <v>6</v>
      </c>
      <c r="C90" s="5">
        <f>2.2046*132.5</f>
        <v>292.10950000000003</v>
      </c>
      <c r="D90" s="5">
        <v>295.39999999999998</v>
      </c>
      <c r="E90" s="5">
        <v>283.5</v>
      </c>
      <c r="F90" s="5">
        <f>2.2046*134</f>
        <v>295.41640000000001</v>
      </c>
      <c r="G90" s="6">
        <v>25</v>
      </c>
      <c r="H90" s="7">
        <v>11907</v>
      </c>
      <c r="I90" s="7">
        <f t="shared" si="1"/>
        <v>476.28</v>
      </c>
      <c r="J90" s="7">
        <v>7949</v>
      </c>
      <c r="K90" s="7">
        <v>235</v>
      </c>
    </row>
    <row r="91" spans="1:11" ht="13.5" customHeight="1" x14ac:dyDescent="0.15">
      <c r="A91" s="4">
        <v>22037</v>
      </c>
      <c r="B91" s="6">
        <v>6</v>
      </c>
      <c r="C91" s="5">
        <f>2.2046*133.3</f>
        <v>293.87318000000005</v>
      </c>
      <c r="D91" s="5">
        <v>307.5</v>
      </c>
      <c r="E91" s="5">
        <v>292.60000000000002</v>
      </c>
      <c r="F91" s="5">
        <f>2.2046*134.9</f>
        <v>297.40054000000003</v>
      </c>
      <c r="G91" s="6">
        <v>24</v>
      </c>
      <c r="H91" s="7">
        <v>21412</v>
      </c>
      <c r="I91" s="7">
        <f t="shared" si="1"/>
        <v>892.16666666666663</v>
      </c>
      <c r="J91" s="7">
        <v>7208</v>
      </c>
      <c r="K91" s="7">
        <v>288</v>
      </c>
    </row>
    <row r="92" spans="1:11" ht="13.5" customHeight="1" x14ac:dyDescent="0.15">
      <c r="A92" s="4">
        <v>22068</v>
      </c>
      <c r="B92" s="6">
        <v>6</v>
      </c>
      <c r="C92" s="5">
        <f>2.2046*135.1</f>
        <v>297.84145999999998</v>
      </c>
      <c r="D92" s="5">
        <v>303.8</v>
      </c>
      <c r="E92" s="5">
        <v>295.2</v>
      </c>
      <c r="F92" s="5">
        <f>2.2046*134.7</f>
        <v>296.95961999999997</v>
      </c>
      <c r="G92" s="6">
        <v>26</v>
      </c>
      <c r="H92" s="7">
        <v>11753</v>
      </c>
      <c r="I92" s="7">
        <f t="shared" si="1"/>
        <v>452.03846153846155</v>
      </c>
      <c r="J92" s="7">
        <v>6779</v>
      </c>
      <c r="K92" s="7">
        <v>341</v>
      </c>
    </row>
    <row r="93" spans="1:11" ht="13.5" customHeight="1" x14ac:dyDescent="0.15">
      <c r="A93" s="4">
        <v>22098</v>
      </c>
      <c r="B93" s="6">
        <v>6</v>
      </c>
      <c r="C93" s="5">
        <f>2.2046*133</f>
        <v>293.21180000000004</v>
      </c>
      <c r="D93" s="5">
        <v>293.2</v>
      </c>
      <c r="E93" s="5">
        <v>256.60000000000002</v>
      </c>
      <c r="F93" s="5">
        <f>2.2046*116.7</f>
        <v>257.27682000000004</v>
      </c>
      <c r="G93" s="6">
        <v>26</v>
      </c>
      <c r="H93" s="7">
        <v>25930</v>
      </c>
      <c r="I93" s="7">
        <f t="shared" si="1"/>
        <v>997.30769230769226</v>
      </c>
      <c r="J93" s="7">
        <v>7828</v>
      </c>
      <c r="K93" s="7">
        <v>445</v>
      </c>
    </row>
    <row r="94" spans="1:11" ht="13.5" customHeight="1" x14ac:dyDescent="0.15">
      <c r="A94" s="4">
        <v>22129</v>
      </c>
      <c r="B94" s="6">
        <v>6</v>
      </c>
      <c r="C94" s="5">
        <f>2.2046*115.9</f>
        <v>255.51314000000002</v>
      </c>
      <c r="D94" s="5">
        <v>260.8</v>
      </c>
      <c r="E94" s="5">
        <v>248</v>
      </c>
      <c r="F94" s="5">
        <f>2.2046*115.9</f>
        <v>255.51314000000002</v>
      </c>
      <c r="G94" s="6">
        <v>27</v>
      </c>
      <c r="H94" s="7">
        <v>19810</v>
      </c>
      <c r="I94" s="7">
        <f t="shared" si="1"/>
        <v>733.7037037037037</v>
      </c>
      <c r="J94" s="7">
        <v>7715</v>
      </c>
      <c r="K94" s="7">
        <v>577</v>
      </c>
    </row>
    <row r="95" spans="1:11" ht="13.5" customHeight="1" x14ac:dyDescent="0.15">
      <c r="A95" s="4">
        <v>22160</v>
      </c>
      <c r="B95" s="6">
        <v>6</v>
      </c>
      <c r="C95" s="5">
        <f>2.2046*115.9</f>
        <v>255.51314000000002</v>
      </c>
      <c r="D95" s="5">
        <v>261.89999999999998</v>
      </c>
      <c r="E95" s="5">
        <v>234.6</v>
      </c>
      <c r="F95" s="5">
        <f>2.2046*108.5</f>
        <v>239.19910000000002</v>
      </c>
      <c r="G95" s="6">
        <v>25</v>
      </c>
      <c r="H95" s="7">
        <v>19850</v>
      </c>
      <c r="I95" s="7">
        <f t="shared" si="1"/>
        <v>794</v>
      </c>
      <c r="J95" s="7">
        <v>6780</v>
      </c>
      <c r="K95" s="7">
        <v>504</v>
      </c>
    </row>
    <row r="96" spans="1:11" ht="13.5" customHeight="1" x14ac:dyDescent="0.15">
      <c r="A96" s="4">
        <v>22190</v>
      </c>
      <c r="B96" s="6">
        <v>6</v>
      </c>
      <c r="C96" s="5">
        <f>2.2046*108.1</f>
        <v>238.31726</v>
      </c>
      <c r="D96" s="5">
        <v>239.6</v>
      </c>
      <c r="E96" s="5">
        <v>223.8</v>
      </c>
      <c r="F96" s="5">
        <f>2.2046*101.8</f>
        <v>224.42828</v>
      </c>
      <c r="G96" s="6">
        <v>26</v>
      </c>
      <c r="H96" s="7">
        <v>15277</v>
      </c>
      <c r="I96" s="7">
        <f t="shared" si="1"/>
        <v>587.57692307692309</v>
      </c>
      <c r="J96" s="7">
        <v>6327</v>
      </c>
      <c r="K96" s="7">
        <v>529</v>
      </c>
    </row>
    <row r="97" spans="1:12" ht="13.5" customHeight="1" x14ac:dyDescent="0.15">
      <c r="A97" s="4">
        <v>22221</v>
      </c>
      <c r="B97" s="6">
        <v>6</v>
      </c>
      <c r="C97" s="5">
        <f>2.2046*100</f>
        <v>220.46</v>
      </c>
      <c r="D97" s="5">
        <v>224.2</v>
      </c>
      <c r="E97" s="5">
        <v>209.7</v>
      </c>
      <c r="F97" s="5">
        <f>2.2046*97.8</f>
        <v>215.60988</v>
      </c>
      <c r="G97" s="6">
        <v>24</v>
      </c>
      <c r="H97" s="7">
        <v>16692</v>
      </c>
      <c r="I97" s="7">
        <f t="shared" si="1"/>
        <v>695.5</v>
      </c>
      <c r="J97" s="7">
        <v>5709</v>
      </c>
      <c r="K97" s="7">
        <v>856</v>
      </c>
    </row>
    <row r="98" spans="1:12" ht="13.5" customHeight="1" x14ac:dyDescent="0.15">
      <c r="A98" s="4">
        <v>22251</v>
      </c>
      <c r="B98" s="6">
        <v>6</v>
      </c>
      <c r="C98" s="5">
        <f>2.2046*98</f>
        <v>216.05080000000001</v>
      </c>
      <c r="D98" s="5">
        <v>224</v>
      </c>
      <c r="E98" s="5">
        <v>214.1</v>
      </c>
      <c r="F98" s="5">
        <f>2.2046*99.8</f>
        <v>220.01908</v>
      </c>
      <c r="G98" s="6">
        <v>24</v>
      </c>
      <c r="H98" s="7">
        <v>9235</v>
      </c>
      <c r="I98" s="7">
        <f t="shared" si="1"/>
        <v>384.79166666666669</v>
      </c>
      <c r="J98" s="7">
        <v>5078</v>
      </c>
      <c r="K98" s="7">
        <v>307</v>
      </c>
    </row>
    <row r="99" spans="1:12" ht="13.5" customHeight="1" x14ac:dyDescent="0.15">
      <c r="A99" s="4">
        <v>22282</v>
      </c>
      <c r="B99" s="6">
        <v>6</v>
      </c>
      <c r="C99" s="5">
        <f>2.2046*101.5</f>
        <v>223.76690000000002</v>
      </c>
      <c r="D99" s="5">
        <v>227.1</v>
      </c>
      <c r="E99" s="5">
        <v>200</v>
      </c>
      <c r="F99" s="5">
        <f>2.2046*90.7</f>
        <v>199.95722000000001</v>
      </c>
      <c r="G99" s="6">
        <v>24</v>
      </c>
      <c r="H99" s="7">
        <v>13385</v>
      </c>
      <c r="I99" s="7">
        <f t="shared" si="1"/>
        <v>557.70833333333337</v>
      </c>
      <c r="J99" s="7">
        <v>4861</v>
      </c>
      <c r="K99" s="7">
        <v>317</v>
      </c>
    </row>
    <row r="100" spans="1:12" ht="13.5" customHeight="1" x14ac:dyDescent="0.15">
      <c r="A100" s="4">
        <v>22313</v>
      </c>
      <c r="B100" s="6">
        <v>6</v>
      </c>
      <c r="C100" s="5">
        <f>2.2046*91.4</f>
        <v>201.50044000000003</v>
      </c>
      <c r="D100" s="5">
        <v>217.8</v>
      </c>
      <c r="E100" s="5">
        <v>198.2</v>
      </c>
      <c r="F100" s="5">
        <f>2.2046*98.8</f>
        <v>217.81448</v>
      </c>
      <c r="G100" s="6">
        <v>24</v>
      </c>
      <c r="H100" s="7">
        <v>14350</v>
      </c>
      <c r="I100" s="7">
        <f t="shared" si="1"/>
        <v>597.91666666666663</v>
      </c>
      <c r="J100" s="7">
        <v>6013</v>
      </c>
      <c r="K100" s="7">
        <v>256</v>
      </c>
    </row>
    <row r="101" spans="1:12" ht="13.5" customHeight="1" x14ac:dyDescent="0.15">
      <c r="A101" s="4">
        <v>22341</v>
      </c>
      <c r="B101" s="6">
        <v>6</v>
      </c>
      <c r="C101" s="5">
        <f>2.2046*98.4</f>
        <v>216.93264000000002</v>
      </c>
      <c r="D101" s="5">
        <v>226.9</v>
      </c>
      <c r="E101" s="5">
        <v>213.2</v>
      </c>
      <c r="F101" s="5">
        <f>2.2046*99.9</f>
        <v>220.23954000000003</v>
      </c>
      <c r="G101" s="6">
        <v>26</v>
      </c>
      <c r="H101" s="7">
        <v>14840</v>
      </c>
      <c r="I101" s="7">
        <f t="shared" si="1"/>
        <v>570.76923076923072</v>
      </c>
      <c r="J101" s="7">
        <v>6108</v>
      </c>
      <c r="K101" s="7">
        <v>246</v>
      </c>
    </row>
    <row r="102" spans="1:12" ht="13.5" customHeight="1" x14ac:dyDescent="0.15">
      <c r="A102" s="4">
        <v>22372</v>
      </c>
      <c r="B102" s="6">
        <v>6</v>
      </c>
      <c r="C102" s="5">
        <f>2.2046*100.4</f>
        <v>221.34184000000002</v>
      </c>
      <c r="D102" s="5">
        <v>246</v>
      </c>
      <c r="E102" s="5">
        <v>217.6</v>
      </c>
      <c r="F102" s="5">
        <f>2.2046*108.9</f>
        <v>240.08094000000003</v>
      </c>
      <c r="G102" s="6">
        <v>24</v>
      </c>
      <c r="H102" s="7">
        <v>17250</v>
      </c>
      <c r="I102" s="7">
        <f t="shared" si="1"/>
        <v>718.75</v>
      </c>
      <c r="J102" s="7">
        <v>7400</v>
      </c>
      <c r="K102" s="7">
        <v>241</v>
      </c>
    </row>
    <row r="103" spans="1:12" ht="13.5" customHeight="1" x14ac:dyDescent="0.15">
      <c r="A103" s="4">
        <v>22402</v>
      </c>
      <c r="B103" s="6">
        <v>6</v>
      </c>
      <c r="C103" s="5">
        <f>2.2046*110</f>
        <v>242.506</v>
      </c>
      <c r="D103" s="5">
        <v>243.2</v>
      </c>
      <c r="E103" s="5">
        <v>221.3</v>
      </c>
      <c r="F103" s="5">
        <f>2.2046*102.1</f>
        <v>225.08966000000001</v>
      </c>
      <c r="G103" s="6">
        <v>25</v>
      </c>
      <c r="H103" s="7">
        <v>11347</v>
      </c>
      <c r="I103" s="7">
        <f t="shared" si="1"/>
        <v>453.88</v>
      </c>
      <c r="J103" s="7">
        <v>6597</v>
      </c>
      <c r="K103" s="7">
        <v>177</v>
      </c>
    </row>
    <row r="104" spans="1:12" ht="13.5" customHeight="1" x14ac:dyDescent="0.15">
      <c r="A104" s="4">
        <v>22433</v>
      </c>
      <c r="B104" s="6">
        <v>6</v>
      </c>
      <c r="C104" s="5">
        <f>2.2046*102.7</f>
        <v>226.41242000000003</v>
      </c>
      <c r="D104" s="5">
        <v>226.9</v>
      </c>
      <c r="E104" s="5">
        <v>214.1</v>
      </c>
      <c r="F104" s="5">
        <f>2.2046*97.6</f>
        <v>215.16896</v>
      </c>
      <c r="G104" s="6">
        <v>26</v>
      </c>
      <c r="H104" s="7">
        <v>9140</v>
      </c>
      <c r="I104" s="7">
        <f t="shared" si="1"/>
        <v>351.53846153846155</v>
      </c>
      <c r="J104" s="7">
        <v>6453</v>
      </c>
      <c r="K104" s="7">
        <v>71</v>
      </c>
    </row>
    <row r="105" spans="1:12" ht="13.5" customHeight="1" x14ac:dyDescent="0.15">
      <c r="A105" s="4">
        <v>22463</v>
      </c>
      <c r="B105" s="6">
        <v>6</v>
      </c>
      <c r="C105" s="5">
        <f>2.2046*98.7</f>
        <v>217.59402000000003</v>
      </c>
      <c r="D105" s="5">
        <v>227.1</v>
      </c>
      <c r="E105" s="5">
        <v>215.2</v>
      </c>
      <c r="F105" s="5">
        <f>2.2046*99.3</f>
        <v>218.91678000000002</v>
      </c>
      <c r="G105" s="6">
        <v>26</v>
      </c>
      <c r="H105" s="7">
        <v>10644</v>
      </c>
      <c r="I105" s="7">
        <f t="shared" si="1"/>
        <v>409.38461538461536</v>
      </c>
      <c r="J105" s="7">
        <v>6570</v>
      </c>
      <c r="K105" s="7">
        <v>229</v>
      </c>
    </row>
    <row r="106" spans="1:12" ht="13.5" customHeight="1" x14ac:dyDescent="0.15">
      <c r="A106" s="4">
        <v>22494</v>
      </c>
      <c r="B106" s="6">
        <v>6</v>
      </c>
      <c r="C106" s="5">
        <f>2.2046*98.9</f>
        <v>218.03494000000003</v>
      </c>
      <c r="D106" s="5">
        <v>229.9</v>
      </c>
      <c r="E106" s="5">
        <v>216.7</v>
      </c>
      <c r="F106" s="5">
        <f>2.2046*103.5</f>
        <v>228.17610000000002</v>
      </c>
      <c r="G106" s="6">
        <v>27</v>
      </c>
      <c r="H106" s="7">
        <v>6606</v>
      </c>
      <c r="I106" s="7">
        <f t="shared" si="1"/>
        <v>244.66666666666666</v>
      </c>
      <c r="J106" s="7">
        <v>6105</v>
      </c>
      <c r="K106" s="7">
        <v>267</v>
      </c>
      <c r="L106" s="13" t="s">
        <v>24</v>
      </c>
    </row>
    <row r="107" spans="1:12" ht="13.5" customHeight="1" x14ac:dyDescent="0.15">
      <c r="A107" s="4">
        <v>22525</v>
      </c>
      <c r="B107" s="6">
        <v>6</v>
      </c>
      <c r="C107" s="5">
        <f>2.2046*102.8</f>
        <v>226.63288</v>
      </c>
      <c r="D107" s="5">
        <v>227.5</v>
      </c>
      <c r="E107" s="5">
        <v>210.3</v>
      </c>
      <c r="F107" s="5">
        <f>2.2046*97.3</f>
        <v>214.50758000000002</v>
      </c>
      <c r="G107" s="6">
        <v>25</v>
      </c>
      <c r="H107" s="7">
        <v>8691</v>
      </c>
      <c r="I107" s="7">
        <f t="shared" si="1"/>
        <v>347.64</v>
      </c>
      <c r="J107" s="7">
        <v>4029</v>
      </c>
      <c r="K107" s="7">
        <v>353</v>
      </c>
    </row>
    <row r="108" spans="1:12" ht="13.5" customHeight="1" x14ac:dyDescent="0.15">
      <c r="A108" s="4">
        <v>22555</v>
      </c>
      <c r="B108" s="6">
        <v>6</v>
      </c>
      <c r="C108" s="5">
        <f>2.2046*97</f>
        <v>213.84620000000001</v>
      </c>
      <c r="D108" s="5">
        <v>215.8</v>
      </c>
      <c r="E108" s="5">
        <v>197.1</v>
      </c>
      <c r="F108" s="5">
        <f>2.2046*89.4</f>
        <v>197.09124000000003</v>
      </c>
      <c r="G108" s="6">
        <v>26</v>
      </c>
      <c r="H108" s="7">
        <v>6716</v>
      </c>
      <c r="I108" s="7">
        <f t="shared" si="1"/>
        <v>258.30769230769232</v>
      </c>
      <c r="J108" s="7">
        <v>2964</v>
      </c>
      <c r="K108" s="7">
        <v>310</v>
      </c>
    </row>
    <row r="109" spans="1:12" ht="13.5" customHeight="1" x14ac:dyDescent="0.15">
      <c r="A109" s="4">
        <v>22586</v>
      </c>
      <c r="B109" s="6">
        <v>6</v>
      </c>
      <c r="C109" s="5">
        <f>2.2046*88.9</f>
        <v>195.98894000000001</v>
      </c>
      <c r="D109" s="5">
        <v>199.7</v>
      </c>
      <c r="E109" s="5">
        <v>190.9</v>
      </c>
      <c r="F109" s="5">
        <f>2.2046*87.7</f>
        <v>193.34342000000001</v>
      </c>
      <c r="G109" s="6">
        <v>24</v>
      </c>
      <c r="H109" s="7">
        <v>5381</v>
      </c>
      <c r="I109" s="7">
        <f t="shared" si="1"/>
        <v>224.20833333333334</v>
      </c>
      <c r="J109" s="7">
        <v>3028</v>
      </c>
      <c r="K109" s="7">
        <v>199</v>
      </c>
    </row>
    <row r="110" spans="1:12" ht="13.5" customHeight="1" x14ac:dyDescent="0.15">
      <c r="A110" s="4">
        <v>22616</v>
      </c>
      <c r="B110" s="6">
        <v>6</v>
      </c>
      <c r="C110" s="5">
        <f>2.2046*88</f>
        <v>194.00480000000002</v>
      </c>
      <c r="D110" s="5">
        <v>203.5</v>
      </c>
      <c r="E110" s="5">
        <v>194</v>
      </c>
      <c r="F110" s="5">
        <f>2.2046*92.3</f>
        <v>203.48457999999999</v>
      </c>
      <c r="G110" s="6">
        <v>24</v>
      </c>
      <c r="H110" s="7">
        <v>3855</v>
      </c>
      <c r="I110" s="7">
        <f t="shared" si="1"/>
        <v>160.625</v>
      </c>
      <c r="J110" s="7">
        <v>2795</v>
      </c>
      <c r="K110" s="7">
        <v>360</v>
      </c>
    </row>
    <row r="111" spans="1:12" ht="13.5" customHeight="1" x14ac:dyDescent="0.15">
      <c r="A111" s="4">
        <v>22647</v>
      </c>
      <c r="B111" s="6">
        <v>6</v>
      </c>
      <c r="C111" s="5">
        <f>2.2046*91.5</f>
        <v>201.7209</v>
      </c>
      <c r="D111" s="5">
        <v>213.4</v>
      </c>
      <c r="E111" s="5">
        <v>195.1</v>
      </c>
      <c r="F111" s="5">
        <f>2.2046*96</f>
        <v>211.64160000000001</v>
      </c>
      <c r="G111" s="6">
        <v>23</v>
      </c>
      <c r="H111" s="7">
        <v>4190</v>
      </c>
      <c r="I111" s="7">
        <f t="shared" si="1"/>
        <v>182.17391304347825</v>
      </c>
      <c r="J111" s="7">
        <v>2350</v>
      </c>
      <c r="K111" s="7">
        <v>177</v>
      </c>
    </row>
    <row r="112" spans="1:12" ht="13.5" customHeight="1" x14ac:dyDescent="0.15">
      <c r="A112" s="4">
        <v>22678</v>
      </c>
      <c r="B112" s="6">
        <v>6</v>
      </c>
      <c r="C112" s="5">
        <f>2.2046*97.5</f>
        <v>214.94850000000002</v>
      </c>
      <c r="D112" s="5">
        <v>217.2</v>
      </c>
      <c r="E112" s="5">
        <v>207.2</v>
      </c>
      <c r="F112" s="5">
        <f>2.2046*95</f>
        <v>209.43700000000001</v>
      </c>
      <c r="G112" s="6">
        <v>24</v>
      </c>
      <c r="H112" s="7">
        <v>3902</v>
      </c>
      <c r="I112" s="7">
        <f t="shared" si="1"/>
        <v>162.58333333333334</v>
      </c>
      <c r="J112" s="7">
        <v>2344</v>
      </c>
      <c r="K112" s="7">
        <v>219</v>
      </c>
    </row>
    <row r="113" spans="1:11" ht="13.5" customHeight="1" x14ac:dyDescent="0.15">
      <c r="A113" s="4">
        <v>22706</v>
      </c>
      <c r="B113" s="6">
        <v>6</v>
      </c>
      <c r="C113" s="5">
        <f>2.2046*93.6</f>
        <v>206.35056</v>
      </c>
      <c r="D113" s="5">
        <v>211.6</v>
      </c>
      <c r="E113" s="5">
        <v>206.4</v>
      </c>
      <c r="F113" s="5">
        <f>2.2046*95</f>
        <v>209.43700000000001</v>
      </c>
      <c r="G113" s="6">
        <v>26</v>
      </c>
      <c r="H113" s="7">
        <v>2194</v>
      </c>
      <c r="I113" s="7">
        <f t="shared" si="1"/>
        <v>84.384615384615387</v>
      </c>
      <c r="J113" s="7">
        <v>2019</v>
      </c>
      <c r="K113" s="7">
        <v>130</v>
      </c>
    </row>
    <row r="114" spans="1:11" ht="13.5" customHeight="1" x14ac:dyDescent="0.15">
      <c r="A114" s="4">
        <v>22737</v>
      </c>
      <c r="B114" s="6">
        <v>6</v>
      </c>
      <c r="C114" s="5">
        <f>2.2046*94.9</f>
        <v>209.21654000000004</v>
      </c>
      <c r="D114" s="5">
        <v>209.2</v>
      </c>
      <c r="E114" s="5">
        <v>201.7</v>
      </c>
      <c r="F114" s="5">
        <f>2.2046*92.7</f>
        <v>204.36642000000001</v>
      </c>
      <c r="G114" s="6">
        <v>25</v>
      </c>
      <c r="H114" s="7">
        <v>2097</v>
      </c>
      <c r="I114" s="7">
        <f t="shared" si="1"/>
        <v>83.88</v>
      </c>
      <c r="J114" s="7">
        <v>1592</v>
      </c>
      <c r="K114" s="7">
        <v>141</v>
      </c>
    </row>
    <row r="115" spans="1:11" ht="13.5" customHeight="1" x14ac:dyDescent="0.15">
      <c r="A115" s="4">
        <v>22767</v>
      </c>
      <c r="B115" s="6">
        <v>6</v>
      </c>
      <c r="C115" s="5">
        <f>2.2046*92.7</f>
        <v>204.36642000000001</v>
      </c>
      <c r="D115" s="5">
        <v>208.8</v>
      </c>
      <c r="E115" s="5">
        <v>201.7</v>
      </c>
      <c r="F115" s="5">
        <f>2.2046*91.5</f>
        <v>201.7209</v>
      </c>
      <c r="G115" s="6">
        <v>25</v>
      </c>
      <c r="H115" s="7">
        <v>1876</v>
      </c>
      <c r="I115" s="7">
        <f t="shared" si="1"/>
        <v>75.040000000000006</v>
      </c>
      <c r="J115" s="7">
        <v>1501</v>
      </c>
      <c r="K115" s="7">
        <v>127</v>
      </c>
    </row>
    <row r="116" spans="1:11" ht="13.5" customHeight="1" x14ac:dyDescent="0.15">
      <c r="A116" s="4">
        <v>22798</v>
      </c>
      <c r="B116" s="6">
        <v>6</v>
      </c>
      <c r="C116" s="5">
        <f>2.2046*91.4</f>
        <v>201.50044000000003</v>
      </c>
      <c r="D116" s="5">
        <v>201.5</v>
      </c>
      <c r="E116" s="5">
        <v>190.9</v>
      </c>
      <c r="F116" s="5">
        <f>2.2046*89</f>
        <v>196.20940000000002</v>
      </c>
      <c r="G116" s="6">
        <v>26</v>
      </c>
      <c r="H116" s="7">
        <v>2189</v>
      </c>
      <c r="I116" s="7">
        <f t="shared" si="1"/>
        <v>84.192307692307693</v>
      </c>
      <c r="J116" s="7">
        <v>1329</v>
      </c>
      <c r="K116" s="7">
        <v>160</v>
      </c>
    </row>
    <row r="117" spans="1:11" ht="13.5" customHeight="1" x14ac:dyDescent="0.15">
      <c r="A117" s="4">
        <v>22828</v>
      </c>
      <c r="B117" s="6">
        <v>6</v>
      </c>
      <c r="C117" s="5">
        <f>2.2046*89</f>
        <v>196.20940000000002</v>
      </c>
      <c r="D117" s="5">
        <v>199.3</v>
      </c>
      <c r="E117" s="5">
        <v>192.2</v>
      </c>
      <c r="F117" s="5">
        <f>2.2046*87.4</f>
        <v>192.68204000000003</v>
      </c>
      <c r="G117" s="6">
        <v>26</v>
      </c>
      <c r="H117" s="7">
        <v>1780</v>
      </c>
      <c r="I117" s="7">
        <f t="shared" si="1"/>
        <v>68.461538461538467</v>
      </c>
      <c r="J117" s="7">
        <v>1143</v>
      </c>
      <c r="K117" s="7">
        <v>160</v>
      </c>
    </row>
    <row r="118" spans="1:11" ht="13.5" customHeight="1" x14ac:dyDescent="0.15">
      <c r="A118" s="4">
        <v>22859</v>
      </c>
      <c r="B118" s="6">
        <v>6</v>
      </c>
      <c r="C118" s="5">
        <f>2.2046*87.2</f>
        <v>192.24112000000002</v>
      </c>
      <c r="D118" s="5">
        <v>192.2</v>
      </c>
      <c r="E118" s="5">
        <v>183.2</v>
      </c>
      <c r="F118" s="5">
        <f>2.2046*84.2</f>
        <v>185.62732000000003</v>
      </c>
      <c r="G118" s="6">
        <v>27</v>
      </c>
      <c r="H118" s="7">
        <v>1857</v>
      </c>
      <c r="I118" s="7">
        <f t="shared" si="1"/>
        <v>68.777777777777771</v>
      </c>
      <c r="J118" s="7">
        <v>979</v>
      </c>
      <c r="K118" s="7">
        <v>152</v>
      </c>
    </row>
    <row r="119" spans="1:11" ht="13.5" customHeight="1" x14ac:dyDescent="0.15">
      <c r="A119" s="4">
        <v>22890</v>
      </c>
      <c r="B119" s="6">
        <v>6</v>
      </c>
      <c r="C119" s="5">
        <f>2.2046*84.2</f>
        <v>185.62732000000003</v>
      </c>
      <c r="D119" s="5">
        <v>192.7</v>
      </c>
      <c r="E119" s="5">
        <v>183.9</v>
      </c>
      <c r="F119" s="5">
        <f>2.2046*86.8</f>
        <v>191.35928000000001</v>
      </c>
      <c r="G119" s="6">
        <v>25</v>
      </c>
      <c r="H119" s="7">
        <v>2062</v>
      </c>
      <c r="I119" s="7">
        <f t="shared" si="1"/>
        <v>82.48</v>
      </c>
      <c r="J119" s="7">
        <v>989</v>
      </c>
      <c r="K119" s="7">
        <v>163</v>
      </c>
    </row>
    <row r="120" spans="1:11" ht="13.5" customHeight="1" x14ac:dyDescent="0.15">
      <c r="A120" s="4">
        <v>22920</v>
      </c>
      <c r="B120" s="6">
        <v>6</v>
      </c>
      <c r="C120" s="5">
        <f>2.2046*87.7</f>
        <v>193.34342000000001</v>
      </c>
      <c r="D120" s="5">
        <v>209.2</v>
      </c>
      <c r="E120" s="5">
        <v>190.3</v>
      </c>
      <c r="F120" s="5">
        <f>2.2046*90</f>
        <v>198.41400000000002</v>
      </c>
      <c r="G120" s="6">
        <v>27</v>
      </c>
      <c r="H120" s="7">
        <v>2975</v>
      </c>
      <c r="I120" s="7">
        <f t="shared" si="1"/>
        <v>110.18518518518519</v>
      </c>
      <c r="J120" s="7">
        <v>1184</v>
      </c>
      <c r="K120" s="7">
        <v>202</v>
      </c>
    </row>
    <row r="121" spans="1:11" ht="13.5" customHeight="1" x14ac:dyDescent="0.15">
      <c r="A121" s="4">
        <v>22951</v>
      </c>
      <c r="B121" s="6">
        <v>6</v>
      </c>
      <c r="C121" s="5">
        <f>2.2046*91.1</f>
        <v>200.83905999999999</v>
      </c>
      <c r="D121" s="5">
        <v>201.7</v>
      </c>
      <c r="E121" s="5">
        <v>195.3</v>
      </c>
      <c r="F121" s="5">
        <f>2.2046*89.3</f>
        <v>196.87078</v>
      </c>
      <c r="G121" s="6">
        <v>24</v>
      </c>
      <c r="H121" s="7">
        <v>1528</v>
      </c>
      <c r="I121" s="7">
        <f t="shared" si="1"/>
        <v>63.666666666666664</v>
      </c>
      <c r="J121" s="7">
        <v>1008</v>
      </c>
      <c r="K121" s="7">
        <v>92</v>
      </c>
    </row>
    <row r="122" spans="1:11" ht="13.5" customHeight="1" x14ac:dyDescent="0.15">
      <c r="A122" s="4">
        <v>22981</v>
      </c>
      <c r="B122" s="6">
        <v>6</v>
      </c>
      <c r="C122" s="5">
        <f>2.2046*90</f>
        <v>198.41400000000002</v>
      </c>
      <c r="D122" s="5">
        <v>204.6</v>
      </c>
      <c r="E122" s="5">
        <v>197.3</v>
      </c>
      <c r="F122" s="5">
        <f>2.2046*92.4</f>
        <v>203.70504000000003</v>
      </c>
      <c r="G122" s="6">
        <v>24</v>
      </c>
      <c r="H122" s="7">
        <v>1865</v>
      </c>
      <c r="I122" s="7">
        <f t="shared" si="1"/>
        <v>77.708333333333329</v>
      </c>
      <c r="J122" s="7">
        <v>1205</v>
      </c>
      <c r="K122" s="7">
        <v>106</v>
      </c>
    </row>
    <row r="123" spans="1:11" ht="13.5" customHeight="1" x14ac:dyDescent="0.15">
      <c r="A123" s="4">
        <v>23012</v>
      </c>
      <c r="B123" s="6">
        <v>6</v>
      </c>
      <c r="C123" s="5">
        <f>2.2046*91.2</f>
        <v>201.05952000000002</v>
      </c>
      <c r="D123" s="5">
        <v>204.4</v>
      </c>
      <c r="E123" s="5">
        <v>198.4</v>
      </c>
      <c r="F123" s="5">
        <f>2.2046*92</f>
        <v>202.82320000000001</v>
      </c>
      <c r="G123" s="6">
        <v>23</v>
      </c>
      <c r="H123" s="7">
        <v>1749</v>
      </c>
      <c r="I123" s="7">
        <f t="shared" si="1"/>
        <v>76.043478260869563</v>
      </c>
      <c r="J123" s="7">
        <v>1392</v>
      </c>
      <c r="K123" s="7">
        <v>83</v>
      </c>
    </row>
    <row r="124" spans="1:11" ht="13.5" customHeight="1" x14ac:dyDescent="0.15">
      <c r="A124" s="4">
        <v>23043</v>
      </c>
      <c r="B124" s="6">
        <v>6</v>
      </c>
      <c r="C124" s="5">
        <f>2.2046*91.7</f>
        <v>202.16182000000001</v>
      </c>
      <c r="D124" s="5">
        <v>202.8</v>
      </c>
      <c r="E124" s="5">
        <v>192</v>
      </c>
      <c r="F124" s="5">
        <f>2.2046*87.9</f>
        <v>193.78434000000001</v>
      </c>
      <c r="G124" s="6">
        <v>24</v>
      </c>
      <c r="H124" s="7">
        <v>2007</v>
      </c>
      <c r="I124" s="7">
        <f t="shared" si="1"/>
        <v>83.625</v>
      </c>
      <c r="J124" s="7">
        <v>1472</v>
      </c>
      <c r="K124" s="7">
        <v>63</v>
      </c>
    </row>
    <row r="125" spans="1:11" ht="13.5" customHeight="1" x14ac:dyDescent="0.15">
      <c r="A125" s="4">
        <v>23071</v>
      </c>
      <c r="B125" s="6">
        <v>6</v>
      </c>
      <c r="C125" s="5">
        <f>2.2046*87.4</f>
        <v>192.68204000000003</v>
      </c>
      <c r="D125" s="5">
        <v>194.4</v>
      </c>
      <c r="E125" s="5">
        <v>191.8</v>
      </c>
      <c r="F125" s="5">
        <f>2.2046*87.8</f>
        <v>193.56388000000001</v>
      </c>
      <c r="G125" s="6">
        <v>25</v>
      </c>
      <c r="H125" s="7">
        <v>1996</v>
      </c>
      <c r="I125" s="7">
        <f t="shared" si="1"/>
        <v>79.84</v>
      </c>
      <c r="J125" s="7">
        <v>1376</v>
      </c>
      <c r="K125" s="7">
        <v>111</v>
      </c>
    </row>
    <row r="126" spans="1:11" ht="13.5" customHeight="1" x14ac:dyDescent="0.15">
      <c r="A126" s="4">
        <v>23102</v>
      </c>
      <c r="B126" s="6">
        <v>6</v>
      </c>
      <c r="C126" s="5">
        <f>2.2046*88.4</f>
        <v>194.88664000000003</v>
      </c>
      <c r="D126" s="5">
        <v>196.4</v>
      </c>
      <c r="E126" s="5">
        <v>191.8</v>
      </c>
      <c r="F126" s="5">
        <f>2.2046*87</f>
        <v>191.80020000000002</v>
      </c>
      <c r="G126" s="6">
        <v>25</v>
      </c>
      <c r="H126" s="7">
        <v>1525</v>
      </c>
      <c r="I126" s="7">
        <f t="shared" si="1"/>
        <v>61</v>
      </c>
      <c r="J126" s="7">
        <v>1409</v>
      </c>
      <c r="K126" s="7">
        <v>167</v>
      </c>
    </row>
    <row r="127" spans="1:11" ht="13.5" customHeight="1" x14ac:dyDescent="0.15">
      <c r="A127" s="4">
        <v>23132</v>
      </c>
      <c r="B127" s="6">
        <v>6</v>
      </c>
      <c r="C127" s="5">
        <f>2.2046*87</f>
        <v>191.80020000000002</v>
      </c>
      <c r="D127" s="5">
        <v>195.3</v>
      </c>
      <c r="E127" s="5">
        <v>189.8</v>
      </c>
      <c r="F127" s="5">
        <f>2.2046*87.6</f>
        <v>193.12296000000001</v>
      </c>
      <c r="G127" s="6">
        <v>26</v>
      </c>
      <c r="H127" s="7">
        <v>1817</v>
      </c>
      <c r="I127" s="7">
        <f t="shared" si="1"/>
        <v>69.884615384615387</v>
      </c>
      <c r="J127" s="7">
        <v>1310</v>
      </c>
      <c r="K127" s="7">
        <v>135</v>
      </c>
    </row>
    <row r="128" spans="1:11" ht="13.5" customHeight="1" x14ac:dyDescent="0.15">
      <c r="A128" s="4">
        <v>23163</v>
      </c>
      <c r="B128" s="6">
        <v>6</v>
      </c>
      <c r="C128" s="5">
        <f>2.2046*87.7</f>
        <v>193.34342000000001</v>
      </c>
      <c r="D128" s="5">
        <v>193.6</v>
      </c>
      <c r="E128" s="5">
        <v>187.8</v>
      </c>
      <c r="F128" s="5">
        <f>2.2046*85.4</f>
        <v>188.27284000000003</v>
      </c>
      <c r="G128" s="6">
        <v>25</v>
      </c>
      <c r="H128" s="7">
        <v>1335</v>
      </c>
      <c r="I128" s="7">
        <f t="shared" si="1"/>
        <v>53.4</v>
      </c>
      <c r="J128" s="7">
        <v>1180</v>
      </c>
      <c r="K128" s="7">
        <v>73</v>
      </c>
    </row>
    <row r="129" spans="1:12" ht="13.5" customHeight="1" x14ac:dyDescent="0.15">
      <c r="A129" s="4">
        <v>23193</v>
      </c>
      <c r="B129" s="6">
        <v>6</v>
      </c>
      <c r="C129" s="5">
        <f>2.2046*85.6</f>
        <v>188.71376000000001</v>
      </c>
      <c r="D129" s="5">
        <v>188.7</v>
      </c>
      <c r="E129" s="5">
        <v>182.8</v>
      </c>
      <c r="F129" s="5">
        <f>2.2046*83.9</f>
        <v>184.96594000000002</v>
      </c>
      <c r="G129" s="6">
        <v>27</v>
      </c>
      <c r="H129" s="7">
        <v>1405</v>
      </c>
      <c r="I129" s="7">
        <f t="shared" si="1"/>
        <v>52.037037037037038</v>
      </c>
      <c r="J129" s="7">
        <v>1036</v>
      </c>
      <c r="K129" s="7">
        <v>85</v>
      </c>
    </row>
    <row r="130" spans="1:12" ht="13.5" customHeight="1" x14ac:dyDescent="0.15">
      <c r="A130" s="4">
        <v>23224</v>
      </c>
      <c r="B130" s="6">
        <v>6</v>
      </c>
      <c r="C130" s="5">
        <v>186</v>
      </c>
      <c r="D130" s="5">
        <v>186.4</v>
      </c>
      <c r="E130" s="5">
        <v>174.1</v>
      </c>
      <c r="F130" s="5">
        <v>174.9</v>
      </c>
      <c r="G130" s="6">
        <v>27</v>
      </c>
      <c r="H130" s="7">
        <v>1701</v>
      </c>
      <c r="I130" s="7">
        <f t="shared" si="1"/>
        <v>63</v>
      </c>
      <c r="J130" s="7">
        <v>1021</v>
      </c>
      <c r="K130" s="7">
        <v>113</v>
      </c>
    </row>
    <row r="131" spans="1:12" ht="13.5" customHeight="1" x14ac:dyDescent="0.15">
      <c r="A131" s="4">
        <v>23255</v>
      </c>
      <c r="B131" s="6">
        <v>6</v>
      </c>
      <c r="C131" s="5">
        <v>175.3</v>
      </c>
      <c r="D131" s="5">
        <v>188.5</v>
      </c>
      <c r="E131" s="5">
        <v>164.5</v>
      </c>
      <c r="F131" s="5">
        <v>181.1</v>
      </c>
      <c r="G131" s="6">
        <v>24</v>
      </c>
      <c r="H131" s="7">
        <v>2921</v>
      </c>
      <c r="I131" s="7">
        <f t="shared" ref="I131:I194" si="2">H131/G131</f>
        <v>121.70833333333333</v>
      </c>
      <c r="J131" s="7">
        <v>1301</v>
      </c>
      <c r="K131" s="7">
        <v>139</v>
      </c>
    </row>
    <row r="132" spans="1:12" ht="13.5" customHeight="1" x14ac:dyDescent="0.15">
      <c r="A132" s="4">
        <v>23285</v>
      </c>
      <c r="B132" s="6">
        <v>6</v>
      </c>
      <c r="C132" s="5">
        <v>180.6</v>
      </c>
      <c r="D132" s="5">
        <v>183.9</v>
      </c>
      <c r="E132" s="5">
        <v>176</v>
      </c>
      <c r="F132" s="5">
        <v>183.2</v>
      </c>
      <c r="G132" s="6">
        <v>27</v>
      </c>
      <c r="H132" s="7">
        <v>2530</v>
      </c>
      <c r="I132" s="7">
        <f t="shared" si="2"/>
        <v>93.703703703703709</v>
      </c>
      <c r="J132" s="7">
        <v>1336</v>
      </c>
      <c r="K132" s="7">
        <v>121</v>
      </c>
    </row>
    <row r="133" spans="1:12" ht="13.5" customHeight="1" x14ac:dyDescent="0.15">
      <c r="A133" s="4">
        <v>23316</v>
      </c>
      <c r="B133" s="6">
        <v>6</v>
      </c>
      <c r="C133" s="5">
        <v>183.9</v>
      </c>
      <c r="D133" s="5">
        <v>188.4</v>
      </c>
      <c r="E133" s="5">
        <v>180.4</v>
      </c>
      <c r="F133" s="5">
        <v>180.7</v>
      </c>
      <c r="G133" s="6">
        <v>25</v>
      </c>
      <c r="H133" s="7">
        <v>2220</v>
      </c>
      <c r="I133" s="7">
        <f t="shared" si="2"/>
        <v>88.8</v>
      </c>
      <c r="J133" s="7">
        <v>1333</v>
      </c>
      <c r="K133" s="7">
        <v>98</v>
      </c>
      <c r="L133" s="13" t="s">
        <v>12</v>
      </c>
    </row>
    <row r="134" spans="1:12" ht="13.5" customHeight="1" x14ac:dyDescent="0.15">
      <c r="A134" s="4">
        <v>23346</v>
      </c>
      <c r="B134" s="6">
        <v>6</v>
      </c>
      <c r="C134" s="5">
        <v>180.6</v>
      </c>
      <c r="D134" s="5">
        <v>181.9</v>
      </c>
      <c r="E134" s="5">
        <v>172.4</v>
      </c>
      <c r="F134" s="5">
        <v>172.4</v>
      </c>
      <c r="G134" s="6">
        <v>24</v>
      </c>
      <c r="H134" s="7">
        <v>1583</v>
      </c>
      <c r="I134" s="7">
        <f t="shared" si="2"/>
        <v>65.958333333333329</v>
      </c>
      <c r="J134" s="7">
        <v>1170</v>
      </c>
      <c r="K134" s="7">
        <v>65</v>
      </c>
    </row>
    <row r="135" spans="1:12" ht="13.5" customHeight="1" x14ac:dyDescent="0.15">
      <c r="A135" s="4">
        <v>23377</v>
      </c>
      <c r="B135" s="6">
        <v>6</v>
      </c>
      <c r="C135" s="5">
        <v>169.5</v>
      </c>
      <c r="D135" s="5">
        <v>170.8</v>
      </c>
      <c r="E135" s="5">
        <v>164.9</v>
      </c>
      <c r="F135" s="5">
        <v>170.1</v>
      </c>
      <c r="G135" s="6">
        <v>23</v>
      </c>
      <c r="H135" s="7">
        <v>2462</v>
      </c>
      <c r="I135" s="7">
        <f t="shared" si="2"/>
        <v>107.04347826086956</v>
      </c>
      <c r="J135" s="7">
        <v>1500</v>
      </c>
      <c r="K135" s="7">
        <v>82</v>
      </c>
      <c r="L135" s="13" t="s">
        <v>36</v>
      </c>
    </row>
    <row r="136" spans="1:12" ht="13.5" customHeight="1" x14ac:dyDescent="0.15">
      <c r="A136" s="4">
        <v>23408</v>
      </c>
      <c r="B136" s="6">
        <v>6</v>
      </c>
      <c r="C136" s="5">
        <v>169.7</v>
      </c>
      <c r="D136" s="5">
        <v>174.3</v>
      </c>
      <c r="E136" s="5">
        <v>167.9</v>
      </c>
      <c r="F136" s="5">
        <v>171.6</v>
      </c>
      <c r="G136" s="6">
        <v>25</v>
      </c>
      <c r="H136" s="7">
        <v>3194</v>
      </c>
      <c r="I136" s="7">
        <f t="shared" si="2"/>
        <v>127.76</v>
      </c>
      <c r="J136" s="7">
        <v>1822</v>
      </c>
      <c r="K136" s="7">
        <v>94</v>
      </c>
    </row>
    <row r="137" spans="1:12" ht="13.5" customHeight="1" x14ac:dyDescent="0.15">
      <c r="A137" s="4">
        <v>23437</v>
      </c>
      <c r="B137" s="6">
        <v>6</v>
      </c>
      <c r="C137" s="5">
        <v>171.8</v>
      </c>
      <c r="D137" s="5">
        <v>179.7</v>
      </c>
      <c r="E137" s="5">
        <v>171.8</v>
      </c>
      <c r="F137" s="5">
        <v>176.9</v>
      </c>
      <c r="G137" s="6">
        <v>25</v>
      </c>
      <c r="H137" s="7">
        <v>3431</v>
      </c>
      <c r="I137" s="7">
        <f t="shared" si="2"/>
        <v>137.24</v>
      </c>
      <c r="J137" s="7">
        <v>1486</v>
      </c>
      <c r="K137" s="7">
        <v>61</v>
      </c>
    </row>
    <row r="138" spans="1:12" ht="13.5" customHeight="1" x14ac:dyDescent="0.15">
      <c r="A138" s="4">
        <v>23468</v>
      </c>
      <c r="B138" s="6">
        <v>6</v>
      </c>
      <c r="C138" s="5">
        <v>178.6</v>
      </c>
      <c r="D138" s="5">
        <v>182</v>
      </c>
      <c r="E138" s="5">
        <v>175</v>
      </c>
      <c r="F138" s="5">
        <v>175.5</v>
      </c>
      <c r="G138" s="6">
        <v>25</v>
      </c>
      <c r="H138" s="7">
        <v>2525</v>
      </c>
      <c r="I138" s="7">
        <f t="shared" si="2"/>
        <v>101</v>
      </c>
      <c r="J138" s="7">
        <v>1341</v>
      </c>
      <c r="K138" s="7">
        <v>96</v>
      </c>
    </row>
    <row r="139" spans="1:12" ht="13.5" customHeight="1" x14ac:dyDescent="0.15">
      <c r="A139" s="4">
        <v>23498</v>
      </c>
      <c r="B139" s="6">
        <v>6</v>
      </c>
      <c r="C139" s="5">
        <v>176.3</v>
      </c>
      <c r="D139" s="5">
        <v>179.2</v>
      </c>
      <c r="E139" s="5">
        <v>175.4</v>
      </c>
      <c r="F139" s="5">
        <v>178.4</v>
      </c>
      <c r="G139" s="6">
        <v>25</v>
      </c>
      <c r="H139" s="7">
        <v>1964</v>
      </c>
      <c r="I139" s="7">
        <f t="shared" si="2"/>
        <v>78.56</v>
      </c>
      <c r="J139" s="7">
        <v>1317</v>
      </c>
      <c r="K139" s="7">
        <v>174</v>
      </c>
    </row>
    <row r="140" spans="1:12" ht="13.5" customHeight="1" x14ac:dyDescent="0.15">
      <c r="A140" s="4">
        <v>23529</v>
      </c>
      <c r="B140" s="6">
        <v>6</v>
      </c>
      <c r="C140" s="5">
        <v>179</v>
      </c>
      <c r="D140" s="5">
        <v>179.3</v>
      </c>
      <c r="E140" s="5">
        <v>175.3</v>
      </c>
      <c r="F140" s="5">
        <v>178</v>
      </c>
      <c r="G140" s="6">
        <v>26</v>
      </c>
      <c r="H140" s="7">
        <v>2127</v>
      </c>
      <c r="I140" s="7">
        <f t="shared" si="2"/>
        <v>81.807692307692307</v>
      </c>
      <c r="J140" s="7">
        <v>1176</v>
      </c>
      <c r="K140" s="7">
        <v>126</v>
      </c>
    </row>
    <row r="141" spans="1:12" ht="13.5" customHeight="1" x14ac:dyDescent="0.15">
      <c r="A141" s="4">
        <v>23559</v>
      </c>
      <c r="B141" s="6">
        <v>6</v>
      </c>
      <c r="C141" s="5">
        <v>177.5</v>
      </c>
      <c r="D141" s="5">
        <v>177.5</v>
      </c>
      <c r="E141" s="5">
        <v>169.4</v>
      </c>
      <c r="F141" s="5">
        <v>171</v>
      </c>
      <c r="G141" s="6">
        <v>27</v>
      </c>
      <c r="H141" s="7">
        <v>2268</v>
      </c>
      <c r="I141" s="7">
        <f t="shared" si="2"/>
        <v>84</v>
      </c>
      <c r="J141" s="7">
        <v>1099</v>
      </c>
      <c r="K141" s="7">
        <v>92</v>
      </c>
    </row>
    <row r="142" spans="1:12" ht="13.5" customHeight="1" x14ac:dyDescent="0.15">
      <c r="A142" s="4">
        <v>23590</v>
      </c>
      <c r="B142" s="6">
        <v>6</v>
      </c>
      <c r="C142" s="5">
        <v>171.7</v>
      </c>
      <c r="D142" s="5">
        <v>174.7</v>
      </c>
      <c r="E142" s="5">
        <v>169.9</v>
      </c>
      <c r="F142" s="5">
        <v>173.1</v>
      </c>
      <c r="G142" s="6">
        <v>26</v>
      </c>
      <c r="H142" s="7">
        <v>2374</v>
      </c>
      <c r="I142" s="7">
        <f t="shared" si="2"/>
        <v>91.307692307692307</v>
      </c>
      <c r="J142" s="7">
        <v>1192</v>
      </c>
      <c r="K142" s="7">
        <v>65</v>
      </c>
    </row>
    <row r="143" spans="1:12" ht="13.5" customHeight="1" x14ac:dyDescent="0.15">
      <c r="A143" s="4">
        <v>23621</v>
      </c>
      <c r="B143" s="6">
        <v>6</v>
      </c>
      <c r="C143" s="5">
        <v>173</v>
      </c>
      <c r="D143" s="5">
        <v>180.4</v>
      </c>
      <c r="E143" s="5">
        <v>173</v>
      </c>
      <c r="F143" s="5">
        <v>179.2</v>
      </c>
      <c r="G143" s="6">
        <v>25</v>
      </c>
      <c r="H143" s="7">
        <v>2934</v>
      </c>
      <c r="I143" s="7">
        <f t="shared" si="2"/>
        <v>117.36</v>
      </c>
      <c r="J143" s="7">
        <v>1250</v>
      </c>
      <c r="K143" s="7">
        <v>70</v>
      </c>
    </row>
    <row r="144" spans="1:12" ht="13.5" customHeight="1" x14ac:dyDescent="0.15">
      <c r="A144" s="4">
        <v>23651</v>
      </c>
      <c r="B144" s="6">
        <v>6</v>
      </c>
      <c r="C144" s="5">
        <v>179.4</v>
      </c>
      <c r="D144" s="5">
        <v>184.9</v>
      </c>
      <c r="E144" s="5">
        <v>179.4</v>
      </c>
      <c r="F144" s="5">
        <v>183.8</v>
      </c>
      <c r="G144" s="6">
        <v>27</v>
      </c>
      <c r="H144" s="7">
        <v>2341</v>
      </c>
      <c r="I144" s="7">
        <f t="shared" si="2"/>
        <v>86.703703703703709</v>
      </c>
      <c r="J144" s="7">
        <v>1328</v>
      </c>
      <c r="K144" s="7">
        <v>83</v>
      </c>
    </row>
    <row r="145" spans="1:11" ht="13.5" customHeight="1" x14ac:dyDescent="0.15">
      <c r="A145" s="4">
        <v>23682</v>
      </c>
      <c r="B145" s="6">
        <v>6</v>
      </c>
      <c r="C145" s="5">
        <v>184</v>
      </c>
      <c r="D145" s="5">
        <v>185.1</v>
      </c>
      <c r="E145" s="5">
        <v>176</v>
      </c>
      <c r="F145" s="5">
        <v>176.2</v>
      </c>
      <c r="G145" s="6">
        <v>23</v>
      </c>
      <c r="H145" s="7">
        <v>2450</v>
      </c>
      <c r="I145" s="7">
        <f t="shared" si="2"/>
        <v>106.52173913043478</v>
      </c>
      <c r="J145" s="7">
        <v>1278</v>
      </c>
      <c r="K145" s="7">
        <v>134</v>
      </c>
    </row>
    <row r="146" spans="1:11" ht="13.5" customHeight="1" x14ac:dyDescent="0.15">
      <c r="A146" s="4">
        <v>23712</v>
      </c>
      <c r="B146" s="6">
        <v>6</v>
      </c>
      <c r="C146" s="5">
        <v>176.5</v>
      </c>
      <c r="D146" s="5">
        <v>179.7</v>
      </c>
      <c r="E146" s="5">
        <v>174.8</v>
      </c>
      <c r="F146" s="5">
        <v>179.7</v>
      </c>
      <c r="G146" s="6">
        <v>24</v>
      </c>
      <c r="H146" s="7">
        <v>2352</v>
      </c>
      <c r="I146" s="7">
        <f t="shared" si="2"/>
        <v>98</v>
      </c>
      <c r="J146" s="7">
        <v>1130</v>
      </c>
      <c r="K146" s="7">
        <v>101</v>
      </c>
    </row>
    <row r="147" spans="1:11" ht="13.5" customHeight="1" x14ac:dyDescent="0.15">
      <c r="A147" s="4">
        <v>23743</v>
      </c>
      <c r="B147" s="6">
        <v>6</v>
      </c>
      <c r="C147" s="5">
        <v>184</v>
      </c>
      <c r="D147" s="5">
        <v>187.5</v>
      </c>
      <c r="E147" s="5">
        <v>183.1</v>
      </c>
      <c r="F147" s="5">
        <v>187.5</v>
      </c>
      <c r="G147" s="6">
        <v>23</v>
      </c>
      <c r="H147" s="7">
        <v>4430</v>
      </c>
      <c r="I147" s="7">
        <f t="shared" si="2"/>
        <v>192.60869565217391</v>
      </c>
      <c r="J147" s="7">
        <v>1742</v>
      </c>
      <c r="K147" s="7">
        <v>119</v>
      </c>
    </row>
    <row r="148" spans="1:11" ht="13.5" customHeight="1" x14ac:dyDescent="0.15">
      <c r="A148" s="4">
        <v>23774</v>
      </c>
      <c r="B148" s="6">
        <v>6</v>
      </c>
      <c r="C148" s="5">
        <v>188.5</v>
      </c>
      <c r="D148" s="5">
        <v>195</v>
      </c>
      <c r="E148" s="5">
        <v>185.9</v>
      </c>
      <c r="F148" s="5">
        <v>189.5</v>
      </c>
      <c r="G148" s="6">
        <v>24</v>
      </c>
      <c r="H148" s="7">
        <v>28105</v>
      </c>
      <c r="I148" s="7">
        <f t="shared" si="2"/>
        <v>1171.0416666666667</v>
      </c>
      <c r="J148" s="7">
        <v>6397</v>
      </c>
      <c r="K148" s="7">
        <v>117</v>
      </c>
    </row>
    <row r="149" spans="1:11" ht="13.5" customHeight="1" x14ac:dyDescent="0.15">
      <c r="A149" s="4">
        <v>23802</v>
      </c>
      <c r="B149" s="6">
        <v>6</v>
      </c>
      <c r="C149" s="5">
        <v>188</v>
      </c>
      <c r="D149" s="5">
        <v>194</v>
      </c>
      <c r="E149" s="5">
        <v>186</v>
      </c>
      <c r="F149" s="5">
        <v>194</v>
      </c>
      <c r="G149" s="6">
        <v>27</v>
      </c>
      <c r="H149" s="7">
        <v>15862</v>
      </c>
      <c r="I149" s="7">
        <f t="shared" si="2"/>
        <v>587.48148148148152</v>
      </c>
      <c r="J149" s="7">
        <v>8775</v>
      </c>
      <c r="K149" s="7">
        <v>251</v>
      </c>
    </row>
    <row r="150" spans="1:11" ht="13.5" customHeight="1" x14ac:dyDescent="0.15">
      <c r="A150" s="4">
        <v>23833</v>
      </c>
      <c r="B150" s="6">
        <v>6</v>
      </c>
      <c r="C150" s="5">
        <v>195.6</v>
      </c>
      <c r="D150" s="5">
        <v>197.2</v>
      </c>
      <c r="E150" s="5">
        <v>189.6</v>
      </c>
      <c r="F150" s="5">
        <v>191.1</v>
      </c>
      <c r="G150" s="6">
        <v>25</v>
      </c>
      <c r="H150" s="7">
        <v>26040</v>
      </c>
      <c r="I150" s="7">
        <f t="shared" si="2"/>
        <v>1041.5999999999999</v>
      </c>
      <c r="J150" s="7">
        <v>6954</v>
      </c>
      <c r="K150" s="7">
        <v>212</v>
      </c>
    </row>
    <row r="151" spans="1:11" ht="13.5" customHeight="1" x14ac:dyDescent="0.15">
      <c r="A151" s="4">
        <v>23863</v>
      </c>
      <c r="B151" s="6">
        <v>6</v>
      </c>
      <c r="C151" s="5">
        <v>192.4</v>
      </c>
      <c r="D151" s="5">
        <v>192.6</v>
      </c>
      <c r="E151" s="5">
        <v>184.8</v>
      </c>
      <c r="F151" s="5">
        <v>185.8</v>
      </c>
      <c r="G151" s="6">
        <v>24</v>
      </c>
      <c r="H151" s="7">
        <v>21132</v>
      </c>
      <c r="I151" s="7">
        <f t="shared" si="2"/>
        <v>880.5</v>
      </c>
      <c r="J151" s="7">
        <v>5303</v>
      </c>
      <c r="K151" s="7">
        <v>237</v>
      </c>
    </row>
    <row r="152" spans="1:11" ht="13.5" customHeight="1" x14ac:dyDescent="0.15">
      <c r="A152" s="4">
        <v>23894</v>
      </c>
      <c r="B152" s="6">
        <v>6</v>
      </c>
      <c r="C152" s="5">
        <v>186</v>
      </c>
      <c r="D152" s="5">
        <v>186.4</v>
      </c>
      <c r="E152" s="5">
        <v>171.1</v>
      </c>
      <c r="F152" s="5">
        <v>174.1</v>
      </c>
      <c r="G152" s="6">
        <v>26</v>
      </c>
      <c r="H152" s="7">
        <v>18204</v>
      </c>
      <c r="I152" s="7">
        <f t="shared" si="2"/>
        <v>700.15384615384619</v>
      </c>
      <c r="J152" s="7">
        <v>2653</v>
      </c>
      <c r="K152" s="7">
        <v>152</v>
      </c>
    </row>
    <row r="153" spans="1:11" ht="13.5" customHeight="1" x14ac:dyDescent="0.15">
      <c r="A153" s="4">
        <v>23924</v>
      </c>
      <c r="B153" s="6">
        <v>6</v>
      </c>
      <c r="C153" s="5">
        <v>174.9</v>
      </c>
      <c r="D153" s="5">
        <v>175.5</v>
      </c>
      <c r="E153" s="5">
        <v>165.2</v>
      </c>
      <c r="F153" s="5">
        <v>173.4</v>
      </c>
      <c r="G153" s="6">
        <v>27</v>
      </c>
      <c r="H153" s="7">
        <v>10559</v>
      </c>
      <c r="I153" s="7">
        <f t="shared" si="2"/>
        <v>391.07407407407408</v>
      </c>
      <c r="J153" s="7">
        <v>2078</v>
      </c>
      <c r="K153" s="7">
        <v>177</v>
      </c>
    </row>
    <row r="154" spans="1:11" ht="13.5" customHeight="1" x14ac:dyDescent="0.15">
      <c r="A154" s="4">
        <v>23955</v>
      </c>
      <c r="B154" s="6">
        <v>6</v>
      </c>
      <c r="C154" s="5">
        <v>174.9</v>
      </c>
      <c r="D154" s="5">
        <v>174.9</v>
      </c>
      <c r="E154" s="5">
        <v>168.7</v>
      </c>
      <c r="F154" s="5">
        <v>169.4</v>
      </c>
      <c r="G154" s="6">
        <v>26</v>
      </c>
      <c r="H154" s="7">
        <v>4405</v>
      </c>
      <c r="I154" s="7">
        <f t="shared" si="2"/>
        <v>169.42307692307693</v>
      </c>
      <c r="J154" s="7">
        <v>1819</v>
      </c>
      <c r="K154" s="7">
        <v>213</v>
      </c>
    </row>
    <row r="155" spans="1:11" ht="13.5" customHeight="1" x14ac:dyDescent="0.15">
      <c r="A155" s="4">
        <v>23986</v>
      </c>
      <c r="B155" s="6">
        <v>6</v>
      </c>
      <c r="C155" s="5">
        <v>169.5</v>
      </c>
      <c r="D155" s="5">
        <v>173.5</v>
      </c>
      <c r="E155" s="5">
        <v>168.1</v>
      </c>
      <c r="F155" s="5">
        <v>169.8</v>
      </c>
      <c r="G155" s="6">
        <v>25</v>
      </c>
      <c r="H155" s="7">
        <v>4692</v>
      </c>
      <c r="I155" s="7">
        <f t="shared" si="2"/>
        <v>187.68</v>
      </c>
      <c r="J155" s="7">
        <v>1687</v>
      </c>
      <c r="K155" s="7">
        <v>85</v>
      </c>
    </row>
    <row r="156" spans="1:11" ht="13.5" customHeight="1" x14ac:dyDescent="0.15">
      <c r="A156" s="4">
        <v>24016</v>
      </c>
      <c r="B156" s="6">
        <v>6</v>
      </c>
      <c r="C156" s="5">
        <v>170</v>
      </c>
      <c r="D156" s="5">
        <v>177.9</v>
      </c>
      <c r="E156" s="5">
        <v>170</v>
      </c>
      <c r="F156" s="5">
        <v>172</v>
      </c>
      <c r="G156" s="6">
        <v>26</v>
      </c>
      <c r="H156" s="7">
        <v>5888</v>
      </c>
      <c r="I156" s="7">
        <f t="shared" si="2"/>
        <v>226.46153846153845</v>
      </c>
      <c r="J156" s="7">
        <v>1949</v>
      </c>
      <c r="K156" s="7">
        <v>70</v>
      </c>
    </row>
    <row r="157" spans="1:11" ht="13.5" customHeight="1" x14ac:dyDescent="0.15">
      <c r="A157" s="4">
        <v>24047</v>
      </c>
      <c r="B157" s="6">
        <v>6</v>
      </c>
      <c r="C157" s="5">
        <v>172</v>
      </c>
      <c r="D157" s="5">
        <v>176.9</v>
      </c>
      <c r="E157" s="5">
        <v>172</v>
      </c>
      <c r="F157" s="5">
        <v>174.7</v>
      </c>
      <c r="G157" s="6">
        <v>24</v>
      </c>
      <c r="H157" s="7">
        <v>4069</v>
      </c>
      <c r="I157" s="7">
        <f t="shared" si="2"/>
        <v>169.54166666666666</v>
      </c>
      <c r="J157" s="7">
        <v>1867</v>
      </c>
      <c r="K157" s="7">
        <v>74</v>
      </c>
    </row>
    <row r="158" spans="1:11" ht="13.5" customHeight="1" x14ac:dyDescent="0.15">
      <c r="A158" s="4">
        <v>24077</v>
      </c>
      <c r="B158" s="6">
        <v>6</v>
      </c>
      <c r="C158" s="5">
        <v>174.4</v>
      </c>
      <c r="D158" s="5">
        <v>183</v>
      </c>
      <c r="E158" s="5">
        <v>174.3</v>
      </c>
      <c r="F158" s="5">
        <v>183</v>
      </c>
      <c r="G158" s="6">
        <v>24</v>
      </c>
      <c r="H158" s="7">
        <v>4513</v>
      </c>
      <c r="I158" s="7">
        <f t="shared" si="2"/>
        <v>188.04166666666666</v>
      </c>
      <c r="J158" s="7">
        <v>1962</v>
      </c>
      <c r="K158" s="7">
        <v>195</v>
      </c>
    </row>
    <row r="159" spans="1:11" ht="13.5" customHeight="1" x14ac:dyDescent="0.15">
      <c r="A159" s="4">
        <v>24108</v>
      </c>
      <c r="B159" s="6">
        <v>6</v>
      </c>
      <c r="C159" s="5">
        <v>182.9</v>
      </c>
      <c r="D159" s="5">
        <v>182.9</v>
      </c>
      <c r="E159" s="5">
        <v>179</v>
      </c>
      <c r="F159" s="5">
        <v>179.9</v>
      </c>
      <c r="G159" s="6">
        <v>23</v>
      </c>
      <c r="H159" s="7">
        <v>3161</v>
      </c>
      <c r="I159" s="7">
        <f t="shared" si="2"/>
        <v>137.43478260869566</v>
      </c>
      <c r="J159" s="7">
        <v>1534</v>
      </c>
      <c r="K159" s="7">
        <v>151</v>
      </c>
    </row>
    <row r="160" spans="1:11" ht="13.5" customHeight="1" x14ac:dyDescent="0.15">
      <c r="A160" s="4">
        <v>24139</v>
      </c>
      <c r="B160" s="6">
        <v>6</v>
      </c>
      <c r="C160" s="5">
        <v>180.4</v>
      </c>
      <c r="D160" s="5">
        <v>184</v>
      </c>
      <c r="E160" s="5">
        <v>180.4</v>
      </c>
      <c r="F160" s="5">
        <v>182.7</v>
      </c>
      <c r="G160" s="6">
        <v>24</v>
      </c>
      <c r="H160" s="7">
        <v>2543</v>
      </c>
      <c r="I160" s="7">
        <f t="shared" si="2"/>
        <v>105.95833333333333</v>
      </c>
      <c r="J160" s="7">
        <v>1270</v>
      </c>
      <c r="K160" s="7">
        <v>149</v>
      </c>
    </row>
    <row r="161" spans="1:12" ht="13.5" customHeight="1" x14ac:dyDescent="0.15">
      <c r="A161" s="4">
        <v>24167</v>
      </c>
      <c r="B161" s="6">
        <v>6</v>
      </c>
      <c r="C161" s="5">
        <v>183.4</v>
      </c>
      <c r="D161" s="5">
        <v>185</v>
      </c>
      <c r="E161" s="5">
        <v>180</v>
      </c>
      <c r="F161" s="5">
        <v>180.8</v>
      </c>
      <c r="G161" s="6">
        <v>26</v>
      </c>
      <c r="H161" s="7">
        <v>2251</v>
      </c>
      <c r="I161" s="7">
        <f t="shared" si="2"/>
        <v>86.57692307692308</v>
      </c>
      <c r="J161" s="7">
        <v>1063</v>
      </c>
      <c r="K161" s="7">
        <v>131</v>
      </c>
    </row>
    <row r="162" spans="1:12" ht="13.5" customHeight="1" x14ac:dyDescent="0.15">
      <c r="A162" s="4">
        <v>24198</v>
      </c>
      <c r="B162" s="6">
        <v>6</v>
      </c>
      <c r="C162" s="5">
        <v>178.4</v>
      </c>
      <c r="D162" s="5">
        <v>178.9</v>
      </c>
      <c r="E162" s="5">
        <v>175.1</v>
      </c>
      <c r="F162" s="5">
        <v>178.4</v>
      </c>
      <c r="G162" s="6">
        <v>25</v>
      </c>
      <c r="H162" s="7">
        <v>2914</v>
      </c>
      <c r="I162" s="7">
        <f t="shared" si="2"/>
        <v>116.56</v>
      </c>
      <c r="J162" s="7">
        <v>817</v>
      </c>
      <c r="K162" s="7">
        <v>97</v>
      </c>
    </row>
    <row r="163" spans="1:12" ht="13.5" customHeight="1" x14ac:dyDescent="0.15">
      <c r="A163" s="4">
        <v>24228</v>
      </c>
      <c r="B163" s="6">
        <v>6</v>
      </c>
      <c r="C163" s="5">
        <v>178.7</v>
      </c>
      <c r="D163" s="5">
        <v>180</v>
      </c>
      <c r="E163" s="5">
        <v>173.4</v>
      </c>
      <c r="F163" s="5">
        <v>173.4</v>
      </c>
      <c r="G163" s="6">
        <v>24</v>
      </c>
      <c r="H163" s="7">
        <v>2314</v>
      </c>
      <c r="I163" s="7">
        <f t="shared" si="2"/>
        <v>96.416666666666671</v>
      </c>
      <c r="J163" s="7">
        <v>540</v>
      </c>
      <c r="K163" s="7">
        <v>183</v>
      </c>
      <c r="L163" s="13" t="s">
        <v>25</v>
      </c>
    </row>
    <row r="164" spans="1:12" ht="13.5" customHeight="1" x14ac:dyDescent="0.15">
      <c r="A164" s="4">
        <v>24259</v>
      </c>
      <c r="B164" s="6">
        <v>6</v>
      </c>
      <c r="C164" s="5">
        <v>173.4</v>
      </c>
      <c r="D164" s="5">
        <v>174.9</v>
      </c>
      <c r="E164" s="5">
        <v>169.7</v>
      </c>
      <c r="F164" s="5">
        <v>169.7</v>
      </c>
      <c r="G164" s="6">
        <v>26</v>
      </c>
      <c r="H164" s="7">
        <v>2123</v>
      </c>
      <c r="I164" s="7">
        <f t="shared" si="2"/>
        <v>81.65384615384616</v>
      </c>
      <c r="J164" s="7">
        <v>422</v>
      </c>
      <c r="K164" s="7">
        <v>69</v>
      </c>
    </row>
    <row r="165" spans="1:12" ht="13.5" customHeight="1" x14ac:dyDescent="0.15">
      <c r="A165" s="4">
        <v>24289</v>
      </c>
      <c r="B165" s="6">
        <v>6</v>
      </c>
      <c r="C165" s="5">
        <v>170</v>
      </c>
      <c r="D165" s="5">
        <v>174</v>
      </c>
      <c r="E165" s="5">
        <v>169</v>
      </c>
      <c r="F165" s="5">
        <v>171.9</v>
      </c>
      <c r="G165" s="6">
        <v>26</v>
      </c>
      <c r="H165" s="7">
        <v>2020</v>
      </c>
      <c r="I165" s="7">
        <f t="shared" si="2"/>
        <v>77.692307692307693</v>
      </c>
      <c r="J165" s="7">
        <v>554</v>
      </c>
      <c r="K165" s="7">
        <v>65</v>
      </c>
    </row>
    <row r="166" spans="1:12" ht="13.5" customHeight="1" x14ac:dyDescent="0.15">
      <c r="A166" s="4">
        <v>24320</v>
      </c>
      <c r="B166" s="6">
        <v>6</v>
      </c>
      <c r="C166" s="5">
        <v>172</v>
      </c>
      <c r="D166" s="5">
        <v>172.6</v>
      </c>
      <c r="E166" s="5">
        <v>167.3</v>
      </c>
      <c r="F166" s="5">
        <v>168</v>
      </c>
      <c r="G166" s="6">
        <v>27</v>
      </c>
      <c r="H166" s="7">
        <v>1869</v>
      </c>
      <c r="I166" s="7">
        <f t="shared" si="2"/>
        <v>69.222222222222229</v>
      </c>
      <c r="J166" s="7">
        <v>746</v>
      </c>
      <c r="K166" s="7">
        <v>50</v>
      </c>
    </row>
    <row r="167" spans="1:12" ht="13.5" customHeight="1" x14ac:dyDescent="0.15">
      <c r="A167" s="4">
        <v>24351</v>
      </c>
      <c r="B167" s="6">
        <v>6</v>
      </c>
      <c r="C167" s="5">
        <v>167.1</v>
      </c>
      <c r="D167" s="5">
        <v>168</v>
      </c>
      <c r="E167" s="5">
        <v>161.30000000000001</v>
      </c>
      <c r="F167" s="5">
        <v>164</v>
      </c>
      <c r="G167" s="6">
        <v>24</v>
      </c>
      <c r="H167" s="7">
        <v>2127</v>
      </c>
      <c r="I167" s="7">
        <f t="shared" si="2"/>
        <v>88.625</v>
      </c>
      <c r="J167" s="7">
        <v>887</v>
      </c>
      <c r="K167" s="7">
        <v>43</v>
      </c>
    </row>
    <row r="168" spans="1:12" ht="13.5" customHeight="1" x14ac:dyDescent="0.15">
      <c r="A168" s="4">
        <v>24381</v>
      </c>
      <c r="B168" s="6">
        <v>6</v>
      </c>
      <c r="C168" s="5">
        <v>163.9</v>
      </c>
      <c r="D168" s="5">
        <v>167.9</v>
      </c>
      <c r="E168" s="5">
        <v>161.4</v>
      </c>
      <c r="F168" s="5">
        <v>166.7</v>
      </c>
      <c r="G168" s="6">
        <v>25</v>
      </c>
      <c r="H168" s="7">
        <v>2723</v>
      </c>
      <c r="I168" s="7">
        <f t="shared" si="2"/>
        <v>108.92</v>
      </c>
      <c r="J168" s="7">
        <v>1213</v>
      </c>
      <c r="K168" s="7">
        <v>33</v>
      </c>
    </row>
    <row r="169" spans="1:12" ht="13.5" customHeight="1" x14ac:dyDescent="0.15">
      <c r="A169" s="4">
        <v>24412</v>
      </c>
      <c r="B169" s="6">
        <v>6</v>
      </c>
      <c r="C169" s="5">
        <v>167.5</v>
      </c>
      <c r="D169" s="5">
        <v>168.2</v>
      </c>
      <c r="E169" s="5">
        <v>163.9</v>
      </c>
      <c r="F169" s="5">
        <v>164.4</v>
      </c>
      <c r="G169" s="6">
        <v>24</v>
      </c>
      <c r="H169" s="7">
        <v>2065</v>
      </c>
      <c r="I169" s="7">
        <f t="shared" si="2"/>
        <v>86.041666666666671</v>
      </c>
      <c r="J169" s="7">
        <v>1022</v>
      </c>
      <c r="K169" s="7">
        <v>38</v>
      </c>
    </row>
    <row r="170" spans="1:12" ht="13.5" customHeight="1" x14ac:dyDescent="0.15">
      <c r="A170" s="4">
        <v>24442</v>
      </c>
      <c r="B170" s="6">
        <v>6</v>
      </c>
      <c r="C170" s="5">
        <v>165</v>
      </c>
      <c r="D170" s="5">
        <v>165</v>
      </c>
      <c r="E170" s="5">
        <v>160.9</v>
      </c>
      <c r="F170" s="5">
        <v>162</v>
      </c>
      <c r="G170" s="6">
        <v>24</v>
      </c>
      <c r="H170" s="7">
        <v>2117</v>
      </c>
      <c r="I170" s="7">
        <f t="shared" si="2"/>
        <v>88.208333333333329</v>
      </c>
      <c r="J170" s="7">
        <v>708</v>
      </c>
      <c r="K170" s="7">
        <v>78</v>
      </c>
    </row>
    <row r="171" spans="1:12" ht="13.5" customHeight="1" x14ac:dyDescent="0.15">
      <c r="A171" s="4">
        <v>24473</v>
      </c>
      <c r="B171" s="6">
        <v>6</v>
      </c>
      <c r="C171" s="5">
        <v>161.9</v>
      </c>
      <c r="D171" s="5">
        <v>163.30000000000001</v>
      </c>
      <c r="E171" s="5">
        <v>158.4</v>
      </c>
      <c r="F171" s="5">
        <v>158.4</v>
      </c>
      <c r="G171" s="6">
        <v>24</v>
      </c>
      <c r="H171" s="7">
        <v>1608</v>
      </c>
      <c r="I171" s="7">
        <f t="shared" si="2"/>
        <v>67</v>
      </c>
      <c r="J171" s="7">
        <v>630</v>
      </c>
      <c r="K171" s="7">
        <v>53</v>
      </c>
    </row>
    <row r="172" spans="1:12" ht="13.5" customHeight="1" x14ac:dyDescent="0.15">
      <c r="A172" s="4">
        <v>24504</v>
      </c>
      <c r="B172" s="6">
        <v>6</v>
      </c>
      <c r="C172" s="5">
        <v>158.1</v>
      </c>
      <c r="D172" s="5">
        <v>160.1</v>
      </c>
      <c r="E172" s="5">
        <v>151.1</v>
      </c>
      <c r="F172" s="5">
        <v>153</v>
      </c>
      <c r="G172" s="6">
        <v>23</v>
      </c>
      <c r="H172" s="7">
        <v>2607</v>
      </c>
      <c r="I172" s="7">
        <f t="shared" si="2"/>
        <v>113.34782608695652</v>
      </c>
      <c r="J172" s="7">
        <v>743</v>
      </c>
      <c r="K172" s="7">
        <v>83</v>
      </c>
    </row>
    <row r="173" spans="1:12" ht="13.5" customHeight="1" x14ac:dyDescent="0.15">
      <c r="A173" s="4">
        <v>24532</v>
      </c>
      <c r="B173" s="6">
        <v>6</v>
      </c>
      <c r="C173" s="5">
        <v>153.4</v>
      </c>
      <c r="D173" s="5">
        <v>154.69999999999999</v>
      </c>
      <c r="E173" s="5">
        <v>149.9</v>
      </c>
      <c r="F173" s="5">
        <v>149.9</v>
      </c>
      <c r="G173" s="6">
        <v>26</v>
      </c>
      <c r="H173" s="7">
        <v>2303</v>
      </c>
      <c r="I173" s="7">
        <f t="shared" si="2"/>
        <v>88.57692307692308</v>
      </c>
      <c r="J173" s="7">
        <v>784</v>
      </c>
      <c r="K173" s="7">
        <v>51</v>
      </c>
    </row>
    <row r="174" spans="1:12" ht="13.5" customHeight="1" x14ac:dyDescent="0.15">
      <c r="A174" s="4">
        <v>24563</v>
      </c>
      <c r="B174" s="6">
        <v>6</v>
      </c>
      <c r="C174" s="5">
        <v>150.5</v>
      </c>
      <c r="D174" s="5">
        <v>152.6</v>
      </c>
      <c r="E174" s="5">
        <v>146.9</v>
      </c>
      <c r="F174" s="5">
        <v>150.6</v>
      </c>
      <c r="G174" s="6">
        <v>24</v>
      </c>
      <c r="H174" s="7">
        <v>2226</v>
      </c>
      <c r="I174" s="7">
        <f t="shared" si="2"/>
        <v>92.75</v>
      </c>
      <c r="J174" s="7">
        <v>855</v>
      </c>
      <c r="K174" s="7">
        <v>16</v>
      </c>
    </row>
    <row r="175" spans="1:12" ht="13.5" customHeight="1" x14ac:dyDescent="0.15">
      <c r="A175" s="4">
        <v>24593</v>
      </c>
      <c r="B175" s="6">
        <v>6</v>
      </c>
      <c r="C175" s="5">
        <v>151</v>
      </c>
      <c r="D175" s="5">
        <v>151</v>
      </c>
      <c r="E175" s="5">
        <v>145.1</v>
      </c>
      <c r="F175" s="5">
        <v>147</v>
      </c>
      <c r="G175" s="6">
        <v>25</v>
      </c>
      <c r="H175" s="7">
        <v>1943</v>
      </c>
      <c r="I175" s="7">
        <f t="shared" si="2"/>
        <v>77.72</v>
      </c>
      <c r="J175" s="7">
        <v>849</v>
      </c>
      <c r="K175" s="7">
        <v>32</v>
      </c>
    </row>
    <row r="176" spans="1:12" ht="13.5" customHeight="1" x14ac:dyDescent="0.15">
      <c r="A176" s="4">
        <v>24624</v>
      </c>
      <c r="B176" s="6">
        <v>6</v>
      </c>
      <c r="C176" s="5">
        <v>147.5</v>
      </c>
      <c r="D176" s="5">
        <v>153.80000000000001</v>
      </c>
      <c r="E176" s="5">
        <v>143.19999999999999</v>
      </c>
      <c r="F176" s="5">
        <v>143.19999999999999</v>
      </c>
      <c r="G176" s="6">
        <v>26</v>
      </c>
      <c r="H176" s="7">
        <v>3220</v>
      </c>
      <c r="I176" s="7">
        <f t="shared" si="2"/>
        <v>123.84615384615384</v>
      </c>
      <c r="J176" s="7">
        <v>821</v>
      </c>
      <c r="K176" s="7">
        <v>48</v>
      </c>
    </row>
    <row r="177" spans="1:11" ht="13.5" customHeight="1" x14ac:dyDescent="0.15">
      <c r="A177" s="4">
        <v>24654</v>
      </c>
      <c r="B177" s="6">
        <v>6</v>
      </c>
      <c r="C177" s="5">
        <v>145</v>
      </c>
      <c r="D177" s="5">
        <v>145.69999999999999</v>
      </c>
      <c r="E177" s="5">
        <v>141</v>
      </c>
      <c r="F177" s="5">
        <v>141.9</v>
      </c>
      <c r="G177" s="6">
        <v>26</v>
      </c>
      <c r="H177" s="7">
        <v>1879</v>
      </c>
      <c r="I177" s="7">
        <f t="shared" si="2"/>
        <v>72.269230769230774</v>
      </c>
      <c r="J177" s="7">
        <v>520</v>
      </c>
      <c r="K177" s="7">
        <v>44</v>
      </c>
    </row>
    <row r="178" spans="1:11" ht="13.5" customHeight="1" x14ac:dyDescent="0.15">
      <c r="A178" s="4">
        <v>24685</v>
      </c>
      <c r="B178" s="6">
        <v>6</v>
      </c>
      <c r="C178" s="5">
        <v>141.9</v>
      </c>
      <c r="D178" s="5">
        <v>141.9</v>
      </c>
      <c r="E178" s="5">
        <v>130.19999999999999</v>
      </c>
      <c r="F178" s="5">
        <v>130.19999999999999</v>
      </c>
      <c r="G178" s="6">
        <v>27</v>
      </c>
      <c r="H178" s="7">
        <v>2500</v>
      </c>
      <c r="I178" s="7">
        <f t="shared" si="2"/>
        <v>92.592592592592595</v>
      </c>
      <c r="J178" s="7">
        <v>576</v>
      </c>
      <c r="K178" s="7">
        <v>38</v>
      </c>
    </row>
    <row r="179" spans="1:11" ht="13.5" customHeight="1" x14ac:dyDescent="0.15">
      <c r="A179" s="4">
        <v>24716</v>
      </c>
      <c r="B179" s="6">
        <v>6</v>
      </c>
      <c r="C179" s="5">
        <v>130.69999999999999</v>
      </c>
      <c r="D179" s="5">
        <v>137.9</v>
      </c>
      <c r="E179" s="5">
        <v>128</v>
      </c>
      <c r="F179" s="5">
        <v>135</v>
      </c>
      <c r="G179" s="6">
        <v>25</v>
      </c>
      <c r="H179" s="7">
        <v>3807</v>
      </c>
      <c r="I179" s="7">
        <f t="shared" si="2"/>
        <v>152.28</v>
      </c>
      <c r="J179" s="7">
        <v>851</v>
      </c>
      <c r="K179" s="7">
        <v>11</v>
      </c>
    </row>
    <row r="180" spans="1:11" ht="13.5" customHeight="1" x14ac:dyDescent="0.15">
      <c r="A180" s="4">
        <v>24746</v>
      </c>
      <c r="B180" s="6">
        <v>6</v>
      </c>
      <c r="C180" s="5">
        <v>136.69999999999999</v>
      </c>
      <c r="D180" s="5">
        <v>136.69999999999999</v>
      </c>
      <c r="E180" s="5">
        <v>123</v>
      </c>
      <c r="F180" s="5">
        <v>123</v>
      </c>
      <c r="G180" s="6">
        <v>25</v>
      </c>
      <c r="H180" s="7">
        <v>2964</v>
      </c>
      <c r="I180" s="7">
        <f t="shared" si="2"/>
        <v>118.56</v>
      </c>
      <c r="J180" s="7">
        <v>771</v>
      </c>
      <c r="K180" s="7">
        <v>28</v>
      </c>
    </row>
    <row r="181" spans="1:11" ht="13.5" customHeight="1" x14ac:dyDescent="0.15">
      <c r="A181" s="4">
        <v>24777</v>
      </c>
      <c r="B181" s="6">
        <v>6</v>
      </c>
      <c r="C181" s="5">
        <v>120.4</v>
      </c>
      <c r="D181" s="5">
        <v>126</v>
      </c>
      <c r="E181" s="5">
        <v>119.9</v>
      </c>
      <c r="F181" s="5">
        <v>124.4</v>
      </c>
      <c r="G181" s="6">
        <v>24</v>
      </c>
      <c r="H181" s="7">
        <v>2934</v>
      </c>
      <c r="I181" s="7">
        <f t="shared" si="2"/>
        <v>122.25</v>
      </c>
      <c r="J181" s="7">
        <v>831</v>
      </c>
      <c r="K181" s="7">
        <v>46</v>
      </c>
    </row>
    <row r="182" spans="1:11" ht="13.5" customHeight="1" x14ac:dyDescent="0.15">
      <c r="A182" s="4">
        <v>24807</v>
      </c>
      <c r="B182" s="6">
        <v>6</v>
      </c>
      <c r="C182" s="5">
        <v>123.9</v>
      </c>
      <c r="D182" s="5">
        <v>127.7</v>
      </c>
      <c r="E182" s="5">
        <v>121.9</v>
      </c>
      <c r="F182" s="5">
        <v>126.7</v>
      </c>
      <c r="G182" s="6">
        <v>24</v>
      </c>
      <c r="H182" s="7">
        <v>2207</v>
      </c>
      <c r="I182" s="7">
        <f t="shared" si="2"/>
        <v>91.958333333333329</v>
      </c>
      <c r="J182" s="7">
        <v>849</v>
      </c>
      <c r="K182" s="7">
        <v>30</v>
      </c>
    </row>
    <row r="183" spans="1:11" ht="13.5" customHeight="1" x14ac:dyDescent="0.15">
      <c r="A183" s="4">
        <v>24838</v>
      </c>
      <c r="B183" s="6">
        <v>6</v>
      </c>
      <c r="C183" s="5">
        <v>126</v>
      </c>
      <c r="D183" s="5">
        <v>126</v>
      </c>
      <c r="E183" s="5">
        <v>120.2</v>
      </c>
      <c r="F183" s="5">
        <v>122.8</v>
      </c>
      <c r="G183" s="6">
        <v>23</v>
      </c>
      <c r="H183" s="7">
        <v>2238</v>
      </c>
      <c r="I183" s="7">
        <f t="shared" si="2"/>
        <v>97.304347826086953</v>
      </c>
      <c r="J183" s="7">
        <v>1378</v>
      </c>
      <c r="K183" s="7">
        <v>33</v>
      </c>
    </row>
    <row r="184" spans="1:11" ht="13.5" customHeight="1" x14ac:dyDescent="0.15">
      <c r="A184" s="4">
        <v>24869</v>
      </c>
      <c r="B184" s="6">
        <v>6</v>
      </c>
      <c r="C184" s="5">
        <v>123.1</v>
      </c>
      <c r="D184" s="5">
        <v>123.3</v>
      </c>
      <c r="E184" s="5">
        <v>119.2</v>
      </c>
      <c r="F184" s="5">
        <v>122.9</v>
      </c>
      <c r="G184" s="6">
        <v>25</v>
      </c>
      <c r="H184" s="7">
        <v>2248</v>
      </c>
      <c r="I184" s="7">
        <f t="shared" si="2"/>
        <v>89.92</v>
      </c>
      <c r="J184" s="7">
        <v>1475</v>
      </c>
      <c r="K184" s="7">
        <v>40</v>
      </c>
    </row>
    <row r="185" spans="1:11" ht="13.5" customHeight="1" x14ac:dyDescent="0.15">
      <c r="A185" s="4">
        <v>24898</v>
      </c>
      <c r="B185" s="6">
        <v>6</v>
      </c>
      <c r="C185" s="5">
        <v>123</v>
      </c>
      <c r="D185" s="5">
        <v>137</v>
      </c>
      <c r="E185" s="5">
        <v>122.5</v>
      </c>
      <c r="F185" s="5">
        <v>129</v>
      </c>
      <c r="G185" s="6">
        <v>25</v>
      </c>
      <c r="H185" s="7">
        <v>5579</v>
      </c>
      <c r="I185" s="7">
        <f t="shared" si="2"/>
        <v>223.16</v>
      </c>
      <c r="J185" s="7">
        <v>2195</v>
      </c>
      <c r="K185" s="7">
        <v>55</v>
      </c>
    </row>
    <row r="186" spans="1:11" ht="13.5" customHeight="1" x14ac:dyDescent="0.15">
      <c r="A186" s="4">
        <v>24929</v>
      </c>
      <c r="B186" s="6">
        <v>6</v>
      </c>
      <c r="C186" s="5">
        <v>128.9</v>
      </c>
      <c r="D186" s="5">
        <v>128.9</v>
      </c>
      <c r="E186" s="5">
        <v>123.5</v>
      </c>
      <c r="F186" s="5">
        <v>125.3</v>
      </c>
      <c r="G186" s="6">
        <v>25</v>
      </c>
      <c r="H186" s="7">
        <v>3497</v>
      </c>
      <c r="I186" s="7">
        <f t="shared" si="2"/>
        <v>139.88</v>
      </c>
      <c r="J186" s="7">
        <v>1633</v>
      </c>
      <c r="K186" s="7">
        <v>72</v>
      </c>
    </row>
    <row r="187" spans="1:11" ht="13.5" customHeight="1" x14ac:dyDescent="0.15">
      <c r="A187" s="4">
        <v>24959</v>
      </c>
      <c r="B187" s="6">
        <v>6</v>
      </c>
      <c r="C187" s="5">
        <v>125.5</v>
      </c>
      <c r="D187" s="5">
        <v>150.4</v>
      </c>
      <c r="E187" s="5">
        <v>125.3</v>
      </c>
      <c r="F187" s="5">
        <v>150.4</v>
      </c>
      <c r="G187" s="6">
        <v>26</v>
      </c>
      <c r="H187" s="7">
        <v>34170</v>
      </c>
      <c r="I187" s="7">
        <f t="shared" si="2"/>
        <v>1314.2307692307693</v>
      </c>
      <c r="J187" s="7">
        <v>8071</v>
      </c>
      <c r="K187" s="7">
        <v>177</v>
      </c>
    </row>
    <row r="188" spans="1:11" ht="13.5" customHeight="1" x14ac:dyDescent="0.15">
      <c r="A188" s="4">
        <v>24990</v>
      </c>
      <c r="B188" s="6">
        <v>6</v>
      </c>
      <c r="C188" s="5">
        <v>155</v>
      </c>
      <c r="D188" s="5">
        <v>155</v>
      </c>
      <c r="E188" s="5">
        <v>141.9</v>
      </c>
      <c r="F188" s="5">
        <v>147</v>
      </c>
      <c r="G188" s="6">
        <v>25</v>
      </c>
      <c r="H188" s="7">
        <v>77003</v>
      </c>
      <c r="I188" s="7">
        <f t="shared" si="2"/>
        <v>3080.12</v>
      </c>
      <c r="J188" s="7">
        <v>10799</v>
      </c>
      <c r="K188" s="7">
        <v>164</v>
      </c>
    </row>
    <row r="189" spans="1:11" ht="13.5" customHeight="1" x14ac:dyDescent="0.15">
      <c r="A189" s="4">
        <v>25020</v>
      </c>
      <c r="B189" s="6">
        <v>6</v>
      </c>
      <c r="C189" s="5">
        <v>145.4</v>
      </c>
      <c r="D189" s="5">
        <v>147.30000000000001</v>
      </c>
      <c r="E189" s="5">
        <v>134</v>
      </c>
      <c r="F189" s="5">
        <v>141.9</v>
      </c>
      <c r="G189" s="6">
        <v>27</v>
      </c>
      <c r="H189" s="7">
        <v>68020</v>
      </c>
      <c r="I189" s="7">
        <f t="shared" si="2"/>
        <v>2519.2592592592591</v>
      </c>
      <c r="J189" s="7">
        <v>8410</v>
      </c>
      <c r="K189" s="7">
        <v>101</v>
      </c>
    </row>
    <row r="190" spans="1:11" ht="13.5" customHeight="1" x14ac:dyDescent="0.15">
      <c r="A190" s="4">
        <v>25051</v>
      </c>
      <c r="B190" s="6">
        <v>6</v>
      </c>
      <c r="C190" s="5">
        <v>145.6</v>
      </c>
      <c r="D190" s="5">
        <v>149.9</v>
      </c>
      <c r="E190" s="5">
        <v>143.30000000000001</v>
      </c>
      <c r="F190" s="5">
        <v>145.1</v>
      </c>
      <c r="G190" s="6">
        <v>27</v>
      </c>
      <c r="H190" s="7">
        <v>44444</v>
      </c>
      <c r="I190" s="7">
        <f t="shared" si="2"/>
        <v>1646.0740740740741</v>
      </c>
      <c r="J190" s="7">
        <v>8003</v>
      </c>
      <c r="K190" s="7">
        <v>213</v>
      </c>
    </row>
    <row r="191" spans="1:11" ht="13.5" customHeight="1" x14ac:dyDescent="0.15">
      <c r="A191" s="4">
        <v>25082</v>
      </c>
      <c r="B191" s="6">
        <v>6</v>
      </c>
      <c r="C191" s="5">
        <v>146.19999999999999</v>
      </c>
      <c r="D191" s="5">
        <v>149.1</v>
      </c>
      <c r="E191" s="5">
        <v>144.1</v>
      </c>
      <c r="F191" s="5">
        <v>148.9</v>
      </c>
      <c r="G191" s="6">
        <v>24</v>
      </c>
      <c r="H191" s="7">
        <v>10915</v>
      </c>
      <c r="I191" s="7">
        <f t="shared" si="2"/>
        <v>454.79166666666669</v>
      </c>
      <c r="J191" s="7">
        <v>4033</v>
      </c>
      <c r="K191" s="7">
        <v>114</v>
      </c>
    </row>
    <row r="192" spans="1:11" ht="13.5" customHeight="1" x14ac:dyDescent="0.15">
      <c r="A192" s="4">
        <v>25112</v>
      </c>
      <c r="B192" s="6">
        <v>6</v>
      </c>
      <c r="C192" s="5">
        <v>149</v>
      </c>
      <c r="D192" s="5">
        <v>154.80000000000001</v>
      </c>
      <c r="E192" s="5">
        <v>149</v>
      </c>
      <c r="F192" s="5">
        <v>153.30000000000001</v>
      </c>
      <c r="G192" s="6">
        <v>26</v>
      </c>
      <c r="H192" s="7">
        <v>16668</v>
      </c>
      <c r="I192" s="7">
        <f t="shared" si="2"/>
        <v>641.07692307692309</v>
      </c>
      <c r="J192" s="7">
        <v>4432</v>
      </c>
      <c r="K192" s="7">
        <v>163</v>
      </c>
    </row>
    <row r="193" spans="1:11" ht="13.5" customHeight="1" x14ac:dyDescent="0.15">
      <c r="A193" s="4">
        <v>25143</v>
      </c>
      <c r="B193" s="6">
        <v>6</v>
      </c>
      <c r="C193" s="5">
        <v>151.69999999999999</v>
      </c>
      <c r="D193" s="5">
        <v>162.5</v>
      </c>
      <c r="E193" s="5">
        <v>150</v>
      </c>
      <c r="F193" s="5">
        <v>157.9</v>
      </c>
      <c r="G193" s="6">
        <v>25</v>
      </c>
      <c r="H193" s="7">
        <v>34068</v>
      </c>
      <c r="I193" s="7">
        <f t="shared" si="2"/>
        <v>1362.72</v>
      </c>
      <c r="J193" s="7">
        <v>7778</v>
      </c>
      <c r="K193" s="7">
        <v>109</v>
      </c>
    </row>
    <row r="194" spans="1:11" ht="13.5" customHeight="1" x14ac:dyDescent="0.15">
      <c r="A194" s="4">
        <v>25173</v>
      </c>
      <c r="B194" s="6">
        <v>6</v>
      </c>
      <c r="C194" s="5">
        <v>159</v>
      </c>
      <c r="D194" s="5">
        <v>160.9</v>
      </c>
      <c r="E194" s="5">
        <v>151.80000000000001</v>
      </c>
      <c r="F194" s="5">
        <v>154.4</v>
      </c>
      <c r="G194" s="6">
        <v>23</v>
      </c>
      <c r="H194" s="7">
        <v>31147</v>
      </c>
      <c r="I194" s="7">
        <f t="shared" si="2"/>
        <v>1354.2173913043478</v>
      </c>
      <c r="J194" s="7">
        <v>6936</v>
      </c>
      <c r="K194" s="7">
        <v>75</v>
      </c>
    </row>
    <row r="195" spans="1:11" ht="13.5" customHeight="1" x14ac:dyDescent="0.15">
      <c r="A195" s="4">
        <v>25204</v>
      </c>
      <c r="B195" s="6">
        <v>6</v>
      </c>
      <c r="C195" s="5">
        <v>155.9</v>
      </c>
      <c r="D195" s="5">
        <v>163.6</v>
      </c>
      <c r="E195" s="5">
        <v>155.19999999999999</v>
      </c>
      <c r="F195" s="5">
        <v>159.78</v>
      </c>
      <c r="G195" s="6">
        <v>23</v>
      </c>
      <c r="H195" s="7">
        <v>24248</v>
      </c>
      <c r="I195" s="7">
        <f t="shared" ref="I195:I258" si="3">H195/G195</f>
        <v>1054.2608695652175</v>
      </c>
      <c r="J195" s="7">
        <v>7664</v>
      </c>
      <c r="K195" s="7">
        <v>91</v>
      </c>
    </row>
    <row r="196" spans="1:11" ht="13.5" customHeight="1" x14ac:dyDescent="0.15">
      <c r="A196" s="4">
        <v>25235</v>
      </c>
      <c r="B196" s="6">
        <v>6</v>
      </c>
      <c r="C196" s="5">
        <v>159.9</v>
      </c>
      <c r="D196" s="5">
        <v>194.8</v>
      </c>
      <c r="E196" s="5">
        <v>159.9</v>
      </c>
      <c r="F196" s="5">
        <v>184.4</v>
      </c>
      <c r="G196" s="6">
        <v>23</v>
      </c>
      <c r="H196" s="7">
        <v>116552</v>
      </c>
      <c r="I196" s="7">
        <f t="shared" si="3"/>
        <v>5067.478260869565</v>
      </c>
      <c r="J196" s="7">
        <v>14245</v>
      </c>
      <c r="K196" s="7">
        <v>187</v>
      </c>
    </row>
    <row r="197" spans="1:11" ht="13.5" customHeight="1" x14ac:dyDescent="0.15">
      <c r="A197" s="4">
        <v>25263</v>
      </c>
      <c r="B197" s="6">
        <v>6</v>
      </c>
      <c r="C197" s="5">
        <v>181.2</v>
      </c>
      <c r="D197" s="5">
        <v>190.2</v>
      </c>
      <c r="E197" s="5">
        <v>178.1</v>
      </c>
      <c r="F197" s="5">
        <v>186.4</v>
      </c>
      <c r="G197" s="6">
        <v>25</v>
      </c>
      <c r="H197" s="7">
        <v>65869</v>
      </c>
      <c r="I197" s="7">
        <f t="shared" si="3"/>
        <v>2634.76</v>
      </c>
      <c r="J197" s="7">
        <v>12815</v>
      </c>
      <c r="K197" s="7">
        <v>140</v>
      </c>
    </row>
    <row r="198" spans="1:11" ht="13.5" customHeight="1" x14ac:dyDescent="0.15">
      <c r="A198" s="4">
        <v>25294</v>
      </c>
      <c r="B198" s="6">
        <v>6</v>
      </c>
      <c r="C198" s="5">
        <v>186.3</v>
      </c>
      <c r="D198" s="5">
        <v>192.9</v>
      </c>
      <c r="E198" s="5">
        <v>185.1</v>
      </c>
      <c r="F198" s="5">
        <v>189.1</v>
      </c>
      <c r="G198" s="6">
        <v>25</v>
      </c>
      <c r="H198" s="7">
        <v>26890</v>
      </c>
      <c r="I198" s="7">
        <f t="shared" si="3"/>
        <v>1075.5999999999999</v>
      </c>
      <c r="J198" s="7">
        <v>10685</v>
      </c>
      <c r="K198" s="7">
        <v>195</v>
      </c>
    </row>
    <row r="199" spans="1:11" ht="13.5" customHeight="1" x14ac:dyDescent="0.15">
      <c r="A199" s="4">
        <v>25324</v>
      </c>
      <c r="B199" s="6">
        <v>6</v>
      </c>
      <c r="C199" s="5">
        <v>189.1</v>
      </c>
      <c r="D199" s="5">
        <v>189.9</v>
      </c>
      <c r="E199" s="5">
        <v>175.9</v>
      </c>
      <c r="F199" s="5">
        <v>177.8</v>
      </c>
      <c r="G199" s="6">
        <v>25</v>
      </c>
      <c r="H199" s="7">
        <v>26010</v>
      </c>
      <c r="I199" s="7">
        <f t="shared" si="3"/>
        <v>1040.4000000000001</v>
      </c>
      <c r="J199" s="7">
        <v>7839</v>
      </c>
      <c r="K199" s="7">
        <v>141</v>
      </c>
    </row>
    <row r="200" spans="1:11" ht="13.5" customHeight="1" x14ac:dyDescent="0.15">
      <c r="A200" s="4">
        <v>25355</v>
      </c>
      <c r="B200" s="6">
        <v>6</v>
      </c>
      <c r="C200" s="5">
        <v>175.2</v>
      </c>
      <c r="D200" s="5">
        <v>189.6</v>
      </c>
      <c r="E200" s="5">
        <v>175.2</v>
      </c>
      <c r="F200" s="5">
        <v>186.8</v>
      </c>
      <c r="G200" s="6">
        <v>25</v>
      </c>
      <c r="H200" s="7">
        <v>21618</v>
      </c>
      <c r="I200" s="7">
        <f t="shared" si="3"/>
        <v>864.72</v>
      </c>
      <c r="J200" s="7">
        <v>7100</v>
      </c>
      <c r="K200" s="7">
        <v>90</v>
      </c>
    </row>
    <row r="201" spans="1:11" ht="13.5" customHeight="1" x14ac:dyDescent="0.15">
      <c r="A201" s="4">
        <v>25385</v>
      </c>
      <c r="B201" s="6">
        <v>6</v>
      </c>
      <c r="C201" s="5">
        <v>189.8</v>
      </c>
      <c r="D201" s="5">
        <v>205.4</v>
      </c>
      <c r="E201" s="5">
        <v>188.5</v>
      </c>
      <c r="F201" s="5">
        <v>203.3</v>
      </c>
      <c r="G201" s="6">
        <v>27</v>
      </c>
      <c r="H201" s="7">
        <v>61258</v>
      </c>
      <c r="I201" s="7">
        <f t="shared" si="3"/>
        <v>2268.8148148148148</v>
      </c>
      <c r="J201" s="7">
        <v>11923</v>
      </c>
      <c r="K201" s="7">
        <v>117</v>
      </c>
    </row>
    <row r="202" spans="1:11" ht="13.5" customHeight="1" x14ac:dyDescent="0.15">
      <c r="A202" s="4">
        <v>25416</v>
      </c>
      <c r="B202" s="6">
        <v>6</v>
      </c>
      <c r="C202" s="5">
        <v>211.6</v>
      </c>
      <c r="D202" s="5">
        <v>220</v>
      </c>
      <c r="E202" s="5">
        <v>205.8</v>
      </c>
      <c r="F202" s="5">
        <v>208.4</v>
      </c>
      <c r="G202" s="6">
        <v>26</v>
      </c>
      <c r="H202" s="7">
        <v>89276</v>
      </c>
      <c r="I202" s="7">
        <f t="shared" si="3"/>
        <v>3433.6923076923076</v>
      </c>
      <c r="J202" s="7">
        <v>16471</v>
      </c>
      <c r="K202" s="7">
        <v>101</v>
      </c>
    </row>
    <row r="203" spans="1:11" ht="13.5" customHeight="1" x14ac:dyDescent="0.15">
      <c r="A203" s="4">
        <v>25447</v>
      </c>
      <c r="B203" s="6">
        <v>6</v>
      </c>
      <c r="C203" s="5">
        <v>210.9</v>
      </c>
      <c r="D203" s="5">
        <v>210.9</v>
      </c>
      <c r="E203" s="5">
        <v>198.5</v>
      </c>
      <c r="F203" s="5">
        <v>201.7</v>
      </c>
      <c r="G203" s="6">
        <v>24</v>
      </c>
      <c r="H203" s="7">
        <v>56656</v>
      </c>
      <c r="I203" s="7">
        <f t="shared" si="3"/>
        <v>2360.6666666666665</v>
      </c>
      <c r="J203" s="7">
        <v>16835</v>
      </c>
      <c r="K203" s="7">
        <v>148</v>
      </c>
    </row>
    <row r="204" spans="1:11" ht="13.5" customHeight="1" x14ac:dyDescent="0.15">
      <c r="A204" s="4">
        <v>25477</v>
      </c>
      <c r="B204" s="6">
        <v>6</v>
      </c>
      <c r="C204" s="5">
        <v>200.8</v>
      </c>
      <c r="D204" s="5">
        <v>200.8</v>
      </c>
      <c r="E204" s="5">
        <v>161.69999999999999</v>
      </c>
      <c r="F204" s="5">
        <v>164.9</v>
      </c>
      <c r="G204" s="6">
        <v>26</v>
      </c>
      <c r="H204" s="7">
        <v>96392</v>
      </c>
      <c r="I204" s="7">
        <f t="shared" si="3"/>
        <v>3707.3846153846152</v>
      </c>
      <c r="J204" s="7">
        <v>13490</v>
      </c>
      <c r="K204" s="7">
        <v>115</v>
      </c>
    </row>
    <row r="205" spans="1:11" ht="13.5" customHeight="1" x14ac:dyDescent="0.15">
      <c r="A205" s="4">
        <v>25508</v>
      </c>
      <c r="B205" s="6">
        <v>6</v>
      </c>
      <c r="C205" s="5">
        <v>163.80000000000001</v>
      </c>
      <c r="D205" s="5">
        <v>174.4</v>
      </c>
      <c r="E205" s="5">
        <v>158.9</v>
      </c>
      <c r="F205" s="5">
        <v>161.80000000000001</v>
      </c>
      <c r="G205" s="6">
        <v>24</v>
      </c>
      <c r="H205" s="7">
        <v>91178</v>
      </c>
      <c r="I205" s="7">
        <f t="shared" si="3"/>
        <v>3799.0833333333335</v>
      </c>
      <c r="J205" s="7">
        <v>17067</v>
      </c>
      <c r="K205" s="7">
        <v>88</v>
      </c>
    </row>
    <row r="206" spans="1:11" ht="13.5" customHeight="1" x14ac:dyDescent="0.15">
      <c r="A206" s="4">
        <v>25538</v>
      </c>
      <c r="B206" s="6">
        <v>6</v>
      </c>
      <c r="C206" s="5">
        <v>163.19999999999999</v>
      </c>
      <c r="D206" s="5">
        <v>177.6</v>
      </c>
      <c r="E206" s="5">
        <v>162.9</v>
      </c>
      <c r="F206" s="5">
        <v>177</v>
      </c>
      <c r="G206" s="6">
        <v>24</v>
      </c>
      <c r="H206" s="7">
        <v>80412</v>
      </c>
      <c r="I206" s="7">
        <f t="shared" si="3"/>
        <v>3350.5</v>
      </c>
      <c r="J206" s="7">
        <v>17023</v>
      </c>
      <c r="K206" s="7">
        <v>77</v>
      </c>
    </row>
    <row r="207" spans="1:11" ht="13.5" customHeight="1" x14ac:dyDescent="0.15">
      <c r="A207" s="4">
        <v>25569</v>
      </c>
      <c r="B207" s="6">
        <v>6</v>
      </c>
      <c r="C207" s="5">
        <v>187.7</v>
      </c>
      <c r="D207" s="5">
        <v>188</v>
      </c>
      <c r="E207" s="5">
        <v>179.9</v>
      </c>
      <c r="F207" s="5">
        <v>184.4</v>
      </c>
      <c r="G207" s="6">
        <v>23</v>
      </c>
      <c r="H207" s="7">
        <v>67384</v>
      </c>
      <c r="I207" s="7">
        <f t="shared" si="3"/>
        <v>2929.7391304347825</v>
      </c>
      <c r="J207" s="7">
        <v>17854</v>
      </c>
      <c r="K207" s="7">
        <v>126</v>
      </c>
    </row>
    <row r="208" spans="1:11" ht="13.5" customHeight="1" x14ac:dyDescent="0.15">
      <c r="A208" s="4">
        <v>25600</v>
      </c>
      <c r="B208" s="6">
        <v>6</v>
      </c>
      <c r="C208" s="5">
        <v>187.9</v>
      </c>
      <c r="D208" s="5">
        <v>188.3</v>
      </c>
      <c r="E208" s="5">
        <v>162.1</v>
      </c>
      <c r="F208" s="5">
        <v>167</v>
      </c>
      <c r="G208" s="6">
        <v>23</v>
      </c>
      <c r="H208" s="7">
        <v>89291</v>
      </c>
      <c r="I208" s="7">
        <f t="shared" si="3"/>
        <v>3882.217391304348</v>
      </c>
      <c r="J208" s="7">
        <v>19377</v>
      </c>
      <c r="K208" s="7">
        <v>100</v>
      </c>
    </row>
    <row r="209" spans="1:11" ht="13.5" customHeight="1" x14ac:dyDescent="0.15">
      <c r="A209" s="4">
        <v>25628</v>
      </c>
      <c r="B209" s="6">
        <v>6</v>
      </c>
      <c r="C209" s="5">
        <v>168.9</v>
      </c>
      <c r="D209" s="5">
        <v>169.7</v>
      </c>
      <c r="E209" s="5">
        <v>163.5</v>
      </c>
      <c r="F209" s="5">
        <v>166.1</v>
      </c>
      <c r="G209" s="6">
        <v>25</v>
      </c>
      <c r="H209" s="7">
        <v>63883</v>
      </c>
      <c r="I209" s="7">
        <f t="shared" si="3"/>
        <v>2555.3200000000002</v>
      </c>
      <c r="J209" s="7">
        <v>21192</v>
      </c>
      <c r="K209" s="7">
        <v>175</v>
      </c>
    </row>
    <row r="210" spans="1:11" ht="13.5" customHeight="1" x14ac:dyDescent="0.15">
      <c r="A210" s="4">
        <v>25659</v>
      </c>
      <c r="B210" s="6">
        <v>6</v>
      </c>
      <c r="C210" s="5">
        <v>167</v>
      </c>
      <c r="D210" s="5">
        <v>167.1</v>
      </c>
      <c r="E210" s="5">
        <v>153</v>
      </c>
      <c r="F210" s="5">
        <v>156</v>
      </c>
      <c r="G210" s="6">
        <v>25</v>
      </c>
      <c r="H210" s="7">
        <v>88537</v>
      </c>
      <c r="I210" s="7">
        <f t="shared" si="3"/>
        <v>3541.48</v>
      </c>
      <c r="J210" s="7">
        <v>21431</v>
      </c>
      <c r="K210" s="7">
        <v>185</v>
      </c>
    </row>
    <row r="211" spans="1:11" ht="13.5" customHeight="1" x14ac:dyDescent="0.15">
      <c r="A211" s="4">
        <v>25689</v>
      </c>
      <c r="B211" s="6">
        <v>6</v>
      </c>
      <c r="C211" s="5">
        <v>154</v>
      </c>
      <c r="D211" s="5">
        <v>162.9</v>
      </c>
      <c r="E211" s="5">
        <v>154</v>
      </c>
      <c r="F211" s="5">
        <v>159.5</v>
      </c>
      <c r="G211" s="6">
        <v>25</v>
      </c>
      <c r="H211" s="7">
        <v>95586</v>
      </c>
      <c r="I211" s="7">
        <f t="shared" si="3"/>
        <v>3823.44</v>
      </c>
      <c r="J211" s="7">
        <v>19159</v>
      </c>
      <c r="K211" s="7">
        <v>117</v>
      </c>
    </row>
    <row r="212" spans="1:11" ht="13.5" customHeight="1" x14ac:dyDescent="0.15">
      <c r="A212" s="4">
        <v>25720</v>
      </c>
      <c r="B212" s="6">
        <v>6</v>
      </c>
      <c r="C212" s="5">
        <v>160.9</v>
      </c>
      <c r="D212" s="5">
        <v>160.9</v>
      </c>
      <c r="E212" s="5">
        <v>149</v>
      </c>
      <c r="F212" s="5">
        <v>149</v>
      </c>
      <c r="G212" s="6">
        <v>26</v>
      </c>
      <c r="H212" s="7">
        <v>38020</v>
      </c>
      <c r="I212" s="7">
        <f t="shared" si="3"/>
        <v>1462.3076923076924</v>
      </c>
      <c r="J212" s="7">
        <v>14056</v>
      </c>
      <c r="K212" s="7">
        <v>126</v>
      </c>
    </row>
    <row r="213" spans="1:11" ht="13.5" customHeight="1" x14ac:dyDescent="0.15">
      <c r="A213" s="4">
        <v>25750</v>
      </c>
      <c r="B213" s="6">
        <v>6</v>
      </c>
      <c r="C213" s="5">
        <v>146.6</v>
      </c>
      <c r="D213" s="5">
        <v>147</v>
      </c>
      <c r="E213" s="5">
        <v>138</v>
      </c>
      <c r="F213" s="5">
        <v>138.5</v>
      </c>
      <c r="G213" s="6">
        <v>27</v>
      </c>
      <c r="H213" s="7">
        <v>65266</v>
      </c>
      <c r="I213" s="7">
        <f t="shared" si="3"/>
        <v>2417.2592592592591</v>
      </c>
      <c r="J213" s="7">
        <v>14628</v>
      </c>
      <c r="K213" s="7">
        <v>172</v>
      </c>
    </row>
    <row r="214" spans="1:11" ht="13.5" customHeight="1" x14ac:dyDescent="0.15">
      <c r="A214" s="4">
        <v>25781</v>
      </c>
      <c r="B214" s="6">
        <v>6</v>
      </c>
      <c r="C214" s="5">
        <v>136.1</v>
      </c>
      <c r="D214" s="5">
        <v>139.5</v>
      </c>
      <c r="E214" s="5">
        <v>131.9</v>
      </c>
      <c r="F214" s="5">
        <v>139</v>
      </c>
      <c r="G214" s="6">
        <v>26</v>
      </c>
      <c r="H214" s="7">
        <v>72960</v>
      </c>
      <c r="I214" s="7">
        <f t="shared" si="3"/>
        <v>2806.1538461538462</v>
      </c>
      <c r="J214" s="7">
        <v>15317</v>
      </c>
      <c r="K214" s="7">
        <v>239</v>
      </c>
    </row>
    <row r="215" spans="1:11" ht="13.5" customHeight="1" x14ac:dyDescent="0.15">
      <c r="A215" s="4">
        <v>25812</v>
      </c>
      <c r="B215" s="6">
        <v>6</v>
      </c>
      <c r="C215" s="5">
        <v>138.5</v>
      </c>
      <c r="D215" s="5">
        <v>139.5</v>
      </c>
      <c r="E215" s="5">
        <v>133</v>
      </c>
      <c r="F215" s="5">
        <v>134.30000000000001</v>
      </c>
      <c r="G215" s="6">
        <v>24</v>
      </c>
      <c r="H215" s="7">
        <v>42649</v>
      </c>
      <c r="I215" s="7">
        <f t="shared" si="3"/>
        <v>1777.0416666666667</v>
      </c>
      <c r="J215" s="7">
        <v>16005</v>
      </c>
      <c r="K215" s="7">
        <v>323</v>
      </c>
    </row>
    <row r="216" spans="1:11" ht="13.5" customHeight="1" x14ac:dyDescent="0.15">
      <c r="A216" s="4">
        <v>25842</v>
      </c>
      <c r="B216" s="6">
        <v>6</v>
      </c>
      <c r="C216" s="5">
        <v>134.9</v>
      </c>
      <c r="D216" s="5">
        <v>135.4</v>
      </c>
      <c r="E216" s="5">
        <v>129</v>
      </c>
      <c r="F216" s="5">
        <v>133.69999999999999</v>
      </c>
      <c r="G216" s="6">
        <v>26</v>
      </c>
      <c r="H216" s="7">
        <v>39007</v>
      </c>
      <c r="I216" s="7">
        <f t="shared" si="3"/>
        <v>1500.2692307692307</v>
      </c>
      <c r="J216" s="7">
        <v>12623</v>
      </c>
      <c r="K216" s="7">
        <v>146</v>
      </c>
    </row>
    <row r="217" spans="1:11" ht="13.5" customHeight="1" x14ac:dyDescent="0.15">
      <c r="A217" s="4">
        <v>25873</v>
      </c>
      <c r="B217" s="6">
        <v>6</v>
      </c>
      <c r="C217" s="5">
        <v>135.69999999999999</v>
      </c>
      <c r="D217" s="5">
        <v>147.9</v>
      </c>
      <c r="E217" s="5">
        <v>132.80000000000001</v>
      </c>
      <c r="F217" s="5">
        <v>147.4</v>
      </c>
      <c r="G217" s="6">
        <v>23</v>
      </c>
      <c r="H217" s="7">
        <v>60614</v>
      </c>
      <c r="I217" s="7">
        <f t="shared" si="3"/>
        <v>2635.391304347826</v>
      </c>
      <c r="J217" s="7">
        <v>18646</v>
      </c>
      <c r="K217" s="7">
        <v>210</v>
      </c>
    </row>
    <row r="218" spans="1:11" ht="13.5" customHeight="1" x14ac:dyDescent="0.15">
      <c r="A218" s="4">
        <v>25903</v>
      </c>
      <c r="B218" s="6">
        <v>6</v>
      </c>
      <c r="C218" s="5">
        <v>148.6</v>
      </c>
      <c r="D218" s="5">
        <v>150.4</v>
      </c>
      <c r="E218" s="5">
        <v>132.30000000000001</v>
      </c>
      <c r="F218" s="5">
        <v>134.9</v>
      </c>
      <c r="G218" s="6">
        <v>24</v>
      </c>
      <c r="H218" s="7">
        <v>66660</v>
      </c>
      <c r="I218" s="7">
        <f t="shared" si="3"/>
        <v>2777.5</v>
      </c>
      <c r="J218" s="7">
        <v>10307</v>
      </c>
      <c r="K218" s="7">
        <v>206</v>
      </c>
    </row>
    <row r="219" spans="1:11" ht="13.5" customHeight="1" x14ac:dyDescent="0.15">
      <c r="A219" s="4">
        <v>25934</v>
      </c>
      <c r="B219" s="6">
        <v>6</v>
      </c>
      <c r="C219" s="5">
        <v>135.4</v>
      </c>
      <c r="D219" s="5">
        <v>138</v>
      </c>
      <c r="E219" s="5">
        <v>128.30000000000001</v>
      </c>
      <c r="F219" s="5">
        <v>130.6</v>
      </c>
      <c r="G219" s="6">
        <v>23</v>
      </c>
      <c r="H219" s="7">
        <v>33908</v>
      </c>
      <c r="I219" s="7">
        <f t="shared" si="3"/>
        <v>1474.2608695652175</v>
      </c>
      <c r="J219" s="7">
        <v>10162</v>
      </c>
      <c r="K219" s="7">
        <v>213</v>
      </c>
    </row>
    <row r="220" spans="1:11" ht="13.5" customHeight="1" x14ac:dyDescent="0.15">
      <c r="A220" s="4">
        <v>25965</v>
      </c>
      <c r="B220" s="6">
        <v>6</v>
      </c>
      <c r="C220" s="5">
        <v>132</v>
      </c>
      <c r="D220" s="5">
        <v>132.1</v>
      </c>
      <c r="E220" s="5">
        <v>126.9</v>
      </c>
      <c r="F220" s="5">
        <v>128.19999999999999</v>
      </c>
      <c r="G220" s="6">
        <v>23</v>
      </c>
      <c r="H220" s="7">
        <v>18460</v>
      </c>
      <c r="I220" s="7">
        <f t="shared" si="3"/>
        <v>802.60869565217388</v>
      </c>
      <c r="J220" s="7">
        <v>10081</v>
      </c>
      <c r="K220" s="7">
        <v>177</v>
      </c>
    </row>
    <row r="221" spans="1:11" ht="13.5" customHeight="1" x14ac:dyDescent="0.15">
      <c r="A221" s="4">
        <v>25993</v>
      </c>
      <c r="B221" s="6">
        <v>6</v>
      </c>
      <c r="C221" s="5">
        <v>128.69999999999999</v>
      </c>
      <c r="D221" s="5">
        <v>137.5</v>
      </c>
      <c r="E221" s="5">
        <v>125.8</v>
      </c>
      <c r="F221" s="5">
        <v>135.1</v>
      </c>
      <c r="G221" s="6">
        <v>27</v>
      </c>
      <c r="H221" s="7">
        <v>34830</v>
      </c>
      <c r="I221" s="7">
        <f t="shared" si="3"/>
        <v>1290</v>
      </c>
      <c r="J221" s="7">
        <v>10994</v>
      </c>
      <c r="K221" s="7">
        <v>176</v>
      </c>
    </row>
    <row r="222" spans="1:11" ht="13.5" customHeight="1" x14ac:dyDescent="0.15">
      <c r="A222" s="4">
        <v>26024</v>
      </c>
      <c r="B222" s="6">
        <v>6</v>
      </c>
      <c r="C222" s="5">
        <v>134.9</v>
      </c>
      <c r="D222" s="5">
        <v>138.5</v>
      </c>
      <c r="E222" s="5">
        <v>130.30000000000001</v>
      </c>
      <c r="F222" s="5">
        <v>138.5</v>
      </c>
      <c r="G222" s="6">
        <v>25</v>
      </c>
      <c r="H222" s="7">
        <v>33759</v>
      </c>
      <c r="I222" s="7">
        <f t="shared" si="3"/>
        <v>1350.36</v>
      </c>
      <c r="J222" s="7">
        <v>12230</v>
      </c>
      <c r="K222" s="7">
        <v>281</v>
      </c>
    </row>
    <row r="223" spans="1:11" ht="13.5" customHeight="1" x14ac:dyDescent="0.15">
      <c r="A223" s="4">
        <v>26054</v>
      </c>
      <c r="B223" s="6">
        <v>6</v>
      </c>
      <c r="C223" s="5">
        <v>141</v>
      </c>
      <c r="D223" s="5">
        <v>147.9</v>
      </c>
      <c r="E223" s="5">
        <v>132.1</v>
      </c>
      <c r="F223" s="5">
        <v>132.5</v>
      </c>
      <c r="G223" s="6">
        <v>24</v>
      </c>
      <c r="H223" s="7">
        <v>70024</v>
      </c>
      <c r="I223" s="7">
        <f t="shared" si="3"/>
        <v>2917.6666666666665</v>
      </c>
      <c r="J223" s="7">
        <v>15344</v>
      </c>
      <c r="K223" s="7">
        <v>263</v>
      </c>
    </row>
    <row r="224" spans="1:11" ht="13.5" customHeight="1" x14ac:dyDescent="0.15">
      <c r="A224" s="4">
        <v>26085</v>
      </c>
      <c r="B224" s="6">
        <v>6</v>
      </c>
      <c r="C224" s="5">
        <v>129.1</v>
      </c>
      <c r="D224" s="5">
        <v>132.30000000000001</v>
      </c>
      <c r="E224" s="5">
        <v>127.3</v>
      </c>
      <c r="F224" s="5">
        <v>129.30000000000001</v>
      </c>
      <c r="G224" s="6">
        <v>26</v>
      </c>
      <c r="H224" s="7">
        <v>46473</v>
      </c>
      <c r="I224" s="7">
        <f t="shared" si="3"/>
        <v>1787.4230769230769</v>
      </c>
      <c r="J224" s="7">
        <v>16518</v>
      </c>
      <c r="K224" s="7">
        <v>319</v>
      </c>
    </row>
    <row r="225" spans="1:11" ht="13.5" customHeight="1" x14ac:dyDescent="0.15">
      <c r="A225" s="4">
        <v>26115</v>
      </c>
      <c r="B225" s="6">
        <v>6</v>
      </c>
      <c r="C225" s="5">
        <v>129</v>
      </c>
      <c r="D225" s="5">
        <v>129.19999999999999</v>
      </c>
      <c r="E225" s="5">
        <v>119.4</v>
      </c>
      <c r="F225" s="5">
        <v>121.6</v>
      </c>
      <c r="G225" s="6">
        <v>27</v>
      </c>
      <c r="H225" s="7">
        <v>51601</v>
      </c>
      <c r="I225" s="7">
        <f t="shared" si="3"/>
        <v>1911.148148148148</v>
      </c>
      <c r="J225" s="7">
        <v>16031</v>
      </c>
      <c r="K225" s="7">
        <v>307</v>
      </c>
    </row>
    <row r="226" spans="1:11" ht="13.5" customHeight="1" x14ac:dyDescent="0.15">
      <c r="A226" s="4">
        <v>26146</v>
      </c>
      <c r="B226" s="6">
        <v>6</v>
      </c>
      <c r="C226" s="5">
        <v>123.3</v>
      </c>
      <c r="D226" s="5">
        <v>123.9</v>
      </c>
      <c r="E226" s="5">
        <v>99.4</v>
      </c>
      <c r="F226" s="5">
        <v>108.9</v>
      </c>
      <c r="G226" s="6">
        <v>26</v>
      </c>
      <c r="H226" s="7">
        <v>74461</v>
      </c>
      <c r="I226" s="7">
        <f t="shared" si="3"/>
        <v>2863.8846153846152</v>
      </c>
      <c r="J226" s="7">
        <v>12823</v>
      </c>
      <c r="K226" s="7">
        <v>297</v>
      </c>
    </row>
    <row r="227" spans="1:11" ht="13.5" customHeight="1" x14ac:dyDescent="0.15">
      <c r="A227" s="4">
        <v>26177</v>
      </c>
      <c r="B227" s="6">
        <v>6</v>
      </c>
      <c r="C227" s="5">
        <v>110.7</v>
      </c>
      <c r="D227" s="5">
        <v>111.3</v>
      </c>
      <c r="E227" s="5">
        <v>98.6</v>
      </c>
      <c r="F227" s="5">
        <v>104.2</v>
      </c>
      <c r="G227" s="6">
        <v>24</v>
      </c>
      <c r="H227" s="7">
        <v>42402</v>
      </c>
      <c r="I227" s="7">
        <f t="shared" si="3"/>
        <v>1766.75</v>
      </c>
      <c r="J227" s="7">
        <v>13369</v>
      </c>
      <c r="K227" s="7">
        <v>546</v>
      </c>
    </row>
    <row r="228" spans="1:11" ht="13.5" customHeight="1" x14ac:dyDescent="0.15">
      <c r="A228" s="4">
        <v>26207</v>
      </c>
      <c r="B228" s="6">
        <v>6</v>
      </c>
      <c r="C228" s="5">
        <v>103</v>
      </c>
      <c r="D228" s="5">
        <v>103</v>
      </c>
      <c r="E228" s="5">
        <v>93.1</v>
      </c>
      <c r="F228" s="5">
        <v>96.4</v>
      </c>
      <c r="G228" s="6">
        <v>26</v>
      </c>
      <c r="H228" s="7">
        <v>45036</v>
      </c>
      <c r="I228" s="7">
        <f t="shared" si="3"/>
        <v>1732.1538461538462</v>
      </c>
      <c r="J228" s="7">
        <v>11930</v>
      </c>
      <c r="K228" s="7">
        <v>255</v>
      </c>
    </row>
    <row r="229" spans="1:11" ht="13.5" customHeight="1" x14ac:dyDescent="0.15">
      <c r="A229" s="4">
        <v>26238</v>
      </c>
      <c r="B229" s="6">
        <v>6</v>
      </c>
      <c r="C229" s="5">
        <v>96.5</v>
      </c>
      <c r="D229" s="5">
        <v>98.1</v>
      </c>
      <c r="E229" s="5">
        <v>95.5</v>
      </c>
      <c r="F229" s="5">
        <v>95.5</v>
      </c>
      <c r="G229" s="6">
        <v>24</v>
      </c>
      <c r="H229" s="7">
        <v>23029</v>
      </c>
      <c r="I229" s="7">
        <f t="shared" si="3"/>
        <v>959.54166666666663</v>
      </c>
      <c r="J229" s="7">
        <v>9904</v>
      </c>
      <c r="K229" s="7">
        <v>280</v>
      </c>
    </row>
    <row r="230" spans="1:11" ht="13.5" customHeight="1" x14ac:dyDescent="0.15">
      <c r="A230" s="4">
        <v>26268</v>
      </c>
      <c r="B230" s="6">
        <v>6</v>
      </c>
      <c r="C230" s="5">
        <v>94.6</v>
      </c>
      <c r="D230" s="5">
        <v>109</v>
      </c>
      <c r="E230" s="5">
        <v>94.1</v>
      </c>
      <c r="F230" s="5">
        <v>108.5</v>
      </c>
      <c r="G230" s="6">
        <v>24</v>
      </c>
      <c r="H230" s="7">
        <v>44427</v>
      </c>
      <c r="I230" s="7">
        <f t="shared" si="3"/>
        <v>1851.125</v>
      </c>
      <c r="J230" s="7">
        <v>10505</v>
      </c>
      <c r="K230" s="7">
        <v>360</v>
      </c>
    </row>
    <row r="231" spans="1:11" ht="13.5" customHeight="1" x14ac:dyDescent="0.15">
      <c r="A231" s="4">
        <v>26299</v>
      </c>
      <c r="B231" s="6">
        <v>6</v>
      </c>
      <c r="C231" s="5">
        <v>110.8</v>
      </c>
      <c r="D231" s="5">
        <v>113.9</v>
      </c>
      <c r="E231" s="5">
        <v>106.6</v>
      </c>
      <c r="F231" s="5">
        <v>106.8</v>
      </c>
      <c r="G231" s="6">
        <v>23</v>
      </c>
      <c r="H231" s="7">
        <v>29611</v>
      </c>
      <c r="I231" s="7">
        <f t="shared" si="3"/>
        <v>1287.4347826086957</v>
      </c>
      <c r="J231" s="7">
        <v>12857</v>
      </c>
      <c r="K231" s="7">
        <v>352</v>
      </c>
    </row>
    <row r="232" spans="1:11" ht="13.5" customHeight="1" x14ac:dyDescent="0.15">
      <c r="A232" s="4">
        <v>26330</v>
      </c>
      <c r="B232" s="6">
        <v>6</v>
      </c>
      <c r="C232" s="5">
        <v>107.7</v>
      </c>
      <c r="D232" s="5">
        <v>112.5</v>
      </c>
      <c r="E232" s="5">
        <v>105.5</v>
      </c>
      <c r="F232" s="5">
        <v>106.4</v>
      </c>
      <c r="G232" s="6">
        <v>24</v>
      </c>
      <c r="H232" s="7">
        <v>29338</v>
      </c>
      <c r="I232" s="7">
        <f t="shared" si="3"/>
        <v>1222.4166666666667</v>
      </c>
      <c r="J232" s="7">
        <v>14455</v>
      </c>
      <c r="K232" s="7">
        <v>443</v>
      </c>
    </row>
    <row r="233" spans="1:11" ht="13.5" customHeight="1" x14ac:dyDescent="0.15">
      <c r="A233" s="4">
        <v>26359</v>
      </c>
      <c r="B233" s="6">
        <v>6</v>
      </c>
      <c r="C233" s="5">
        <v>106.9</v>
      </c>
      <c r="D233" s="5">
        <v>109</v>
      </c>
      <c r="E233" s="5">
        <v>95.7</v>
      </c>
      <c r="F233" s="5">
        <v>96.6</v>
      </c>
      <c r="G233" s="6">
        <v>26</v>
      </c>
      <c r="H233" s="7">
        <v>45208</v>
      </c>
      <c r="I233" s="7">
        <f t="shared" si="3"/>
        <v>1738.7692307692307</v>
      </c>
      <c r="J233" s="7">
        <v>14944</v>
      </c>
      <c r="K233" s="7">
        <v>303</v>
      </c>
    </row>
    <row r="234" spans="1:11" ht="13.5" customHeight="1" x14ac:dyDescent="0.15">
      <c r="A234" s="4">
        <v>26390</v>
      </c>
      <c r="B234" s="6">
        <v>6</v>
      </c>
      <c r="C234" s="5">
        <v>98.2</v>
      </c>
      <c r="D234" s="5">
        <v>104</v>
      </c>
      <c r="E234" s="5">
        <v>93.5</v>
      </c>
      <c r="F234" s="5">
        <v>102.4</v>
      </c>
      <c r="G234" s="6">
        <v>24</v>
      </c>
      <c r="H234" s="7">
        <v>69238</v>
      </c>
      <c r="I234" s="7">
        <f t="shared" si="3"/>
        <v>2884.9166666666665</v>
      </c>
      <c r="J234" s="7">
        <v>21487</v>
      </c>
      <c r="K234" s="7">
        <v>330</v>
      </c>
    </row>
    <row r="235" spans="1:11" ht="13.5" customHeight="1" x14ac:dyDescent="0.15">
      <c r="A235" s="4">
        <v>26420</v>
      </c>
      <c r="B235" s="6">
        <v>6</v>
      </c>
      <c r="C235" s="5">
        <v>108</v>
      </c>
      <c r="D235" s="5">
        <v>111.8</v>
      </c>
      <c r="E235" s="5">
        <v>98.3</v>
      </c>
      <c r="F235" s="5">
        <v>100</v>
      </c>
      <c r="G235" s="6">
        <v>25</v>
      </c>
      <c r="H235" s="7">
        <v>173697</v>
      </c>
      <c r="I235" s="7">
        <f t="shared" si="3"/>
        <v>6947.88</v>
      </c>
      <c r="J235" s="7">
        <v>38560</v>
      </c>
      <c r="K235" s="7">
        <v>452</v>
      </c>
    </row>
    <row r="236" spans="1:11" ht="13.5" customHeight="1" x14ac:dyDescent="0.15">
      <c r="A236" s="4">
        <v>26451</v>
      </c>
      <c r="B236" s="6">
        <v>6</v>
      </c>
      <c r="C236" s="5">
        <v>101.9</v>
      </c>
      <c r="D236" s="5">
        <v>102.4</v>
      </c>
      <c r="E236" s="5">
        <v>96.6</v>
      </c>
      <c r="F236" s="5">
        <v>97.1</v>
      </c>
      <c r="G236" s="6">
        <v>26</v>
      </c>
      <c r="H236" s="7">
        <v>96495</v>
      </c>
      <c r="I236" s="7">
        <f t="shared" si="3"/>
        <v>3711.3461538461538</v>
      </c>
      <c r="J236" s="7">
        <v>37674</v>
      </c>
      <c r="K236" s="7">
        <v>389</v>
      </c>
    </row>
    <row r="237" spans="1:11" ht="13.5" customHeight="1" x14ac:dyDescent="0.15">
      <c r="A237" s="4">
        <v>26481</v>
      </c>
      <c r="B237" s="6">
        <v>6</v>
      </c>
      <c r="C237" s="5">
        <v>97.2</v>
      </c>
      <c r="D237" s="5">
        <v>98.1</v>
      </c>
      <c r="E237" s="5">
        <v>92.6</v>
      </c>
      <c r="F237" s="5">
        <v>94.3</v>
      </c>
      <c r="G237" s="6">
        <v>26</v>
      </c>
      <c r="H237" s="7">
        <v>119033</v>
      </c>
      <c r="I237" s="7">
        <f t="shared" si="3"/>
        <v>4578.1923076923076</v>
      </c>
      <c r="J237" s="7">
        <v>34370</v>
      </c>
      <c r="K237" s="7">
        <v>403</v>
      </c>
    </row>
    <row r="238" spans="1:11" ht="13.5" customHeight="1" x14ac:dyDescent="0.15">
      <c r="A238" s="4">
        <v>26512</v>
      </c>
      <c r="B238" s="6">
        <v>6</v>
      </c>
      <c r="C238" s="5">
        <v>94</v>
      </c>
      <c r="D238" s="5">
        <v>96</v>
      </c>
      <c r="E238" s="5">
        <v>93.1</v>
      </c>
      <c r="F238" s="5">
        <v>93.5</v>
      </c>
      <c r="G238" s="6">
        <v>27</v>
      </c>
      <c r="H238" s="7">
        <v>68655</v>
      </c>
      <c r="I238" s="7">
        <f t="shared" si="3"/>
        <v>2542.7777777777778</v>
      </c>
      <c r="J238" s="7">
        <v>33090</v>
      </c>
      <c r="K238" s="7">
        <v>511</v>
      </c>
    </row>
    <row r="239" spans="1:11" ht="13.5" customHeight="1" x14ac:dyDescent="0.15">
      <c r="A239" s="4">
        <v>26543</v>
      </c>
      <c r="B239" s="6">
        <v>6</v>
      </c>
      <c r="C239" s="5">
        <v>93.9</v>
      </c>
      <c r="D239" s="5">
        <v>97.5</v>
      </c>
      <c r="E239" s="5">
        <v>89.9</v>
      </c>
      <c r="F239" s="5">
        <v>95.6</v>
      </c>
      <c r="G239" s="6">
        <v>24</v>
      </c>
      <c r="H239" s="7">
        <v>71680</v>
      </c>
      <c r="I239" s="7">
        <f t="shared" si="3"/>
        <v>2986.6666666666665</v>
      </c>
      <c r="J239" s="7">
        <v>26408</v>
      </c>
      <c r="K239" s="7">
        <v>535</v>
      </c>
    </row>
    <row r="240" spans="1:11" ht="13.5" customHeight="1" x14ac:dyDescent="0.15">
      <c r="A240" s="4">
        <v>26573</v>
      </c>
      <c r="B240" s="6">
        <v>6</v>
      </c>
      <c r="C240" s="5">
        <v>97.8</v>
      </c>
      <c r="D240" s="5">
        <v>126</v>
      </c>
      <c r="E240" s="5">
        <v>97</v>
      </c>
      <c r="F240" s="5">
        <v>109.1</v>
      </c>
      <c r="G240" s="6">
        <v>25</v>
      </c>
      <c r="H240" s="7">
        <v>487816</v>
      </c>
      <c r="I240" s="7">
        <f t="shared" si="3"/>
        <v>19512.64</v>
      </c>
      <c r="J240" s="7">
        <v>51961</v>
      </c>
      <c r="K240" s="7">
        <v>832</v>
      </c>
    </row>
    <row r="241" spans="1:11" ht="13.5" customHeight="1" x14ac:dyDescent="0.15">
      <c r="A241" s="4">
        <v>26604</v>
      </c>
      <c r="B241" s="6">
        <v>6</v>
      </c>
      <c r="C241" s="5">
        <v>112.6</v>
      </c>
      <c r="D241" s="5">
        <v>114.9</v>
      </c>
      <c r="E241" s="5">
        <v>103.6</v>
      </c>
      <c r="F241" s="5">
        <v>114.4</v>
      </c>
      <c r="G241" s="6">
        <v>24</v>
      </c>
      <c r="H241" s="7">
        <v>200384</v>
      </c>
      <c r="I241" s="7">
        <f t="shared" si="3"/>
        <v>8349.3333333333339</v>
      </c>
      <c r="J241" s="7">
        <v>56295</v>
      </c>
      <c r="K241" s="7">
        <v>378</v>
      </c>
    </row>
    <row r="242" spans="1:11" ht="13.5" customHeight="1" x14ac:dyDescent="0.15">
      <c r="A242" s="4">
        <v>26634</v>
      </c>
      <c r="B242" s="6">
        <v>6</v>
      </c>
      <c r="C242" s="5">
        <v>116.3</v>
      </c>
      <c r="D242" s="5">
        <v>137</v>
      </c>
      <c r="E242" s="5">
        <v>114.9</v>
      </c>
      <c r="F242" s="5">
        <v>137</v>
      </c>
      <c r="G242" s="6">
        <v>24</v>
      </c>
      <c r="H242" s="7">
        <v>334554</v>
      </c>
      <c r="I242" s="7">
        <f t="shared" si="3"/>
        <v>13939.75</v>
      </c>
      <c r="J242" s="7">
        <v>66397</v>
      </c>
      <c r="K242" s="7">
        <v>639</v>
      </c>
    </row>
    <row r="243" spans="1:11" ht="13.5" customHeight="1" x14ac:dyDescent="0.15">
      <c r="A243" s="4">
        <v>26665</v>
      </c>
      <c r="B243" s="6">
        <v>6</v>
      </c>
      <c r="C243" s="5">
        <v>152.1</v>
      </c>
      <c r="D243" s="5">
        <v>158.6</v>
      </c>
      <c r="E243" s="5">
        <v>130.69999999999999</v>
      </c>
      <c r="F243" s="5">
        <v>157.5</v>
      </c>
      <c r="G243" s="6">
        <v>23</v>
      </c>
      <c r="H243" s="7">
        <v>487187</v>
      </c>
      <c r="I243" s="7">
        <f t="shared" si="3"/>
        <v>21182.043478260868</v>
      </c>
      <c r="J243" s="7">
        <v>75042</v>
      </c>
      <c r="K243" s="7">
        <v>1360</v>
      </c>
    </row>
    <row r="244" spans="1:11" ht="13.5" customHeight="1" x14ac:dyDescent="0.15">
      <c r="A244" s="4">
        <v>26696</v>
      </c>
      <c r="B244" s="6">
        <v>6</v>
      </c>
      <c r="C244" s="5">
        <v>157.6</v>
      </c>
      <c r="D244" s="5">
        <v>164.5</v>
      </c>
      <c r="E244" s="5">
        <v>139.1</v>
      </c>
      <c r="F244" s="5">
        <v>152</v>
      </c>
      <c r="G244" s="6">
        <v>24</v>
      </c>
      <c r="H244" s="7">
        <v>371227</v>
      </c>
      <c r="I244" s="7">
        <f t="shared" si="3"/>
        <v>15467.791666666666</v>
      </c>
      <c r="J244" s="7">
        <v>80455</v>
      </c>
      <c r="K244" s="7">
        <v>1120</v>
      </c>
    </row>
    <row r="245" spans="1:11" ht="13.5" customHeight="1" x14ac:dyDescent="0.15">
      <c r="A245" s="4">
        <v>26724</v>
      </c>
      <c r="B245" s="6">
        <v>6</v>
      </c>
      <c r="C245" s="5">
        <v>152.80000000000001</v>
      </c>
      <c r="D245" s="5">
        <v>169.8</v>
      </c>
      <c r="E245" s="5">
        <v>151</v>
      </c>
      <c r="F245" s="5">
        <v>154</v>
      </c>
      <c r="G245" s="6">
        <v>26</v>
      </c>
      <c r="H245" s="7">
        <v>213181</v>
      </c>
      <c r="I245" s="7">
        <f t="shared" si="3"/>
        <v>8199.2692307692305</v>
      </c>
      <c r="J245" s="7">
        <v>63473</v>
      </c>
      <c r="K245" s="7">
        <v>1257</v>
      </c>
    </row>
    <row r="246" spans="1:11" ht="13.5" customHeight="1" x14ac:dyDescent="0.15">
      <c r="A246" s="4">
        <v>26755</v>
      </c>
      <c r="B246" s="6">
        <v>6</v>
      </c>
      <c r="C246" s="5">
        <v>152.1</v>
      </c>
      <c r="D246" s="5">
        <v>156.9</v>
      </c>
      <c r="E246" s="5">
        <v>130</v>
      </c>
      <c r="F246" s="5">
        <v>145.9</v>
      </c>
      <c r="G246" s="6">
        <v>24</v>
      </c>
      <c r="H246" s="7">
        <v>166689</v>
      </c>
      <c r="I246" s="7">
        <f t="shared" si="3"/>
        <v>6945.375</v>
      </c>
      <c r="J246" s="7">
        <v>46792</v>
      </c>
      <c r="K246" s="7">
        <v>1293</v>
      </c>
    </row>
    <row r="247" spans="1:11" ht="13.5" customHeight="1" x14ac:dyDescent="0.15">
      <c r="A247" s="4">
        <v>26785</v>
      </c>
      <c r="B247" s="6">
        <v>6</v>
      </c>
      <c r="C247" s="5">
        <v>145.4</v>
      </c>
      <c r="D247" s="5">
        <v>161.80000000000001</v>
      </c>
      <c r="E247" s="5">
        <v>141.5</v>
      </c>
      <c r="F247" s="5">
        <v>161.80000000000001</v>
      </c>
      <c r="G247" s="6">
        <v>25</v>
      </c>
      <c r="H247" s="7">
        <v>103780</v>
      </c>
      <c r="I247" s="7">
        <f t="shared" si="3"/>
        <v>4151.2</v>
      </c>
      <c r="J247" s="7">
        <v>41871</v>
      </c>
      <c r="K247" s="7">
        <v>868</v>
      </c>
    </row>
    <row r="248" spans="1:11" ht="13.5" customHeight="1" x14ac:dyDescent="0.15">
      <c r="A248" s="4">
        <v>26816</v>
      </c>
      <c r="B248" s="6">
        <v>6</v>
      </c>
      <c r="C248" s="5">
        <v>164.7</v>
      </c>
      <c r="D248" s="5">
        <v>204.9</v>
      </c>
      <c r="E248" s="5">
        <v>166.2</v>
      </c>
      <c r="F248" s="5">
        <v>204.9</v>
      </c>
      <c r="G248" s="6">
        <v>26</v>
      </c>
      <c r="H248" s="7">
        <v>301138</v>
      </c>
      <c r="I248" s="7">
        <f t="shared" si="3"/>
        <v>11582.23076923077</v>
      </c>
      <c r="J248" s="7">
        <v>43299</v>
      </c>
      <c r="K248" s="7">
        <v>1467</v>
      </c>
    </row>
    <row r="249" spans="1:11" ht="13.5" customHeight="1" x14ac:dyDescent="0.15">
      <c r="A249" s="4">
        <v>26846</v>
      </c>
      <c r="B249" s="6">
        <v>6</v>
      </c>
      <c r="C249" s="5">
        <v>210.3</v>
      </c>
      <c r="D249" s="5">
        <v>253.6</v>
      </c>
      <c r="E249" s="5">
        <v>196.6</v>
      </c>
      <c r="F249" s="5">
        <v>227</v>
      </c>
      <c r="G249" s="6">
        <v>26</v>
      </c>
      <c r="H249" s="7">
        <v>292897</v>
      </c>
      <c r="I249" s="7">
        <f t="shared" si="3"/>
        <v>11265.26923076923</v>
      </c>
      <c r="J249" s="7">
        <v>41046</v>
      </c>
      <c r="K249" s="7">
        <v>1299</v>
      </c>
    </row>
    <row r="250" spans="1:11" ht="13.5" customHeight="1" x14ac:dyDescent="0.15">
      <c r="A250" s="4">
        <v>26877</v>
      </c>
      <c r="B250" s="6">
        <v>6</v>
      </c>
      <c r="C250" s="5">
        <v>228</v>
      </c>
      <c r="D250" s="5">
        <v>244.2</v>
      </c>
      <c r="E250" s="5">
        <v>198.4</v>
      </c>
      <c r="F250" s="5">
        <v>206.1</v>
      </c>
      <c r="G250" s="6">
        <v>25</v>
      </c>
      <c r="H250" s="7">
        <v>175054</v>
      </c>
      <c r="I250" s="7">
        <f t="shared" si="3"/>
        <v>7002.16</v>
      </c>
      <c r="J250" s="7">
        <v>33924</v>
      </c>
      <c r="K250" s="7">
        <v>1761</v>
      </c>
    </row>
    <row r="251" spans="1:11" ht="13.5" customHeight="1" x14ac:dyDescent="0.15">
      <c r="A251" s="4">
        <v>26908</v>
      </c>
      <c r="B251" s="6">
        <v>6</v>
      </c>
      <c r="C251" s="5">
        <v>206.8</v>
      </c>
      <c r="D251" s="5">
        <v>210.4</v>
      </c>
      <c r="E251" s="5">
        <v>176.3</v>
      </c>
      <c r="F251" s="5">
        <v>189.6</v>
      </c>
      <c r="G251" s="6">
        <v>22</v>
      </c>
      <c r="H251" s="7">
        <v>131950</v>
      </c>
      <c r="I251" s="7">
        <f t="shared" si="3"/>
        <v>5997.727272727273</v>
      </c>
      <c r="J251" s="7">
        <v>29430</v>
      </c>
      <c r="K251" s="7">
        <v>892</v>
      </c>
    </row>
    <row r="252" spans="1:11" ht="13.5" customHeight="1" x14ac:dyDescent="0.15">
      <c r="A252" s="4">
        <v>26938</v>
      </c>
      <c r="B252" s="6">
        <v>6</v>
      </c>
      <c r="C252" s="5">
        <v>185.6</v>
      </c>
      <c r="D252" s="5">
        <v>234.5</v>
      </c>
      <c r="E252" s="5">
        <v>177</v>
      </c>
      <c r="F252" s="5">
        <v>234.5</v>
      </c>
      <c r="G252" s="6">
        <v>24</v>
      </c>
      <c r="H252" s="7">
        <v>143476</v>
      </c>
      <c r="I252" s="7">
        <f t="shared" si="3"/>
        <v>5978.166666666667</v>
      </c>
      <c r="J252" s="7">
        <v>30527</v>
      </c>
      <c r="K252" s="7">
        <v>1447</v>
      </c>
    </row>
    <row r="253" spans="1:11" ht="13.5" customHeight="1" x14ac:dyDescent="0.15">
      <c r="A253" s="4">
        <v>26969</v>
      </c>
      <c r="B253" s="6">
        <v>6</v>
      </c>
      <c r="C253" s="5">
        <v>233.5</v>
      </c>
      <c r="D253" s="5">
        <v>258.7</v>
      </c>
      <c r="E253" s="5">
        <v>229.1</v>
      </c>
      <c r="F253" s="5">
        <v>257.60000000000002</v>
      </c>
      <c r="G253" s="6">
        <v>23</v>
      </c>
      <c r="H253" s="7">
        <v>166735</v>
      </c>
      <c r="I253" s="7">
        <f t="shared" si="3"/>
        <v>7249.347826086957</v>
      </c>
      <c r="J253" s="7">
        <v>29983</v>
      </c>
      <c r="K253" s="7">
        <v>732</v>
      </c>
    </row>
    <row r="254" spans="1:11" ht="13.5" customHeight="1" x14ac:dyDescent="0.15">
      <c r="A254" s="4">
        <v>26999</v>
      </c>
      <c r="B254" s="6">
        <v>6</v>
      </c>
      <c r="C254" s="5">
        <v>269.89999999999998</v>
      </c>
      <c r="D254" s="5">
        <v>317.2</v>
      </c>
      <c r="E254" s="5">
        <v>267.89999999999998</v>
      </c>
      <c r="F254" s="5">
        <v>299.7</v>
      </c>
      <c r="G254" s="6">
        <v>21</v>
      </c>
      <c r="H254" s="7">
        <v>151060</v>
      </c>
      <c r="I254" s="7">
        <f t="shared" si="3"/>
        <v>7193.333333333333</v>
      </c>
      <c r="J254" s="7">
        <v>22567</v>
      </c>
      <c r="K254" s="7">
        <v>1143</v>
      </c>
    </row>
    <row r="255" spans="1:11" ht="13.5" customHeight="1" x14ac:dyDescent="0.15">
      <c r="A255" s="4">
        <v>27030</v>
      </c>
      <c r="B255" s="6">
        <v>6</v>
      </c>
      <c r="C255" s="5">
        <v>334</v>
      </c>
      <c r="D255" s="5">
        <v>336.4</v>
      </c>
      <c r="E255" s="5">
        <v>276.2</v>
      </c>
      <c r="F255" s="5">
        <v>276.60000000000002</v>
      </c>
      <c r="G255" s="6">
        <v>21</v>
      </c>
      <c r="H255" s="7">
        <v>111196</v>
      </c>
      <c r="I255" s="7">
        <f t="shared" si="3"/>
        <v>5295.0476190476193</v>
      </c>
      <c r="J255" s="7">
        <v>21852</v>
      </c>
      <c r="K255" s="7">
        <v>768</v>
      </c>
    </row>
    <row r="256" spans="1:11" ht="13.5" customHeight="1" x14ac:dyDescent="0.15">
      <c r="A256" s="4">
        <v>27061</v>
      </c>
      <c r="B256" s="6">
        <v>6</v>
      </c>
      <c r="C256" s="5">
        <v>280.89999999999998</v>
      </c>
      <c r="D256" s="5">
        <v>306.89999999999998</v>
      </c>
      <c r="E256" s="5">
        <v>270</v>
      </c>
      <c r="F256" s="5">
        <v>290</v>
      </c>
      <c r="G256" s="6">
        <v>21</v>
      </c>
      <c r="H256" s="7">
        <v>102814</v>
      </c>
      <c r="I256" s="7">
        <f t="shared" si="3"/>
        <v>4895.9047619047615</v>
      </c>
      <c r="J256" s="7">
        <v>25071</v>
      </c>
      <c r="K256" s="7">
        <v>452</v>
      </c>
    </row>
    <row r="257" spans="1:11" ht="13.5" customHeight="1" x14ac:dyDescent="0.15">
      <c r="A257" s="4">
        <v>27089</v>
      </c>
      <c r="B257" s="6">
        <v>6</v>
      </c>
      <c r="C257" s="5">
        <v>291.2</v>
      </c>
      <c r="D257" s="5">
        <v>297.10000000000002</v>
      </c>
      <c r="E257" s="5">
        <v>240</v>
      </c>
      <c r="F257" s="5">
        <v>243.3</v>
      </c>
      <c r="G257" s="6">
        <v>23</v>
      </c>
      <c r="H257" s="7">
        <v>110343</v>
      </c>
      <c r="I257" s="7">
        <f t="shared" si="3"/>
        <v>4797.521739130435</v>
      </c>
      <c r="J257" s="7">
        <v>19790</v>
      </c>
      <c r="K257" s="7">
        <v>956</v>
      </c>
    </row>
    <row r="258" spans="1:11" ht="13.5" customHeight="1" x14ac:dyDescent="0.15">
      <c r="A258" s="4">
        <v>27120</v>
      </c>
      <c r="B258" s="6">
        <v>6</v>
      </c>
      <c r="C258" s="5">
        <v>235.2</v>
      </c>
      <c r="D258" s="5">
        <v>254.5</v>
      </c>
      <c r="E258" s="5">
        <v>218.6</v>
      </c>
      <c r="F258" s="5">
        <v>252.9</v>
      </c>
      <c r="G258" s="6">
        <v>23</v>
      </c>
      <c r="H258" s="7">
        <v>119844</v>
      </c>
      <c r="I258" s="7">
        <f t="shared" si="3"/>
        <v>5210.608695652174</v>
      </c>
      <c r="J258" s="7">
        <v>19067</v>
      </c>
      <c r="K258" s="7">
        <v>510</v>
      </c>
    </row>
    <row r="259" spans="1:11" ht="13.5" customHeight="1" x14ac:dyDescent="0.15">
      <c r="A259" s="4">
        <v>27150</v>
      </c>
      <c r="B259" s="6">
        <v>6</v>
      </c>
      <c r="C259" s="5">
        <v>249.5</v>
      </c>
      <c r="D259" s="5">
        <v>251.2</v>
      </c>
      <c r="E259" s="5">
        <v>212.7</v>
      </c>
      <c r="F259" s="5">
        <v>230.7</v>
      </c>
      <c r="G259" s="6">
        <v>23</v>
      </c>
      <c r="H259" s="7">
        <v>106746</v>
      </c>
      <c r="I259" s="7">
        <f t="shared" ref="I259:I322" si="4">H259/G259</f>
        <v>4641.130434782609</v>
      </c>
      <c r="J259" s="7">
        <v>20851</v>
      </c>
      <c r="K259" s="7">
        <v>750</v>
      </c>
    </row>
    <row r="260" spans="1:11" ht="13.5" customHeight="1" x14ac:dyDescent="0.15">
      <c r="A260" s="4">
        <v>27181</v>
      </c>
      <c r="B260" s="6">
        <v>6</v>
      </c>
      <c r="C260" s="5">
        <v>226.8</v>
      </c>
      <c r="D260" s="5">
        <v>226.8</v>
      </c>
      <c r="E260" s="5">
        <v>191</v>
      </c>
      <c r="F260" s="5">
        <v>200</v>
      </c>
      <c r="G260" s="6">
        <v>23</v>
      </c>
      <c r="H260" s="7">
        <v>135382</v>
      </c>
      <c r="I260" s="7">
        <f t="shared" si="4"/>
        <v>5886.173913043478</v>
      </c>
      <c r="J260" s="7">
        <v>23961</v>
      </c>
      <c r="K260" s="7">
        <v>796</v>
      </c>
    </row>
    <row r="261" spans="1:11" ht="13.5" customHeight="1" x14ac:dyDescent="0.15">
      <c r="A261" s="4">
        <v>27211</v>
      </c>
      <c r="B261" s="6">
        <v>6</v>
      </c>
      <c r="C261" s="5">
        <v>201.2</v>
      </c>
      <c r="D261" s="5">
        <v>205.5</v>
      </c>
      <c r="E261" s="5">
        <v>182.9</v>
      </c>
      <c r="F261" s="5">
        <v>201.2</v>
      </c>
      <c r="G261" s="6">
        <v>25</v>
      </c>
      <c r="H261" s="7">
        <v>102353</v>
      </c>
      <c r="I261" s="7">
        <f t="shared" si="4"/>
        <v>4094.12</v>
      </c>
      <c r="J261" s="7">
        <v>24327</v>
      </c>
      <c r="K261" s="7">
        <v>976</v>
      </c>
    </row>
    <row r="262" spans="1:11" ht="13.5" customHeight="1" x14ac:dyDescent="0.15">
      <c r="A262" s="4">
        <v>27242</v>
      </c>
      <c r="B262" s="6">
        <v>6</v>
      </c>
      <c r="C262" s="5">
        <v>200</v>
      </c>
      <c r="D262" s="5">
        <v>204</v>
      </c>
      <c r="E262" s="5">
        <v>182.9</v>
      </c>
      <c r="F262" s="5">
        <v>186.9</v>
      </c>
      <c r="G262" s="6">
        <v>25</v>
      </c>
      <c r="H262" s="7">
        <v>68776</v>
      </c>
      <c r="I262" s="7">
        <f t="shared" si="4"/>
        <v>2751.04</v>
      </c>
      <c r="J262" s="7">
        <v>17893</v>
      </c>
      <c r="K262" s="7">
        <v>613</v>
      </c>
    </row>
    <row r="263" spans="1:11" ht="13.5" customHeight="1" x14ac:dyDescent="0.15">
      <c r="A263" s="4">
        <v>27273</v>
      </c>
      <c r="B263" s="6">
        <v>6</v>
      </c>
      <c r="C263" s="5">
        <v>186.2</v>
      </c>
      <c r="D263" s="5">
        <v>186.9</v>
      </c>
      <c r="E263" s="5">
        <v>176</v>
      </c>
      <c r="F263" s="5">
        <v>182</v>
      </c>
      <c r="G263" s="6">
        <v>21</v>
      </c>
      <c r="H263" s="7">
        <v>49462</v>
      </c>
      <c r="I263" s="7">
        <f t="shared" si="4"/>
        <v>2355.3333333333335</v>
      </c>
      <c r="J263" s="7">
        <v>15972</v>
      </c>
      <c r="K263" s="7">
        <v>646</v>
      </c>
    </row>
    <row r="264" spans="1:11" ht="13.5" customHeight="1" x14ac:dyDescent="0.15">
      <c r="A264" s="4">
        <v>27303</v>
      </c>
      <c r="B264" s="6">
        <v>6</v>
      </c>
      <c r="C264" s="5">
        <v>184.1</v>
      </c>
      <c r="D264" s="5">
        <v>191.3</v>
      </c>
      <c r="E264" s="5">
        <v>167.1</v>
      </c>
      <c r="F264" s="5">
        <v>172.7</v>
      </c>
      <c r="G264" s="6">
        <v>24</v>
      </c>
      <c r="H264" s="7">
        <v>37759</v>
      </c>
      <c r="I264" s="7">
        <f t="shared" si="4"/>
        <v>1573.2916666666667</v>
      </c>
      <c r="J264" s="7">
        <v>12293</v>
      </c>
      <c r="K264" s="7">
        <v>577</v>
      </c>
    </row>
    <row r="265" spans="1:11" ht="13.5" customHeight="1" x14ac:dyDescent="0.15">
      <c r="A265" s="4">
        <v>27334</v>
      </c>
      <c r="B265" s="6">
        <v>6</v>
      </c>
      <c r="C265" s="5">
        <v>174.9</v>
      </c>
      <c r="D265" s="5">
        <v>175.9</v>
      </c>
      <c r="E265" s="5">
        <v>152.6</v>
      </c>
      <c r="F265" s="5">
        <v>175.9</v>
      </c>
      <c r="G265" s="6">
        <v>22</v>
      </c>
      <c r="H265" s="7">
        <v>48419</v>
      </c>
      <c r="I265" s="7">
        <f t="shared" si="4"/>
        <v>2200.8636363636365</v>
      </c>
      <c r="J265" s="7">
        <v>12947</v>
      </c>
      <c r="K265" s="7">
        <v>1082</v>
      </c>
    </row>
    <row r="266" spans="1:11" ht="13.5" customHeight="1" x14ac:dyDescent="0.15">
      <c r="A266" s="4">
        <v>27364</v>
      </c>
      <c r="B266" s="6">
        <v>6</v>
      </c>
      <c r="C266" s="5">
        <v>176.5</v>
      </c>
      <c r="D266" s="5">
        <v>196.6</v>
      </c>
      <c r="E266" s="5">
        <v>172.9</v>
      </c>
      <c r="F266" s="5">
        <v>182.9</v>
      </c>
      <c r="G266" s="6">
        <v>21</v>
      </c>
      <c r="H266" s="7">
        <v>73602</v>
      </c>
      <c r="I266" s="7">
        <f t="shared" si="4"/>
        <v>3504.8571428571427</v>
      </c>
      <c r="J266" s="7">
        <v>18773</v>
      </c>
      <c r="K266" s="7">
        <v>1004</v>
      </c>
    </row>
    <row r="267" spans="1:11" ht="13.5" customHeight="1" x14ac:dyDescent="0.15">
      <c r="A267" s="4">
        <v>27395</v>
      </c>
      <c r="B267" s="6">
        <v>6</v>
      </c>
      <c r="C267" s="5">
        <v>175.7</v>
      </c>
      <c r="D267" s="5">
        <v>188.6</v>
      </c>
      <c r="E267" s="5">
        <v>170.9</v>
      </c>
      <c r="F267" s="5">
        <v>188.5</v>
      </c>
      <c r="G267" s="6">
        <v>21</v>
      </c>
      <c r="H267" s="7">
        <v>36641</v>
      </c>
      <c r="I267" s="7">
        <f t="shared" si="4"/>
        <v>1744.8095238095239</v>
      </c>
      <c r="J267" s="7">
        <v>15905</v>
      </c>
      <c r="K267" s="7">
        <v>768</v>
      </c>
    </row>
    <row r="268" spans="1:11" ht="13.5" customHeight="1" x14ac:dyDescent="0.15">
      <c r="A268" s="4">
        <v>27426</v>
      </c>
      <c r="B268" s="6">
        <v>6</v>
      </c>
      <c r="C268" s="5">
        <v>188.6</v>
      </c>
      <c r="D268" s="5">
        <v>199.2</v>
      </c>
      <c r="E268" s="5">
        <v>188.6</v>
      </c>
      <c r="F268" s="5">
        <v>195</v>
      </c>
      <c r="G268" s="6">
        <v>21</v>
      </c>
      <c r="H268" s="7">
        <v>56877</v>
      </c>
      <c r="I268" s="7">
        <f t="shared" si="4"/>
        <v>2708.4285714285716</v>
      </c>
      <c r="J268" s="7">
        <v>23014</v>
      </c>
      <c r="K268" s="7">
        <v>512</v>
      </c>
    </row>
    <row r="269" spans="1:11" ht="13.5" customHeight="1" x14ac:dyDescent="0.15">
      <c r="A269" s="4">
        <v>27454</v>
      </c>
      <c r="B269" s="6">
        <v>6</v>
      </c>
      <c r="C269" s="5">
        <v>196.1</v>
      </c>
      <c r="D269" s="5">
        <v>197.6</v>
      </c>
      <c r="E269" s="5">
        <v>182</v>
      </c>
      <c r="F269" s="5">
        <v>186.5</v>
      </c>
      <c r="G269" s="6">
        <v>23</v>
      </c>
      <c r="H269" s="7">
        <v>44937</v>
      </c>
      <c r="I269" s="7">
        <f t="shared" si="4"/>
        <v>1953.7826086956522</v>
      </c>
      <c r="J269" s="7">
        <v>17966</v>
      </c>
      <c r="K269" s="7">
        <v>706</v>
      </c>
    </row>
    <row r="270" spans="1:11" ht="13.5" customHeight="1" x14ac:dyDescent="0.15">
      <c r="A270" s="4">
        <v>27485</v>
      </c>
      <c r="B270" s="6">
        <v>6</v>
      </c>
      <c r="C270" s="5">
        <v>187</v>
      </c>
      <c r="D270" s="5">
        <v>190.4</v>
      </c>
      <c r="E270" s="5">
        <v>174.3</v>
      </c>
      <c r="F270" s="5">
        <v>178</v>
      </c>
      <c r="G270" s="6">
        <v>23</v>
      </c>
      <c r="H270" s="7">
        <v>34328</v>
      </c>
      <c r="I270" s="7">
        <f t="shared" si="4"/>
        <v>1492.5217391304348</v>
      </c>
      <c r="J270" s="7">
        <v>13334</v>
      </c>
      <c r="K270" s="7">
        <v>739</v>
      </c>
    </row>
    <row r="271" spans="1:11" ht="13.5" customHeight="1" x14ac:dyDescent="0.15">
      <c r="A271" s="4">
        <v>27515</v>
      </c>
      <c r="B271" s="6">
        <v>6</v>
      </c>
      <c r="C271" s="5">
        <v>178.9</v>
      </c>
      <c r="D271" s="5">
        <v>194.2</v>
      </c>
      <c r="E271" s="5">
        <v>169.1</v>
      </c>
      <c r="F271" s="5">
        <v>194.2</v>
      </c>
      <c r="G271" s="6">
        <v>24</v>
      </c>
      <c r="H271" s="7">
        <v>35664</v>
      </c>
      <c r="I271" s="7">
        <f t="shared" si="4"/>
        <v>1486</v>
      </c>
      <c r="J271" s="7">
        <v>14618</v>
      </c>
      <c r="K271" s="7">
        <v>975</v>
      </c>
    </row>
    <row r="272" spans="1:11" ht="13.5" customHeight="1" x14ac:dyDescent="0.15">
      <c r="A272" s="4">
        <v>27546</v>
      </c>
      <c r="B272" s="6">
        <v>6</v>
      </c>
      <c r="C272" s="5">
        <v>194.8</v>
      </c>
      <c r="D272" s="5">
        <v>205</v>
      </c>
      <c r="E272" s="5">
        <v>187.6</v>
      </c>
      <c r="F272" s="5">
        <v>200.3</v>
      </c>
      <c r="G272" s="6">
        <v>23</v>
      </c>
      <c r="H272" s="7">
        <v>49075</v>
      </c>
      <c r="I272" s="7">
        <f t="shared" si="4"/>
        <v>2133.695652173913</v>
      </c>
      <c r="J272" s="7">
        <v>20408</v>
      </c>
      <c r="K272" s="7">
        <v>922</v>
      </c>
    </row>
    <row r="273" spans="1:11" ht="13.5" customHeight="1" x14ac:dyDescent="0.15">
      <c r="A273" s="4">
        <v>27576</v>
      </c>
      <c r="B273" s="6">
        <v>6</v>
      </c>
      <c r="C273" s="5">
        <v>205.4</v>
      </c>
      <c r="D273" s="5">
        <v>210</v>
      </c>
      <c r="E273" s="5">
        <v>196.6</v>
      </c>
      <c r="F273" s="5">
        <v>196.6</v>
      </c>
      <c r="G273" s="6">
        <v>25</v>
      </c>
      <c r="H273" s="7">
        <v>51480</v>
      </c>
      <c r="I273" s="7">
        <f t="shared" si="4"/>
        <v>2059.1999999999998</v>
      </c>
      <c r="J273" s="7">
        <v>20326</v>
      </c>
      <c r="K273" s="7">
        <v>1721</v>
      </c>
    </row>
    <row r="274" spans="1:11" ht="13.5" customHeight="1" x14ac:dyDescent="0.15">
      <c r="A274" s="4">
        <v>27607</v>
      </c>
      <c r="B274" s="6">
        <v>6</v>
      </c>
      <c r="C274" s="5">
        <v>199.7</v>
      </c>
      <c r="D274" s="5">
        <v>204</v>
      </c>
      <c r="E274" s="5">
        <v>187</v>
      </c>
      <c r="F274" s="5">
        <v>187.9</v>
      </c>
      <c r="G274" s="6">
        <v>25</v>
      </c>
      <c r="H274" s="7">
        <v>30981</v>
      </c>
      <c r="I274" s="7">
        <f t="shared" si="4"/>
        <v>1239.24</v>
      </c>
      <c r="J274" s="7">
        <v>16120</v>
      </c>
      <c r="K274" s="7">
        <v>860</v>
      </c>
    </row>
    <row r="275" spans="1:11" ht="13.5" customHeight="1" x14ac:dyDescent="0.15">
      <c r="A275" s="4">
        <v>27638</v>
      </c>
      <c r="B275" s="6">
        <v>6</v>
      </c>
      <c r="C275" s="5">
        <v>190</v>
      </c>
      <c r="D275" s="5">
        <v>191.9</v>
      </c>
      <c r="E275" s="5">
        <v>175.6</v>
      </c>
      <c r="F275" s="5">
        <v>179.7</v>
      </c>
      <c r="G275" s="6">
        <v>22</v>
      </c>
      <c r="H275" s="7">
        <v>37320</v>
      </c>
      <c r="I275" s="7">
        <f t="shared" si="4"/>
        <v>1696.3636363636363</v>
      </c>
      <c r="J275" s="7">
        <v>14067</v>
      </c>
      <c r="K275" s="7">
        <v>712</v>
      </c>
    </row>
    <row r="276" spans="1:11" ht="13.5" customHeight="1" x14ac:dyDescent="0.15">
      <c r="A276" s="4">
        <v>27668</v>
      </c>
      <c r="B276" s="6">
        <v>6</v>
      </c>
      <c r="C276" s="5">
        <v>183</v>
      </c>
      <c r="D276" s="5">
        <v>186.5</v>
      </c>
      <c r="E276" s="5">
        <v>174.1</v>
      </c>
      <c r="F276" s="5">
        <v>182.4</v>
      </c>
      <c r="G276" s="6">
        <v>24</v>
      </c>
      <c r="H276" s="7">
        <v>30918</v>
      </c>
      <c r="I276" s="7">
        <f t="shared" si="4"/>
        <v>1288.25</v>
      </c>
      <c r="J276" s="7">
        <v>14955</v>
      </c>
      <c r="K276" s="7">
        <v>835</v>
      </c>
    </row>
    <row r="277" spans="1:11" ht="13.5" customHeight="1" x14ac:dyDescent="0.15">
      <c r="A277" s="4">
        <v>27699</v>
      </c>
      <c r="B277" s="6">
        <v>6</v>
      </c>
      <c r="C277" s="5">
        <v>184.6</v>
      </c>
      <c r="D277" s="5">
        <v>191.5</v>
      </c>
      <c r="E277" s="5">
        <v>180.4</v>
      </c>
      <c r="F277" s="5">
        <v>189.9</v>
      </c>
      <c r="G277" s="6">
        <v>21</v>
      </c>
      <c r="H277" s="7">
        <v>37056</v>
      </c>
      <c r="I277" s="7">
        <f t="shared" si="4"/>
        <v>1764.5714285714287</v>
      </c>
      <c r="J277" s="7">
        <v>18305</v>
      </c>
      <c r="K277" s="7">
        <v>954</v>
      </c>
    </row>
    <row r="278" spans="1:11" ht="13.5" customHeight="1" x14ac:dyDescent="0.15">
      <c r="A278" s="4">
        <v>27729</v>
      </c>
      <c r="B278" s="6">
        <v>6</v>
      </c>
      <c r="C278" s="5">
        <v>191.9</v>
      </c>
      <c r="D278" s="5">
        <v>214.6</v>
      </c>
      <c r="E278" s="5">
        <v>191.3</v>
      </c>
      <c r="F278" s="5">
        <v>214.6</v>
      </c>
      <c r="G278" s="6">
        <v>22</v>
      </c>
      <c r="H278" s="7">
        <v>41354</v>
      </c>
      <c r="I278" s="7">
        <f t="shared" si="4"/>
        <v>1879.7272727272727</v>
      </c>
      <c r="J278" s="7">
        <v>15917</v>
      </c>
      <c r="K278" s="7">
        <v>1292</v>
      </c>
    </row>
    <row r="279" spans="1:11" ht="13.5" customHeight="1" x14ac:dyDescent="0.15">
      <c r="A279" s="4">
        <v>27760</v>
      </c>
      <c r="B279" s="6">
        <v>6</v>
      </c>
      <c r="C279" s="5">
        <v>219.8</v>
      </c>
      <c r="D279" s="5">
        <v>224</v>
      </c>
      <c r="E279" s="5">
        <v>206.3</v>
      </c>
      <c r="F279" s="5">
        <v>218.5</v>
      </c>
      <c r="G279" s="6">
        <v>22</v>
      </c>
      <c r="H279" s="7">
        <v>56015</v>
      </c>
      <c r="I279" s="7">
        <f t="shared" si="4"/>
        <v>2546.1363636363635</v>
      </c>
      <c r="J279" s="7">
        <v>21820</v>
      </c>
      <c r="K279" s="7">
        <v>1106</v>
      </c>
    </row>
    <row r="280" spans="1:11" ht="13.5" customHeight="1" x14ac:dyDescent="0.15">
      <c r="A280" s="4">
        <v>27791</v>
      </c>
      <c r="B280" s="6">
        <v>6</v>
      </c>
      <c r="C280" s="5">
        <v>224</v>
      </c>
      <c r="D280" s="5">
        <v>232.3</v>
      </c>
      <c r="E280" s="5">
        <v>220.6</v>
      </c>
      <c r="F280" s="5">
        <v>225.1</v>
      </c>
      <c r="G280" s="6">
        <v>21</v>
      </c>
      <c r="H280" s="7">
        <v>57015</v>
      </c>
      <c r="I280" s="7">
        <f t="shared" si="4"/>
        <v>2715</v>
      </c>
      <c r="J280" s="7">
        <v>26551</v>
      </c>
      <c r="K280" s="7">
        <v>1157</v>
      </c>
    </row>
    <row r="281" spans="1:11" ht="13.5" customHeight="1" x14ac:dyDescent="0.15">
      <c r="A281" s="4">
        <v>27820</v>
      </c>
      <c r="B281" s="6">
        <v>6</v>
      </c>
      <c r="C281" s="5">
        <v>226.1</v>
      </c>
      <c r="D281" s="5">
        <v>239.9</v>
      </c>
      <c r="E281" s="5">
        <v>226.1</v>
      </c>
      <c r="F281" s="5">
        <v>230.7</v>
      </c>
      <c r="G281" s="6">
        <v>25</v>
      </c>
      <c r="H281" s="7">
        <v>56534</v>
      </c>
      <c r="I281" s="7">
        <f t="shared" si="4"/>
        <v>2261.36</v>
      </c>
      <c r="J281" s="7">
        <v>26160</v>
      </c>
      <c r="K281" s="7">
        <v>1212</v>
      </c>
    </row>
    <row r="282" spans="1:11" ht="13.5" customHeight="1" x14ac:dyDescent="0.15">
      <c r="A282" s="4">
        <v>27851</v>
      </c>
      <c r="B282" s="6">
        <v>6</v>
      </c>
      <c r="C282" s="5">
        <v>237.3</v>
      </c>
      <c r="D282" s="5">
        <v>253</v>
      </c>
      <c r="E282" s="5">
        <v>237</v>
      </c>
      <c r="F282" s="5">
        <v>252.4</v>
      </c>
      <c r="G282" s="6">
        <v>23</v>
      </c>
      <c r="H282" s="7">
        <v>77089</v>
      </c>
      <c r="I282" s="7">
        <f t="shared" si="4"/>
        <v>3351.695652173913</v>
      </c>
      <c r="J282" s="7">
        <v>28047</v>
      </c>
      <c r="K282" s="7">
        <v>1445</v>
      </c>
    </row>
    <row r="283" spans="1:11" ht="13.5" customHeight="1" x14ac:dyDescent="0.15">
      <c r="A283" s="4">
        <v>27881</v>
      </c>
      <c r="B283" s="6">
        <v>6</v>
      </c>
      <c r="C283" s="5">
        <v>259.89999999999998</v>
      </c>
      <c r="D283" s="5">
        <v>267.10000000000002</v>
      </c>
      <c r="E283" s="5">
        <v>255.9</v>
      </c>
      <c r="F283" s="5">
        <v>267.10000000000002</v>
      </c>
      <c r="G283" s="6">
        <v>22</v>
      </c>
      <c r="H283" s="7">
        <v>78068</v>
      </c>
      <c r="I283" s="7">
        <f t="shared" si="4"/>
        <v>3548.5454545454545</v>
      </c>
      <c r="J283" s="7">
        <v>30800</v>
      </c>
      <c r="K283" s="7">
        <v>1218</v>
      </c>
    </row>
    <row r="284" spans="1:11" ht="13.5" customHeight="1" x14ac:dyDescent="0.15">
      <c r="A284" s="4">
        <v>27912</v>
      </c>
      <c r="B284" s="6">
        <v>6</v>
      </c>
      <c r="C284" s="5">
        <v>271.5</v>
      </c>
      <c r="D284" s="5">
        <v>285.89999999999998</v>
      </c>
      <c r="E284" s="5">
        <v>259.10000000000002</v>
      </c>
      <c r="F284" s="5">
        <v>264.3</v>
      </c>
      <c r="G284" s="6">
        <v>24</v>
      </c>
      <c r="H284" s="7">
        <v>160073</v>
      </c>
      <c r="I284" s="7">
        <f t="shared" si="4"/>
        <v>6669.708333333333</v>
      </c>
      <c r="J284" s="7">
        <v>25589</v>
      </c>
      <c r="K284" s="7">
        <v>1274</v>
      </c>
    </row>
    <row r="285" spans="1:11" ht="13.5" customHeight="1" x14ac:dyDescent="0.15">
      <c r="A285" s="4">
        <v>27942</v>
      </c>
      <c r="B285" s="6">
        <v>6</v>
      </c>
      <c r="C285" s="5">
        <v>264.60000000000002</v>
      </c>
      <c r="D285" s="5">
        <v>265.8</v>
      </c>
      <c r="E285" s="5">
        <v>232.2</v>
      </c>
      <c r="F285" s="5">
        <v>238.3</v>
      </c>
      <c r="G285" s="6">
        <v>25</v>
      </c>
      <c r="H285" s="7">
        <v>138370</v>
      </c>
      <c r="I285" s="7">
        <f t="shared" si="4"/>
        <v>5534.8</v>
      </c>
      <c r="J285" s="7">
        <v>31174</v>
      </c>
      <c r="K285" s="7">
        <v>1343</v>
      </c>
    </row>
    <row r="286" spans="1:11" ht="13.5" customHeight="1" x14ac:dyDescent="0.15">
      <c r="A286" s="4">
        <v>27973</v>
      </c>
      <c r="B286" s="6">
        <v>6</v>
      </c>
      <c r="C286" s="5">
        <v>239.3</v>
      </c>
      <c r="D286" s="5">
        <v>252.8</v>
      </c>
      <c r="E286" s="5">
        <v>226.3</v>
      </c>
      <c r="F286" s="5">
        <v>241</v>
      </c>
      <c r="G286" s="6">
        <v>24</v>
      </c>
      <c r="H286" s="7">
        <v>113873</v>
      </c>
      <c r="I286" s="7">
        <f t="shared" si="4"/>
        <v>4744.708333333333</v>
      </c>
      <c r="J286" s="7">
        <v>31931</v>
      </c>
      <c r="K286" s="7">
        <v>810</v>
      </c>
    </row>
    <row r="287" spans="1:11" ht="13.5" customHeight="1" x14ac:dyDescent="0.15">
      <c r="A287" s="4">
        <v>28004</v>
      </c>
      <c r="B287" s="6">
        <v>6</v>
      </c>
      <c r="C287" s="5">
        <v>245</v>
      </c>
      <c r="D287" s="5">
        <v>245</v>
      </c>
      <c r="E287" s="5">
        <v>218.5</v>
      </c>
      <c r="F287" s="5">
        <v>228.7</v>
      </c>
      <c r="G287" s="6">
        <v>22</v>
      </c>
      <c r="H287" s="7">
        <v>101014</v>
      </c>
      <c r="I287" s="7">
        <f t="shared" si="4"/>
        <v>4591.545454545455</v>
      </c>
      <c r="J287" s="7">
        <v>29245</v>
      </c>
      <c r="K287" s="7">
        <v>1425</v>
      </c>
    </row>
    <row r="288" spans="1:11" ht="13.5" customHeight="1" x14ac:dyDescent="0.15">
      <c r="A288" s="4">
        <v>28034</v>
      </c>
      <c r="B288" s="6">
        <v>6</v>
      </c>
      <c r="C288" s="5">
        <v>229.9</v>
      </c>
      <c r="D288" s="5">
        <v>243.2</v>
      </c>
      <c r="E288" s="5">
        <v>229.9</v>
      </c>
      <c r="F288" s="5">
        <v>239.1</v>
      </c>
      <c r="G288" s="6">
        <v>23</v>
      </c>
      <c r="H288" s="7">
        <v>79726</v>
      </c>
      <c r="I288" s="7">
        <f t="shared" si="4"/>
        <v>3466.3478260869565</v>
      </c>
      <c r="J288" s="7">
        <v>32669</v>
      </c>
      <c r="K288" s="7">
        <v>1108</v>
      </c>
    </row>
    <row r="289" spans="1:11" ht="13.5" customHeight="1" x14ac:dyDescent="0.15">
      <c r="A289" s="4">
        <v>28065</v>
      </c>
      <c r="B289" s="6">
        <v>6</v>
      </c>
      <c r="C289" s="5">
        <v>242</v>
      </c>
      <c r="D289" s="5">
        <v>244</v>
      </c>
      <c r="E289" s="5">
        <v>234.8</v>
      </c>
      <c r="F289" s="5">
        <v>237.7</v>
      </c>
      <c r="G289" s="6">
        <v>22</v>
      </c>
      <c r="H289" s="7">
        <v>49669</v>
      </c>
      <c r="I289" s="7">
        <f t="shared" si="4"/>
        <v>2257.681818181818</v>
      </c>
      <c r="J289" s="7">
        <v>28578</v>
      </c>
      <c r="K289" s="7">
        <v>1421</v>
      </c>
    </row>
    <row r="290" spans="1:11" ht="13.5" customHeight="1" x14ac:dyDescent="0.15">
      <c r="A290" s="4">
        <v>28095</v>
      </c>
      <c r="B290" s="6">
        <v>6</v>
      </c>
      <c r="C290" s="5">
        <v>239.1</v>
      </c>
      <c r="D290" s="5">
        <v>239.1</v>
      </c>
      <c r="E290" s="5">
        <v>227</v>
      </c>
      <c r="F290" s="5">
        <v>236.9</v>
      </c>
      <c r="G290" s="6">
        <v>22</v>
      </c>
      <c r="H290" s="7">
        <v>61029</v>
      </c>
      <c r="I290" s="7">
        <f t="shared" si="4"/>
        <v>2774.0454545454545</v>
      </c>
      <c r="J290" s="7">
        <v>25451</v>
      </c>
      <c r="K290" s="7">
        <v>688</v>
      </c>
    </row>
    <row r="291" spans="1:11" ht="13.5" customHeight="1" x14ac:dyDescent="0.15">
      <c r="A291" s="4">
        <v>28126</v>
      </c>
      <c r="B291" s="6">
        <v>6</v>
      </c>
      <c r="C291" s="5">
        <v>237.7</v>
      </c>
      <c r="D291" s="5">
        <v>246.7</v>
      </c>
      <c r="E291" s="5">
        <v>232</v>
      </c>
      <c r="F291" s="5">
        <v>232.4</v>
      </c>
      <c r="G291" s="6">
        <v>23</v>
      </c>
      <c r="H291" s="7">
        <v>53599</v>
      </c>
      <c r="I291" s="7">
        <f t="shared" si="4"/>
        <v>2330.391304347826</v>
      </c>
      <c r="J291" s="7">
        <v>24627</v>
      </c>
      <c r="K291" s="7">
        <v>706</v>
      </c>
    </row>
    <row r="292" spans="1:11" ht="13.5" customHeight="1" x14ac:dyDescent="0.15">
      <c r="A292" s="4">
        <v>28157</v>
      </c>
      <c r="B292" s="6">
        <v>6</v>
      </c>
      <c r="C292" s="5">
        <v>232.5</v>
      </c>
      <c r="D292" s="5">
        <v>237</v>
      </c>
      <c r="E292" s="5">
        <v>226.1</v>
      </c>
      <c r="F292" s="5">
        <v>226.6</v>
      </c>
      <c r="G292" s="6">
        <v>21</v>
      </c>
      <c r="H292" s="7">
        <v>61199</v>
      </c>
      <c r="I292" s="7">
        <f t="shared" si="4"/>
        <v>2914.2380952380954</v>
      </c>
      <c r="J292" s="7">
        <v>23418</v>
      </c>
      <c r="K292" s="7">
        <v>526</v>
      </c>
    </row>
    <row r="293" spans="1:11" ht="13.5" customHeight="1" x14ac:dyDescent="0.15">
      <c r="A293" s="4">
        <v>28185</v>
      </c>
      <c r="B293" s="6">
        <v>6</v>
      </c>
      <c r="C293" s="5">
        <v>226</v>
      </c>
      <c r="D293" s="5">
        <v>233.4</v>
      </c>
      <c r="E293" s="5">
        <v>222.7</v>
      </c>
      <c r="F293" s="5">
        <v>223.6</v>
      </c>
      <c r="G293" s="6">
        <v>24</v>
      </c>
      <c r="H293" s="7">
        <v>61870</v>
      </c>
      <c r="I293" s="7">
        <f t="shared" si="4"/>
        <v>2577.9166666666665</v>
      </c>
      <c r="J293" s="7">
        <v>21041</v>
      </c>
      <c r="K293" s="7">
        <v>513</v>
      </c>
    </row>
    <row r="294" spans="1:11" ht="13.5" customHeight="1" x14ac:dyDescent="0.15">
      <c r="A294" s="4">
        <v>28216</v>
      </c>
      <c r="B294" s="6">
        <v>6</v>
      </c>
      <c r="C294" s="5">
        <v>225.3</v>
      </c>
      <c r="D294" s="5">
        <v>232.7</v>
      </c>
      <c r="E294" s="5">
        <v>221.9</v>
      </c>
      <c r="F294" s="5">
        <v>232.7</v>
      </c>
      <c r="G294" s="6">
        <v>23</v>
      </c>
      <c r="H294" s="7">
        <v>40854</v>
      </c>
      <c r="I294" s="7">
        <f t="shared" si="4"/>
        <v>1776.2608695652175</v>
      </c>
      <c r="J294" s="7">
        <v>21251</v>
      </c>
      <c r="K294" s="7">
        <v>488</v>
      </c>
    </row>
    <row r="295" spans="1:11" ht="13.5" customHeight="1" x14ac:dyDescent="0.15">
      <c r="A295" s="4">
        <v>28246</v>
      </c>
      <c r="B295" s="6">
        <v>6</v>
      </c>
      <c r="C295" s="5">
        <v>237.1</v>
      </c>
      <c r="D295" s="5">
        <v>239.1</v>
      </c>
      <c r="E295" s="5">
        <v>225.1</v>
      </c>
      <c r="F295" s="5">
        <v>226.8</v>
      </c>
      <c r="G295" s="6">
        <v>22</v>
      </c>
      <c r="H295" s="7">
        <v>39367</v>
      </c>
      <c r="I295" s="7">
        <f t="shared" si="4"/>
        <v>1789.409090909091</v>
      </c>
      <c r="J295" s="7">
        <v>20529</v>
      </c>
      <c r="K295" s="7">
        <v>435</v>
      </c>
    </row>
    <row r="296" spans="1:11" ht="13.5" customHeight="1" x14ac:dyDescent="0.15">
      <c r="A296" s="4">
        <v>28277</v>
      </c>
      <c r="B296" s="6">
        <v>6</v>
      </c>
      <c r="C296" s="5">
        <v>229.3</v>
      </c>
      <c r="D296" s="5">
        <v>230.6</v>
      </c>
      <c r="E296" s="5">
        <v>215</v>
      </c>
      <c r="F296" s="5">
        <v>218.9</v>
      </c>
      <c r="G296" s="6">
        <v>24</v>
      </c>
      <c r="H296" s="7">
        <v>51137</v>
      </c>
      <c r="I296" s="7">
        <f t="shared" si="4"/>
        <v>2130.7083333333335</v>
      </c>
      <c r="J296" s="7">
        <v>16753</v>
      </c>
      <c r="K296" s="7">
        <v>493</v>
      </c>
    </row>
    <row r="297" spans="1:11" ht="13.5" customHeight="1" x14ac:dyDescent="0.15">
      <c r="A297" s="4">
        <v>28307</v>
      </c>
      <c r="B297" s="6">
        <v>6</v>
      </c>
      <c r="C297" s="5">
        <v>221.4</v>
      </c>
      <c r="D297" s="5">
        <v>221.9</v>
      </c>
      <c r="E297" s="5">
        <v>214.8</v>
      </c>
      <c r="F297" s="5">
        <v>219.3</v>
      </c>
      <c r="G297" s="6">
        <v>24</v>
      </c>
      <c r="H297" s="7">
        <v>36418</v>
      </c>
      <c r="I297" s="7">
        <f t="shared" si="4"/>
        <v>1517.4166666666667</v>
      </c>
      <c r="J297" s="7">
        <v>17519</v>
      </c>
      <c r="K297" s="7">
        <v>469</v>
      </c>
    </row>
    <row r="298" spans="1:11" ht="13.5" customHeight="1" x14ac:dyDescent="0.15">
      <c r="A298" s="4">
        <v>28338</v>
      </c>
      <c r="B298" s="6">
        <v>6</v>
      </c>
      <c r="C298" s="5">
        <v>220.4</v>
      </c>
      <c r="D298" s="5">
        <v>236.9</v>
      </c>
      <c r="E298" s="5">
        <v>219.2</v>
      </c>
      <c r="F298" s="5">
        <v>235.9</v>
      </c>
      <c r="G298" s="6">
        <v>25</v>
      </c>
      <c r="H298" s="7">
        <v>42265</v>
      </c>
      <c r="I298" s="7">
        <f t="shared" si="4"/>
        <v>1690.6</v>
      </c>
      <c r="J298" s="7">
        <v>19172</v>
      </c>
      <c r="K298" s="7">
        <v>359</v>
      </c>
    </row>
    <row r="299" spans="1:11" ht="13.5" customHeight="1" x14ac:dyDescent="0.15">
      <c r="A299" s="4">
        <v>28369</v>
      </c>
      <c r="B299" s="6">
        <v>6</v>
      </c>
      <c r="C299" s="5">
        <v>239</v>
      </c>
      <c r="D299" s="5">
        <v>251.3</v>
      </c>
      <c r="E299" s="5">
        <v>239</v>
      </c>
      <c r="F299" s="5">
        <v>246</v>
      </c>
      <c r="G299" s="6">
        <v>22</v>
      </c>
      <c r="H299" s="7">
        <v>78166</v>
      </c>
      <c r="I299" s="7">
        <f t="shared" si="4"/>
        <v>3553</v>
      </c>
      <c r="J299" s="7">
        <v>27772</v>
      </c>
      <c r="K299" s="7">
        <v>563</v>
      </c>
    </row>
    <row r="300" spans="1:11" ht="13.5" customHeight="1" x14ac:dyDescent="0.15">
      <c r="A300" s="4">
        <v>28399</v>
      </c>
      <c r="B300" s="6">
        <v>6</v>
      </c>
      <c r="C300" s="5">
        <v>245.5</v>
      </c>
      <c r="D300" s="5">
        <v>245.5</v>
      </c>
      <c r="E300" s="5">
        <v>226.5</v>
      </c>
      <c r="F300" s="5">
        <v>226.6</v>
      </c>
      <c r="G300" s="6">
        <v>23</v>
      </c>
      <c r="H300" s="7">
        <v>71252</v>
      </c>
      <c r="I300" s="7">
        <f t="shared" si="4"/>
        <v>3097.913043478261</v>
      </c>
      <c r="J300" s="7">
        <v>24494</v>
      </c>
      <c r="K300" s="7">
        <v>530</v>
      </c>
    </row>
    <row r="301" spans="1:11" ht="13.5" customHeight="1" x14ac:dyDescent="0.15">
      <c r="A301" s="4">
        <v>28430</v>
      </c>
      <c r="B301" s="6">
        <v>6</v>
      </c>
      <c r="C301" s="5">
        <v>223.1</v>
      </c>
      <c r="D301" s="5">
        <v>229.2</v>
      </c>
      <c r="E301" s="5">
        <v>207.3</v>
      </c>
      <c r="F301" s="5">
        <v>216.9</v>
      </c>
      <c r="G301" s="6">
        <v>22</v>
      </c>
      <c r="H301" s="7">
        <v>69331</v>
      </c>
      <c r="I301" s="7">
        <f t="shared" si="4"/>
        <v>3151.409090909091</v>
      </c>
      <c r="J301" s="7">
        <v>19510</v>
      </c>
      <c r="K301" s="7">
        <v>762</v>
      </c>
    </row>
    <row r="302" spans="1:11" ht="13.5" customHeight="1" x14ac:dyDescent="0.15">
      <c r="A302" s="4">
        <v>28460</v>
      </c>
      <c r="B302" s="6">
        <v>6</v>
      </c>
      <c r="C302" s="5">
        <v>218</v>
      </c>
      <c r="D302" s="5">
        <v>218</v>
      </c>
      <c r="E302" s="5">
        <v>198.8</v>
      </c>
      <c r="F302" s="5">
        <v>206.8</v>
      </c>
      <c r="G302" s="6">
        <v>22</v>
      </c>
      <c r="H302" s="7">
        <v>61626</v>
      </c>
      <c r="I302" s="7">
        <f t="shared" si="4"/>
        <v>2801.181818181818</v>
      </c>
      <c r="J302" s="7">
        <v>19856</v>
      </c>
      <c r="K302" s="7">
        <v>1023</v>
      </c>
    </row>
    <row r="303" spans="1:11" ht="13.5" customHeight="1" x14ac:dyDescent="0.15">
      <c r="A303" s="4">
        <v>28491</v>
      </c>
      <c r="B303" s="6">
        <v>6</v>
      </c>
      <c r="C303" s="5">
        <v>201.7</v>
      </c>
      <c r="D303" s="5">
        <v>215.7</v>
      </c>
      <c r="E303" s="5">
        <v>201.5</v>
      </c>
      <c r="F303" s="5">
        <v>208.5</v>
      </c>
      <c r="G303" s="6">
        <v>21</v>
      </c>
      <c r="H303" s="7">
        <v>51094</v>
      </c>
      <c r="I303" s="7">
        <f t="shared" si="4"/>
        <v>2433.0476190476193</v>
      </c>
      <c r="J303" s="7">
        <v>22830</v>
      </c>
      <c r="K303" s="7">
        <v>713</v>
      </c>
    </row>
    <row r="304" spans="1:11" ht="13.5" customHeight="1" x14ac:dyDescent="0.15">
      <c r="A304" s="4">
        <v>28522</v>
      </c>
      <c r="B304" s="6">
        <v>6</v>
      </c>
      <c r="C304" s="5">
        <v>209.5</v>
      </c>
      <c r="D304" s="5">
        <v>213.2</v>
      </c>
      <c r="E304" s="5">
        <v>207</v>
      </c>
      <c r="F304" s="5">
        <v>211.6</v>
      </c>
      <c r="G304" s="6">
        <v>21</v>
      </c>
      <c r="H304" s="7">
        <v>27684</v>
      </c>
      <c r="I304" s="7">
        <f t="shared" si="4"/>
        <v>1318.2857142857142</v>
      </c>
      <c r="J304" s="7">
        <v>20817</v>
      </c>
      <c r="K304" s="7">
        <v>782</v>
      </c>
    </row>
    <row r="305" spans="1:11" ht="13.5" customHeight="1" x14ac:dyDescent="0.15">
      <c r="A305" s="4">
        <v>28550</v>
      </c>
      <c r="B305" s="6">
        <v>6</v>
      </c>
      <c r="C305" s="5">
        <v>214.5</v>
      </c>
      <c r="D305" s="5">
        <v>214.5</v>
      </c>
      <c r="E305" s="5">
        <v>197.5</v>
      </c>
      <c r="F305" s="5">
        <v>199.9</v>
      </c>
      <c r="G305" s="6">
        <v>24</v>
      </c>
      <c r="H305" s="7">
        <v>43567</v>
      </c>
      <c r="I305" s="7">
        <f t="shared" si="4"/>
        <v>1815.2916666666667</v>
      </c>
      <c r="J305" s="7">
        <v>17118</v>
      </c>
      <c r="K305" s="7">
        <v>604</v>
      </c>
    </row>
    <row r="306" spans="1:11" ht="13.5" customHeight="1" x14ac:dyDescent="0.15">
      <c r="A306" s="4">
        <v>28581</v>
      </c>
      <c r="B306" s="6">
        <v>6</v>
      </c>
      <c r="C306" s="5">
        <v>197</v>
      </c>
      <c r="D306" s="5">
        <v>208.5</v>
      </c>
      <c r="E306" s="5">
        <v>192.8</v>
      </c>
      <c r="F306" s="5">
        <v>203.9</v>
      </c>
      <c r="G306" s="6">
        <v>22</v>
      </c>
      <c r="H306" s="7">
        <v>46541</v>
      </c>
      <c r="I306" s="7">
        <f t="shared" si="4"/>
        <v>2115.5</v>
      </c>
      <c r="J306" s="7">
        <v>18767</v>
      </c>
      <c r="K306" s="7">
        <v>534</v>
      </c>
    </row>
    <row r="307" spans="1:11" ht="13.5" customHeight="1" x14ac:dyDescent="0.15">
      <c r="A307" s="4">
        <v>28611</v>
      </c>
      <c r="B307" s="6">
        <v>6</v>
      </c>
      <c r="C307" s="5">
        <v>207.7</v>
      </c>
      <c r="D307" s="5">
        <v>215.9</v>
      </c>
      <c r="E307" s="5">
        <v>204.8</v>
      </c>
      <c r="F307" s="5">
        <v>215.9</v>
      </c>
      <c r="G307" s="6">
        <v>23</v>
      </c>
      <c r="H307" s="7">
        <v>35246</v>
      </c>
      <c r="I307" s="7">
        <f t="shared" si="4"/>
        <v>1532.4347826086957</v>
      </c>
      <c r="J307" s="7">
        <v>18328</v>
      </c>
      <c r="K307" s="7">
        <v>1013</v>
      </c>
    </row>
    <row r="308" spans="1:11" ht="13.5" customHeight="1" x14ac:dyDescent="0.15">
      <c r="A308" s="4">
        <v>28642</v>
      </c>
      <c r="B308" s="6">
        <v>6</v>
      </c>
      <c r="C308" s="5">
        <v>216.8</v>
      </c>
      <c r="D308" s="5">
        <v>231</v>
      </c>
      <c r="E308" s="5">
        <v>202.5</v>
      </c>
      <c r="F308" s="5">
        <v>204.8</v>
      </c>
      <c r="G308" s="6">
        <v>24</v>
      </c>
      <c r="H308" s="7">
        <v>126513</v>
      </c>
      <c r="I308" s="7">
        <f t="shared" si="4"/>
        <v>5271.375</v>
      </c>
      <c r="J308" s="7">
        <v>25314</v>
      </c>
      <c r="K308" s="7">
        <v>894</v>
      </c>
    </row>
    <row r="309" spans="1:11" ht="13.5" customHeight="1" x14ac:dyDescent="0.15">
      <c r="A309" s="4">
        <v>28672</v>
      </c>
      <c r="B309" s="6">
        <v>6</v>
      </c>
      <c r="C309" s="5">
        <v>199</v>
      </c>
      <c r="D309" s="5">
        <v>203.9</v>
      </c>
      <c r="E309" s="5">
        <v>188.7</v>
      </c>
      <c r="F309" s="5">
        <v>191.3</v>
      </c>
      <c r="G309" s="6">
        <v>24</v>
      </c>
      <c r="H309" s="7">
        <v>79751</v>
      </c>
      <c r="I309" s="7">
        <f t="shared" si="4"/>
        <v>3322.9583333333335</v>
      </c>
      <c r="J309" s="7">
        <v>24224</v>
      </c>
      <c r="K309" s="7">
        <v>902</v>
      </c>
    </row>
    <row r="310" spans="1:11" ht="13.5" customHeight="1" x14ac:dyDescent="0.15">
      <c r="A310" s="4">
        <v>28703</v>
      </c>
      <c r="B310" s="6">
        <v>6</v>
      </c>
      <c r="C310" s="5">
        <v>190.1</v>
      </c>
      <c r="D310" s="5">
        <v>207.4</v>
      </c>
      <c r="E310" s="5">
        <v>190.1</v>
      </c>
      <c r="F310" s="5">
        <v>200.9</v>
      </c>
      <c r="G310" s="6">
        <v>25</v>
      </c>
      <c r="H310" s="7">
        <v>61274</v>
      </c>
      <c r="I310" s="7">
        <f t="shared" si="4"/>
        <v>2450.96</v>
      </c>
      <c r="J310" s="7">
        <v>25786</v>
      </c>
      <c r="K310" s="7">
        <v>1037</v>
      </c>
    </row>
    <row r="311" spans="1:11" ht="13.5" customHeight="1" x14ac:dyDescent="0.15">
      <c r="A311" s="4">
        <v>28734</v>
      </c>
      <c r="B311" s="6">
        <v>6</v>
      </c>
      <c r="C311" s="5">
        <v>204.3</v>
      </c>
      <c r="D311" s="5">
        <v>208.3</v>
      </c>
      <c r="E311" s="5">
        <v>200.1</v>
      </c>
      <c r="F311" s="5">
        <v>206</v>
      </c>
      <c r="G311" s="6">
        <v>22</v>
      </c>
      <c r="H311" s="7">
        <v>39264</v>
      </c>
      <c r="I311" s="7">
        <f t="shared" si="4"/>
        <v>1784.7272727272727</v>
      </c>
      <c r="J311" s="7">
        <v>24218</v>
      </c>
      <c r="K311" s="7">
        <v>1137</v>
      </c>
    </row>
    <row r="312" spans="1:11" ht="13.5" customHeight="1" x14ac:dyDescent="0.15">
      <c r="A312" s="4">
        <v>28764</v>
      </c>
      <c r="B312" s="6">
        <v>6</v>
      </c>
      <c r="C312" s="5">
        <v>208.7</v>
      </c>
      <c r="D312" s="5">
        <v>217.6</v>
      </c>
      <c r="E312" s="5">
        <v>206.7</v>
      </c>
      <c r="F312" s="5">
        <v>217</v>
      </c>
      <c r="G312" s="6">
        <v>23</v>
      </c>
      <c r="H312" s="7">
        <v>72660</v>
      </c>
      <c r="I312" s="7">
        <f t="shared" si="4"/>
        <v>3159.1304347826085</v>
      </c>
      <c r="J312" s="7">
        <v>25565</v>
      </c>
      <c r="K312" s="7">
        <v>1003</v>
      </c>
    </row>
    <row r="313" spans="1:11" ht="13.5" customHeight="1" x14ac:dyDescent="0.15">
      <c r="A313" s="4">
        <v>28795</v>
      </c>
      <c r="B313" s="6">
        <v>6</v>
      </c>
      <c r="C313" s="5">
        <v>222.1</v>
      </c>
      <c r="D313" s="5">
        <v>224.5</v>
      </c>
      <c r="E313" s="5">
        <v>207.4</v>
      </c>
      <c r="F313" s="5">
        <v>208.2</v>
      </c>
      <c r="G313" s="6">
        <v>22</v>
      </c>
      <c r="H313" s="7">
        <v>79975</v>
      </c>
      <c r="I313" s="7">
        <f t="shared" si="4"/>
        <v>3635.2272727272725</v>
      </c>
      <c r="J313" s="7">
        <v>25764</v>
      </c>
      <c r="K313" s="7">
        <v>1482</v>
      </c>
    </row>
    <row r="314" spans="1:11" ht="13.5" customHeight="1" x14ac:dyDescent="0.15">
      <c r="A314" s="4">
        <v>28825</v>
      </c>
      <c r="B314" s="6">
        <v>6</v>
      </c>
      <c r="C314" s="5">
        <v>211.5</v>
      </c>
      <c r="D314" s="5">
        <v>215.9</v>
      </c>
      <c r="E314" s="5">
        <v>207.8</v>
      </c>
      <c r="F314" s="5">
        <v>213.6</v>
      </c>
      <c r="G314" s="6">
        <v>22</v>
      </c>
      <c r="H314" s="7">
        <v>35896</v>
      </c>
      <c r="I314" s="7">
        <f t="shared" si="4"/>
        <v>1631.6363636363637</v>
      </c>
      <c r="J314" s="7">
        <v>24933</v>
      </c>
      <c r="K314" s="7">
        <v>654</v>
      </c>
    </row>
    <row r="315" spans="1:11" ht="13.5" customHeight="1" x14ac:dyDescent="0.15">
      <c r="A315" s="4">
        <v>28856</v>
      </c>
      <c r="B315" s="6">
        <v>6</v>
      </c>
      <c r="C315" s="5">
        <v>212.3</v>
      </c>
      <c r="D315" s="5">
        <v>219.7</v>
      </c>
      <c r="E315" s="5">
        <v>209.7</v>
      </c>
      <c r="F315" s="5">
        <v>218.9</v>
      </c>
      <c r="G315" s="6">
        <v>21</v>
      </c>
      <c r="H315" s="7">
        <v>38460</v>
      </c>
      <c r="I315" s="7">
        <f t="shared" si="4"/>
        <v>1831.4285714285713</v>
      </c>
      <c r="J315" s="7">
        <v>23707</v>
      </c>
      <c r="K315" s="7">
        <v>919</v>
      </c>
    </row>
    <row r="316" spans="1:11" ht="13.5" customHeight="1" x14ac:dyDescent="0.15">
      <c r="A316" s="4">
        <v>28887</v>
      </c>
      <c r="B316" s="6">
        <v>6</v>
      </c>
      <c r="C316" s="5">
        <v>221.4</v>
      </c>
      <c r="D316" s="5">
        <v>238.8</v>
      </c>
      <c r="E316" s="5">
        <v>221.4</v>
      </c>
      <c r="F316" s="5">
        <v>231.4</v>
      </c>
      <c r="G316" s="6">
        <v>21</v>
      </c>
      <c r="H316" s="7">
        <v>118010</v>
      </c>
      <c r="I316" s="7">
        <f t="shared" si="4"/>
        <v>5619.5238095238092</v>
      </c>
      <c r="J316" s="7">
        <v>34290</v>
      </c>
      <c r="K316" s="7">
        <v>744</v>
      </c>
    </row>
    <row r="317" spans="1:11" ht="13.5" customHeight="1" x14ac:dyDescent="0.15">
      <c r="A317" s="4">
        <v>28915</v>
      </c>
      <c r="B317" s="6">
        <v>6</v>
      </c>
      <c r="C317" s="5">
        <v>230.8</v>
      </c>
      <c r="D317" s="5">
        <v>243</v>
      </c>
      <c r="E317" s="5">
        <v>224.9</v>
      </c>
      <c r="F317" s="5">
        <v>241.8</v>
      </c>
      <c r="G317" s="6">
        <v>24</v>
      </c>
      <c r="H317" s="7">
        <v>93333</v>
      </c>
      <c r="I317" s="7">
        <f t="shared" si="4"/>
        <v>3888.875</v>
      </c>
      <c r="J317" s="7">
        <v>31937</v>
      </c>
      <c r="K317" s="7">
        <v>960</v>
      </c>
    </row>
    <row r="318" spans="1:11" ht="13.5" customHeight="1" x14ac:dyDescent="0.15">
      <c r="A318" s="4">
        <v>28946</v>
      </c>
      <c r="B318" s="6">
        <v>6</v>
      </c>
      <c r="C318" s="5">
        <v>247.9</v>
      </c>
      <c r="D318" s="5">
        <v>269.3</v>
      </c>
      <c r="E318" s="5">
        <v>242.9</v>
      </c>
      <c r="F318" s="5">
        <v>269.3</v>
      </c>
      <c r="G318" s="6">
        <v>22</v>
      </c>
      <c r="H318" s="7">
        <v>136433</v>
      </c>
      <c r="I318" s="7">
        <f t="shared" si="4"/>
        <v>6201.5</v>
      </c>
      <c r="J318" s="7">
        <v>31835</v>
      </c>
      <c r="K318" s="7">
        <v>751</v>
      </c>
    </row>
    <row r="319" spans="1:11" ht="13.5" customHeight="1" x14ac:dyDescent="0.15">
      <c r="A319" s="4">
        <v>28976</v>
      </c>
      <c r="B319" s="6">
        <v>6</v>
      </c>
      <c r="C319" s="5">
        <v>266.39999999999998</v>
      </c>
      <c r="D319" s="5">
        <v>295.7</v>
      </c>
      <c r="E319" s="5">
        <v>253.9</v>
      </c>
      <c r="F319" s="5">
        <v>282.7</v>
      </c>
      <c r="G319" s="6">
        <v>24</v>
      </c>
      <c r="H319" s="7">
        <v>206540</v>
      </c>
      <c r="I319" s="7">
        <f t="shared" si="4"/>
        <v>8605.8333333333339</v>
      </c>
      <c r="J319" s="7">
        <v>40010</v>
      </c>
      <c r="K319" s="7">
        <v>495</v>
      </c>
    </row>
    <row r="320" spans="1:11" ht="13.5" customHeight="1" x14ac:dyDescent="0.15">
      <c r="A320" s="4">
        <v>29007</v>
      </c>
      <c r="B320" s="6">
        <v>6</v>
      </c>
      <c r="C320" s="5">
        <v>286</v>
      </c>
      <c r="D320" s="5">
        <v>309.89999999999998</v>
      </c>
      <c r="E320" s="5">
        <v>270.10000000000002</v>
      </c>
      <c r="F320" s="5">
        <v>279.8</v>
      </c>
      <c r="G320" s="6">
        <v>24</v>
      </c>
      <c r="H320" s="7">
        <v>199295</v>
      </c>
      <c r="I320" s="7">
        <f t="shared" si="4"/>
        <v>8303.9583333333339</v>
      </c>
      <c r="J320" s="7">
        <v>36522</v>
      </c>
      <c r="K320" s="7">
        <v>1084</v>
      </c>
    </row>
    <row r="321" spans="1:11" ht="13.5" customHeight="1" x14ac:dyDescent="0.15">
      <c r="A321" s="4">
        <v>29037</v>
      </c>
      <c r="B321" s="6">
        <v>6</v>
      </c>
      <c r="C321" s="5">
        <v>280</v>
      </c>
      <c r="D321" s="5">
        <v>290.10000000000002</v>
      </c>
      <c r="E321" s="5">
        <v>269.60000000000002</v>
      </c>
      <c r="F321" s="5">
        <v>287.39999999999998</v>
      </c>
      <c r="G321" s="6">
        <v>24</v>
      </c>
      <c r="H321" s="7">
        <v>124379</v>
      </c>
      <c r="I321" s="7">
        <f t="shared" si="4"/>
        <v>5182.458333333333</v>
      </c>
      <c r="J321" s="7">
        <v>40428</v>
      </c>
      <c r="K321" s="7">
        <v>1063</v>
      </c>
    </row>
    <row r="322" spans="1:11" ht="13.5" customHeight="1" x14ac:dyDescent="0.15">
      <c r="A322" s="4">
        <v>29068</v>
      </c>
      <c r="B322" s="6">
        <v>6</v>
      </c>
      <c r="C322" s="5">
        <v>287.5</v>
      </c>
      <c r="D322" s="5">
        <v>287.5</v>
      </c>
      <c r="E322" s="5">
        <v>264.3</v>
      </c>
      <c r="F322" s="5">
        <v>271</v>
      </c>
      <c r="G322" s="6">
        <v>25</v>
      </c>
      <c r="H322" s="7">
        <v>102337</v>
      </c>
      <c r="I322" s="7">
        <f t="shared" si="4"/>
        <v>4093.48</v>
      </c>
      <c r="J322" s="7">
        <v>41274</v>
      </c>
      <c r="K322" s="7">
        <v>897</v>
      </c>
    </row>
    <row r="323" spans="1:11" ht="13.5" customHeight="1" x14ac:dyDescent="0.15">
      <c r="A323" s="4">
        <v>29099</v>
      </c>
      <c r="B323" s="6">
        <v>6</v>
      </c>
      <c r="C323" s="5">
        <v>270.39999999999998</v>
      </c>
      <c r="D323" s="5">
        <v>297.5</v>
      </c>
      <c r="E323" s="5">
        <v>269.7</v>
      </c>
      <c r="F323" s="5">
        <v>297.2</v>
      </c>
      <c r="G323" s="6">
        <v>22</v>
      </c>
      <c r="H323" s="7">
        <v>122270</v>
      </c>
      <c r="I323" s="7">
        <f t="shared" ref="I323:I386" si="5">H323/G323</f>
        <v>5557.727272727273</v>
      </c>
      <c r="J323" s="7">
        <v>39240</v>
      </c>
      <c r="K323" s="7">
        <v>862</v>
      </c>
    </row>
    <row r="324" spans="1:11" ht="13.5" customHeight="1" x14ac:dyDescent="0.15">
      <c r="A324" s="4">
        <v>29129</v>
      </c>
      <c r="B324" s="6">
        <v>6</v>
      </c>
      <c r="C324" s="5">
        <v>300.7</v>
      </c>
      <c r="D324" s="5">
        <v>309.89999999999998</v>
      </c>
      <c r="E324" s="5">
        <v>295.2</v>
      </c>
      <c r="F324" s="5">
        <v>303</v>
      </c>
      <c r="G324" s="6">
        <v>24</v>
      </c>
      <c r="H324" s="7">
        <v>149766</v>
      </c>
      <c r="I324" s="7">
        <f t="shared" si="5"/>
        <v>6240.25</v>
      </c>
      <c r="J324" s="7">
        <v>38482</v>
      </c>
      <c r="K324" s="7">
        <v>849</v>
      </c>
    </row>
    <row r="325" spans="1:11" ht="13.5" customHeight="1" x14ac:dyDescent="0.15">
      <c r="A325" s="4">
        <v>29160</v>
      </c>
      <c r="B325" s="6">
        <v>6</v>
      </c>
      <c r="C325" s="5">
        <v>300.7</v>
      </c>
      <c r="D325" s="5">
        <v>331</v>
      </c>
      <c r="E325" s="5">
        <v>300.10000000000002</v>
      </c>
      <c r="F325" s="5">
        <v>327.8</v>
      </c>
      <c r="G325" s="6">
        <v>23</v>
      </c>
      <c r="H325" s="7">
        <v>159298</v>
      </c>
      <c r="I325" s="7">
        <f t="shared" si="5"/>
        <v>6926</v>
      </c>
      <c r="J325" s="7">
        <v>40725</v>
      </c>
      <c r="K325" s="7">
        <v>476</v>
      </c>
    </row>
    <row r="326" spans="1:11" ht="13.5" customHeight="1" x14ac:dyDescent="0.15">
      <c r="A326" s="4">
        <v>29190</v>
      </c>
      <c r="B326" s="6">
        <v>6</v>
      </c>
      <c r="C326" s="5">
        <v>331.7</v>
      </c>
      <c r="D326" s="5">
        <v>335.2</v>
      </c>
      <c r="E326" s="5">
        <v>306.3</v>
      </c>
      <c r="F326" s="5">
        <v>322.89999999999998</v>
      </c>
      <c r="G326" s="6">
        <v>21</v>
      </c>
      <c r="H326" s="7">
        <v>134155</v>
      </c>
      <c r="I326" s="7">
        <f t="shared" si="5"/>
        <v>6388.333333333333</v>
      </c>
      <c r="J326" s="7">
        <v>38645</v>
      </c>
      <c r="K326" s="7">
        <v>634</v>
      </c>
    </row>
    <row r="327" spans="1:11" ht="13.5" customHeight="1" x14ac:dyDescent="0.15">
      <c r="A327" s="4">
        <v>29221</v>
      </c>
      <c r="B327" s="6">
        <v>6</v>
      </c>
      <c r="C327" s="5">
        <v>330</v>
      </c>
      <c r="D327" s="5">
        <v>375.3</v>
      </c>
      <c r="E327" s="5">
        <v>315</v>
      </c>
      <c r="F327" s="5">
        <v>352.8</v>
      </c>
      <c r="G327" s="6">
        <v>21</v>
      </c>
      <c r="H327" s="7">
        <v>192442</v>
      </c>
      <c r="I327" s="7">
        <f t="shared" si="5"/>
        <v>9163.9047619047615</v>
      </c>
      <c r="J327" s="7">
        <v>38625</v>
      </c>
      <c r="K327" s="7">
        <v>677</v>
      </c>
    </row>
    <row r="328" spans="1:11" ht="13.5" customHeight="1" x14ac:dyDescent="0.15">
      <c r="A328" s="4">
        <v>29252</v>
      </c>
      <c r="B328" s="6">
        <v>6</v>
      </c>
      <c r="C328" s="5">
        <v>353.1</v>
      </c>
      <c r="D328" s="5">
        <v>388.9</v>
      </c>
      <c r="E328" s="5">
        <v>351.9</v>
      </c>
      <c r="F328" s="5">
        <v>365.1</v>
      </c>
      <c r="G328" s="6">
        <v>22</v>
      </c>
      <c r="H328" s="7">
        <v>155628</v>
      </c>
      <c r="I328" s="7">
        <f t="shared" si="5"/>
        <v>7074</v>
      </c>
      <c r="J328" s="7">
        <v>37714</v>
      </c>
      <c r="K328" s="7">
        <v>924</v>
      </c>
    </row>
    <row r="329" spans="1:11" ht="13.5" customHeight="1" x14ac:dyDescent="0.15">
      <c r="A329" s="4">
        <v>29281</v>
      </c>
      <c r="B329" s="6">
        <v>6</v>
      </c>
      <c r="C329" s="5">
        <v>361.9</v>
      </c>
      <c r="D329" s="5">
        <v>364.1</v>
      </c>
      <c r="E329" s="5">
        <v>328.9</v>
      </c>
      <c r="F329" s="5">
        <v>333.9</v>
      </c>
      <c r="G329" s="6">
        <v>23</v>
      </c>
      <c r="H329" s="7">
        <v>118543</v>
      </c>
      <c r="I329" s="7">
        <f t="shared" si="5"/>
        <v>5154.04347826087</v>
      </c>
      <c r="J329" s="7">
        <v>36000</v>
      </c>
      <c r="K329" s="7">
        <v>1246</v>
      </c>
    </row>
    <row r="330" spans="1:11" ht="13.5" customHeight="1" x14ac:dyDescent="0.15">
      <c r="A330" s="4">
        <v>29312</v>
      </c>
      <c r="B330" s="6">
        <v>6</v>
      </c>
      <c r="C330" s="5">
        <v>330.3</v>
      </c>
      <c r="D330" s="5">
        <v>348.7</v>
      </c>
      <c r="E330" s="5">
        <v>328.4</v>
      </c>
      <c r="F330" s="5">
        <v>332.8</v>
      </c>
      <c r="G330" s="6">
        <v>23</v>
      </c>
      <c r="H330" s="7">
        <v>104130</v>
      </c>
      <c r="I330" s="7">
        <f t="shared" si="5"/>
        <v>4527.391304347826</v>
      </c>
      <c r="J330" s="7">
        <v>34540</v>
      </c>
      <c r="K330" s="7">
        <v>1064</v>
      </c>
    </row>
    <row r="331" spans="1:11" ht="13.5" customHeight="1" x14ac:dyDescent="0.15">
      <c r="A331" s="4">
        <v>29342</v>
      </c>
      <c r="B331" s="6">
        <v>6</v>
      </c>
      <c r="C331" s="5">
        <v>332.1</v>
      </c>
      <c r="D331" s="5">
        <v>332.1</v>
      </c>
      <c r="E331" s="5">
        <v>303.39999999999998</v>
      </c>
      <c r="F331" s="5">
        <v>305.89999999999998</v>
      </c>
      <c r="G331" s="6">
        <v>24</v>
      </c>
      <c r="H331" s="7">
        <v>125549</v>
      </c>
      <c r="I331" s="7">
        <f t="shared" si="5"/>
        <v>5231.208333333333</v>
      </c>
      <c r="J331" s="7">
        <v>28487</v>
      </c>
      <c r="K331" s="7">
        <v>969</v>
      </c>
    </row>
    <row r="332" spans="1:11" ht="13.5" customHeight="1" x14ac:dyDescent="0.15">
      <c r="A332" s="4">
        <v>29373</v>
      </c>
      <c r="B332" s="6">
        <v>6</v>
      </c>
      <c r="C332" s="5">
        <v>303.5</v>
      </c>
      <c r="D332" s="5">
        <v>315</v>
      </c>
      <c r="E332" s="5">
        <v>295.10000000000002</v>
      </c>
      <c r="F332" s="5">
        <v>309.3</v>
      </c>
      <c r="G332" s="6">
        <v>23</v>
      </c>
      <c r="H332" s="7">
        <v>107712</v>
      </c>
      <c r="I332" s="7">
        <f t="shared" si="5"/>
        <v>4683.130434782609</v>
      </c>
      <c r="J332" s="7">
        <v>28671</v>
      </c>
      <c r="K332" s="7">
        <v>484</v>
      </c>
    </row>
    <row r="333" spans="1:11" ht="13.5" customHeight="1" x14ac:dyDescent="0.15">
      <c r="A333" s="4">
        <v>29403</v>
      </c>
      <c r="B333" s="6">
        <v>6</v>
      </c>
      <c r="C333" s="5">
        <v>311.5</v>
      </c>
      <c r="D333" s="5">
        <v>320.3</v>
      </c>
      <c r="E333" s="5">
        <v>305.10000000000002</v>
      </c>
      <c r="F333" s="5">
        <v>315.60000000000002</v>
      </c>
      <c r="G333" s="6">
        <v>25</v>
      </c>
      <c r="H333" s="7">
        <v>64588</v>
      </c>
      <c r="I333" s="7">
        <f t="shared" si="5"/>
        <v>2583.52</v>
      </c>
      <c r="J333" s="7">
        <v>26041</v>
      </c>
      <c r="K333" s="7">
        <v>494</v>
      </c>
    </row>
    <row r="334" spans="1:11" ht="13.5" customHeight="1" x14ac:dyDescent="0.15">
      <c r="A334" s="4">
        <v>29434</v>
      </c>
      <c r="B334" s="6">
        <v>6</v>
      </c>
      <c r="C334" s="5">
        <v>317.7</v>
      </c>
      <c r="D334" s="5">
        <v>329.9</v>
      </c>
      <c r="E334" s="5">
        <v>314.2</v>
      </c>
      <c r="F334" s="5">
        <v>322.60000000000002</v>
      </c>
      <c r="G334" s="6">
        <v>24</v>
      </c>
      <c r="H334" s="7">
        <v>69222</v>
      </c>
      <c r="I334" s="7">
        <f t="shared" si="5"/>
        <v>2884.25</v>
      </c>
      <c r="J334" s="7">
        <v>24504</v>
      </c>
      <c r="K334" s="7">
        <v>556</v>
      </c>
    </row>
    <row r="335" spans="1:11" ht="13.5" customHeight="1" x14ac:dyDescent="0.15">
      <c r="A335" s="4">
        <v>29465</v>
      </c>
      <c r="B335" s="6">
        <v>6</v>
      </c>
      <c r="C335" s="5">
        <v>322.5</v>
      </c>
      <c r="D335" s="5">
        <v>328.1</v>
      </c>
      <c r="E335" s="5">
        <v>312.3</v>
      </c>
      <c r="F335" s="5">
        <v>314.7</v>
      </c>
      <c r="G335" s="6">
        <v>22</v>
      </c>
      <c r="H335" s="7">
        <v>57434</v>
      </c>
      <c r="I335" s="7">
        <f t="shared" si="5"/>
        <v>2610.6363636363635</v>
      </c>
      <c r="J335" s="7">
        <v>22875</v>
      </c>
      <c r="K335" s="7">
        <v>623</v>
      </c>
    </row>
    <row r="336" spans="1:11" ht="13.5" customHeight="1" x14ac:dyDescent="0.15">
      <c r="A336" s="4">
        <v>29495</v>
      </c>
      <c r="B336" s="6">
        <v>6</v>
      </c>
      <c r="C336" s="5">
        <v>312.89999999999998</v>
      </c>
      <c r="D336" s="5">
        <v>312.89999999999998</v>
      </c>
      <c r="E336" s="5">
        <v>302</v>
      </c>
      <c r="F336" s="5">
        <v>305.5</v>
      </c>
      <c r="G336" s="6">
        <v>24</v>
      </c>
      <c r="H336" s="7">
        <v>50301</v>
      </c>
      <c r="I336" s="7">
        <f t="shared" si="5"/>
        <v>2095.875</v>
      </c>
      <c r="J336" s="7">
        <v>20880</v>
      </c>
      <c r="K336" s="7">
        <v>474</v>
      </c>
    </row>
    <row r="337" spans="1:11" ht="13.5" customHeight="1" x14ac:dyDescent="0.15">
      <c r="A337" s="4">
        <v>29526</v>
      </c>
      <c r="B337" s="6">
        <v>6</v>
      </c>
      <c r="C337" s="5">
        <v>304.3</v>
      </c>
      <c r="D337" s="5">
        <v>314.10000000000002</v>
      </c>
      <c r="E337" s="5">
        <v>303.89999999999998</v>
      </c>
      <c r="F337" s="5">
        <v>312.2</v>
      </c>
      <c r="G337" s="6">
        <v>21</v>
      </c>
      <c r="H337" s="7">
        <v>26045</v>
      </c>
      <c r="I337" s="7">
        <f t="shared" si="5"/>
        <v>1240.2380952380952</v>
      </c>
      <c r="J337" s="7">
        <v>18552</v>
      </c>
      <c r="K337" s="7">
        <v>1151</v>
      </c>
    </row>
    <row r="338" spans="1:11" ht="13.5" customHeight="1" x14ac:dyDescent="0.15">
      <c r="A338" s="4">
        <v>29556</v>
      </c>
      <c r="B338" s="6">
        <v>6</v>
      </c>
      <c r="C338" s="5">
        <v>315.10000000000002</v>
      </c>
      <c r="D338" s="5">
        <v>315.2</v>
      </c>
      <c r="E338" s="5">
        <v>284.3</v>
      </c>
      <c r="F338" s="5">
        <v>290.89999999999998</v>
      </c>
      <c r="G338" s="6">
        <v>22</v>
      </c>
      <c r="H338" s="7">
        <v>57648</v>
      </c>
      <c r="I338" s="7">
        <f t="shared" si="5"/>
        <v>2620.3636363636365</v>
      </c>
      <c r="J338" s="7">
        <v>17399</v>
      </c>
      <c r="K338" s="7">
        <v>1243</v>
      </c>
    </row>
    <row r="339" spans="1:11" ht="13.5" customHeight="1" x14ac:dyDescent="0.15">
      <c r="A339" s="4">
        <v>29587</v>
      </c>
      <c r="B339" s="6">
        <v>6</v>
      </c>
      <c r="C339" s="5">
        <v>283.2</v>
      </c>
      <c r="D339" s="5">
        <v>283.2</v>
      </c>
      <c r="E339" s="5">
        <v>262.89999999999998</v>
      </c>
      <c r="F339" s="5">
        <v>273.89999999999998</v>
      </c>
      <c r="G339" s="6">
        <v>22</v>
      </c>
      <c r="H339" s="7">
        <v>55274</v>
      </c>
      <c r="I339" s="7">
        <f t="shared" si="5"/>
        <v>2512.4545454545455</v>
      </c>
      <c r="J339" s="7">
        <v>17130</v>
      </c>
      <c r="K339" s="7">
        <v>1014</v>
      </c>
    </row>
    <row r="340" spans="1:11" ht="13.5" customHeight="1" x14ac:dyDescent="0.15">
      <c r="A340" s="4">
        <v>29618</v>
      </c>
      <c r="B340" s="6">
        <v>6</v>
      </c>
      <c r="C340" s="5">
        <v>274.60000000000002</v>
      </c>
      <c r="D340" s="5">
        <v>274.60000000000002</v>
      </c>
      <c r="E340" s="5">
        <v>250</v>
      </c>
      <c r="F340" s="5">
        <v>259.3</v>
      </c>
      <c r="G340" s="6">
        <v>21</v>
      </c>
      <c r="H340" s="7">
        <v>54448</v>
      </c>
      <c r="I340" s="7">
        <f t="shared" si="5"/>
        <v>2592.7619047619046</v>
      </c>
      <c r="J340" s="7">
        <v>17478</v>
      </c>
      <c r="K340" s="7">
        <v>866</v>
      </c>
    </row>
    <row r="341" spans="1:11" ht="13.5" customHeight="1" x14ac:dyDescent="0.15">
      <c r="A341" s="4">
        <v>29646</v>
      </c>
      <c r="B341" s="6">
        <v>6</v>
      </c>
      <c r="C341" s="5">
        <v>257.39999999999998</v>
      </c>
      <c r="D341" s="5">
        <v>257.39999999999998</v>
      </c>
      <c r="E341" s="5">
        <v>244.1</v>
      </c>
      <c r="F341" s="5">
        <v>248</v>
      </c>
      <c r="G341" s="6">
        <v>24</v>
      </c>
      <c r="H341" s="7">
        <v>48912</v>
      </c>
      <c r="I341" s="7">
        <f t="shared" si="5"/>
        <v>2038</v>
      </c>
      <c r="J341" s="7">
        <v>17571</v>
      </c>
      <c r="K341" s="7">
        <v>552</v>
      </c>
    </row>
    <row r="342" spans="1:11" ht="13.5" customHeight="1" x14ac:dyDescent="0.15">
      <c r="A342" s="4">
        <v>29677</v>
      </c>
      <c r="B342" s="6">
        <v>6</v>
      </c>
      <c r="C342" s="5">
        <v>245.9</v>
      </c>
      <c r="D342" s="5">
        <v>260.89999999999998</v>
      </c>
      <c r="E342" s="5">
        <v>234.8</v>
      </c>
      <c r="F342" s="5">
        <v>253.5</v>
      </c>
      <c r="G342" s="6">
        <v>23</v>
      </c>
      <c r="H342" s="7">
        <v>67508</v>
      </c>
      <c r="I342" s="7">
        <f t="shared" si="5"/>
        <v>2935.1304347826085</v>
      </c>
      <c r="J342" s="7">
        <v>19027</v>
      </c>
      <c r="K342" s="7">
        <v>815</v>
      </c>
    </row>
    <row r="343" spans="1:11" ht="13.5" customHeight="1" x14ac:dyDescent="0.15">
      <c r="A343" s="4">
        <v>29707</v>
      </c>
      <c r="B343" s="6">
        <v>6</v>
      </c>
      <c r="C343" s="5">
        <v>259.10000000000002</v>
      </c>
      <c r="D343" s="5">
        <v>269.89999999999998</v>
      </c>
      <c r="E343" s="5">
        <v>251</v>
      </c>
      <c r="F343" s="5">
        <v>267.89999999999998</v>
      </c>
      <c r="G343" s="6">
        <v>22</v>
      </c>
      <c r="H343" s="7">
        <v>64073</v>
      </c>
      <c r="I343" s="7">
        <f t="shared" si="5"/>
        <v>2912.409090909091</v>
      </c>
      <c r="J343" s="7">
        <v>23190</v>
      </c>
      <c r="K343" s="7">
        <v>928</v>
      </c>
    </row>
    <row r="344" spans="1:11" ht="13.5" customHeight="1" x14ac:dyDescent="0.15">
      <c r="A344" s="4">
        <v>29738</v>
      </c>
      <c r="B344" s="6">
        <v>6</v>
      </c>
      <c r="C344" s="5">
        <v>268.60000000000002</v>
      </c>
      <c r="D344" s="5">
        <v>268.60000000000002</v>
      </c>
      <c r="E344" s="5">
        <v>240.6</v>
      </c>
      <c r="F344" s="5">
        <v>240.6</v>
      </c>
      <c r="G344" s="6">
        <v>24</v>
      </c>
      <c r="H344" s="7">
        <v>88099</v>
      </c>
      <c r="I344" s="7">
        <f t="shared" si="5"/>
        <v>3670.7916666666665</v>
      </c>
      <c r="J344" s="7">
        <v>23080</v>
      </c>
      <c r="K344" s="7">
        <v>543</v>
      </c>
    </row>
    <row r="345" spans="1:11" ht="13.5" customHeight="1" x14ac:dyDescent="0.15">
      <c r="A345" s="4">
        <v>29768</v>
      </c>
      <c r="B345" s="6">
        <v>6</v>
      </c>
      <c r="C345" s="5">
        <v>244.1</v>
      </c>
      <c r="D345" s="5">
        <v>244.1</v>
      </c>
      <c r="E345" s="5">
        <v>221.1</v>
      </c>
      <c r="F345" s="5">
        <v>243.7</v>
      </c>
      <c r="G345" s="6">
        <v>25</v>
      </c>
      <c r="H345" s="7">
        <v>118726</v>
      </c>
      <c r="I345" s="7">
        <f t="shared" si="5"/>
        <v>4749.04</v>
      </c>
      <c r="J345" s="7">
        <v>29013</v>
      </c>
      <c r="K345" s="7">
        <v>631</v>
      </c>
    </row>
    <row r="346" spans="1:11" ht="13.5" customHeight="1" x14ac:dyDescent="0.15">
      <c r="A346" s="4">
        <v>29799</v>
      </c>
      <c r="B346" s="6">
        <v>6</v>
      </c>
      <c r="C346" s="5">
        <v>246.7</v>
      </c>
      <c r="D346" s="5">
        <v>246.7</v>
      </c>
      <c r="E346" s="5">
        <v>213.7</v>
      </c>
      <c r="F346" s="5">
        <v>215.6</v>
      </c>
      <c r="G346" s="6">
        <v>24</v>
      </c>
      <c r="H346" s="7">
        <v>111266</v>
      </c>
      <c r="I346" s="7">
        <f t="shared" si="5"/>
        <v>4636.083333333333</v>
      </c>
      <c r="J346" s="7">
        <v>31451</v>
      </c>
      <c r="K346" s="7">
        <v>746</v>
      </c>
    </row>
    <row r="347" spans="1:11" ht="13.5" customHeight="1" x14ac:dyDescent="0.15">
      <c r="A347" s="4">
        <v>29830</v>
      </c>
      <c r="B347" s="6">
        <v>6</v>
      </c>
      <c r="C347" s="5">
        <v>217</v>
      </c>
      <c r="D347" s="5">
        <v>217.1</v>
      </c>
      <c r="E347" s="5">
        <v>177.2</v>
      </c>
      <c r="F347" s="5">
        <v>180.8</v>
      </c>
      <c r="G347" s="6">
        <v>22</v>
      </c>
      <c r="H347" s="7">
        <v>155620</v>
      </c>
      <c r="I347" s="7">
        <f t="shared" si="5"/>
        <v>7073.636363636364</v>
      </c>
      <c r="J347" s="7">
        <v>37956</v>
      </c>
      <c r="K347" s="7">
        <v>1182</v>
      </c>
    </row>
    <row r="348" spans="1:11" ht="13.5" customHeight="1" x14ac:dyDescent="0.15">
      <c r="A348" s="4">
        <v>29860</v>
      </c>
      <c r="B348" s="6">
        <v>6</v>
      </c>
      <c r="C348" s="5">
        <v>185.7</v>
      </c>
      <c r="D348" s="5">
        <v>204.6</v>
      </c>
      <c r="E348" s="5">
        <v>185.7</v>
      </c>
      <c r="F348" s="5">
        <v>194.9</v>
      </c>
      <c r="G348" s="6">
        <v>24</v>
      </c>
      <c r="H348" s="7">
        <v>169573</v>
      </c>
      <c r="I348" s="7">
        <f t="shared" si="5"/>
        <v>7065.541666666667</v>
      </c>
      <c r="J348" s="7">
        <v>49168</v>
      </c>
      <c r="K348" s="7">
        <v>980</v>
      </c>
    </row>
    <row r="349" spans="1:11" ht="13.5" customHeight="1" x14ac:dyDescent="0.15">
      <c r="A349" s="4">
        <v>29891</v>
      </c>
      <c r="B349" s="6">
        <v>6</v>
      </c>
      <c r="C349" s="5">
        <v>193.6</v>
      </c>
      <c r="D349" s="5">
        <v>195.9</v>
      </c>
      <c r="E349" s="5">
        <v>165.8</v>
      </c>
      <c r="F349" s="5">
        <v>165.8</v>
      </c>
      <c r="G349" s="6">
        <v>21</v>
      </c>
      <c r="H349" s="7">
        <v>214125</v>
      </c>
      <c r="I349" s="7">
        <f t="shared" si="5"/>
        <v>10196.428571428571</v>
      </c>
      <c r="J349" s="7">
        <v>50415</v>
      </c>
      <c r="K349" s="7">
        <v>427</v>
      </c>
    </row>
    <row r="350" spans="1:11" ht="13.5" customHeight="1" x14ac:dyDescent="0.15">
      <c r="A350" s="4">
        <v>29921</v>
      </c>
      <c r="B350" s="6">
        <v>6</v>
      </c>
      <c r="C350" s="5">
        <v>166.1</v>
      </c>
      <c r="D350" s="5">
        <v>190.4</v>
      </c>
      <c r="E350" s="5">
        <v>165</v>
      </c>
      <c r="F350" s="5">
        <v>188.9</v>
      </c>
      <c r="G350" s="6">
        <v>22</v>
      </c>
      <c r="H350" s="7">
        <v>218600</v>
      </c>
      <c r="I350" s="7">
        <f t="shared" si="5"/>
        <v>9936.363636363636</v>
      </c>
      <c r="J350" s="7">
        <v>49581</v>
      </c>
      <c r="K350" s="7">
        <v>1199</v>
      </c>
    </row>
    <row r="351" spans="1:11" ht="13.5" customHeight="1" x14ac:dyDescent="0.15">
      <c r="A351" s="4">
        <v>29952</v>
      </c>
      <c r="B351" s="6">
        <v>6</v>
      </c>
      <c r="C351" s="5">
        <v>184.6</v>
      </c>
      <c r="D351" s="5">
        <v>194.3</v>
      </c>
      <c r="E351" s="5">
        <v>178.6</v>
      </c>
      <c r="F351" s="5">
        <v>188.9</v>
      </c>
      <c r="G351" s="6">
        <v>22</v>
      </c>
      <c r="H351" s="7">
        <v>144319</v>
      </c>
      <c r="I351" s="7">
        <f t="shared" si="5"/>
        <v>6559.954545454545</v>
      </c>
      <c r="J351" s="7">
        <v>50996</v>
      </c>
      <c r="K351" s="7">
        <v>615</v>
      </c>
    </row>
    <row r="352" spans="1:11" ht="13.5" customHeight="1" x14ac:dyDescent="0.15">
      <c r="A352" s="4">
        <v>29983</v>
      </c>
      <c r="B352" s="6">
        <v>6</v>
      </c>
      <c r="C352" s="5">
        <v>191.1</v>
      </c>
      <c r="D352" s="5">
        <v>193.2</v>
      </c>
      <c r="E352" s="5">
        <v>182.7</v>
      </c>
      <c r="F352" s="5">
        <v>186.1</v>
      </c>
      <c r="G352" s="6">
        <v>21</v>
      </c>
      <c r="H352" s="7">
        <v>124967</v>
      </c>
      <c r="I352" s="7">
        <f t="shared" si="5"/>
        <v>5950.8095238095239</v>
      </c>
      <c r="J352" s="7">
        <v>49381</v>
      </c>
      <c r="K352" s="7">
        <v>753</v>
      </c>
    </row>
    <row r="353" spans="1:11" ht="13.5" customHeight="1" x14ac:dyDescent="0.15">
      <c r="A353" s="4">
        <v>30011</v>
      </c>
      <c r="B353" s="6">
        <v>6</v>
      </c>
      <c r="C353" s="5">
        <v>187.3</v>
      </c>
      <c r="D353" s="5">
        <v>199.9</v>
      </c>
      <c r="E353" s="5">
        <v>185.6</v>
      </c>
      <c r="F353" s="5">
        <v>198.3</v>
      </c>
      <c r="G353" s="6">
        <v>24</v>
      </c>
      <c r="H353" s="7">
        <v>134119</v>
      </c>
      <c r="I353" s="7">
        <f t="shared" si="5"/>
        <v>5588.291666666667</v>
      </c>
      <c r="J353" s="7">
        <v>45483</v>
      </c>
      <c r="K353" s="7">
        <v>1274</v>
      </c>
    </row>
    <row r="354" spans="1:11" ht="13.5" customHeight="1" x14ac:dyDescent="0.15">
      <c r="A354" s="4">
        <v>30042</v>
      </c>
      <c r="B354" s="6">
        <v>6</v>
      </c>
      <c r="C354" s="5">
        <v>202.2</v>
      </c>
      <c r="D354" s="5">
        <v>202.2</v>
      </c>
      <c r="E354" s="5">
        <v>185</v>
      </c>
      <c r="F354" s="5">
        <v>188.9</v>
      </c>
      <c r="G354" s="6">
        <v>23</v>
      </c>
      <c r="H354" s="7">
        <v>150974</v>
      </c>
      <c r="I354" s="7">
        <f t="shared" si="5"/>
        <v>6564.086956521739</v>
      </c>
      <c r="J354" s="7">
        <v>46841</v>
      </c>
      <c r="K354" s="7">
        <v>381</v>
      </c>
    </row>
    <row r="355" spans="1:11" ht="13.5" customHeight="1" x14ac:dyDescent="0.15">
      <c r="A355" s="4">
        <v>30072</v>
      </c>
      <c r="B355" s="6">
        <v>6</v>
      </c>
      <c r="C355" s="5">
        <v>190</v>
      </c>
      <c r="D355" s="5">
        <v>193.3</v>
      </c>
      <c r="E355" s="5">
        <v>183.9</v>
      </c>
      <c r="F355" s="5">
        <v>193</v>
      </c>
      <c r="G355" s="6">
        <v>22</v>
      </c>
      <c r="H355" s="7">
        <v>112754</v>
      </c>
      <c r="I355" s="7">
        <f t="shared" si="5"/>
        <v>5125.181818181818</v>
      </c>
      <c r="J355" s="7">
        <v>44646</v>
      </c>
      <c r="K355" s="7">
        <v>476</v>
      </c>
    </row>
    <row r="356" spans="1:11" ht="13.5" customHeight="1" x14ac:dyDescent="0.15">
      <c r="A356" s="4">
        <v>30103</v>
      </c>
      <c r="B356" s="6">
        <v>6</v>
      </c>
      <c r="C356" s="5">
        <v>193</v>
      </c>
      <c r="D356" s="5">
        <v>200</v>
      </c>
      <c r="E356" s="5">
        <v>190.3</v>
      </c>
      <c r="F356" s="5">
        <v>198.2</v>
      </c>
      <c r="G356" s="6">
        <v>24</v>
      </c>
      <c r="H356" s="7">
        <v>114239</v>
      </c>
      <c r="I356" s="7">
        <f t="shared" si="5"/>
        <v>4759.958333333333</v>
      </c>
      <c r="J356" s="7">
        <v>41133</v>
      </c>
      <c r="K356" s="7">
        <v>495</v>
      </c>
    </row>
    <row r="357" spans="1:11" ht="13.5" customHeight="1" x14ac:dyDescent="0.15">
      <c r="A357" s="4">
        <v>30133</v>
      </c>
      <c r="B357" s="6">
        <v>6</v>
      </c>
      <c r="C357" s="5">
        <v>201.1</v>
      </c>
      <c r="D357" s="5">
        <v>207.3</v>
      </c>
      <c r="E357" s="5">
        <v>200.5</v>
      </c>
      <c r="F357" s="5">
        <v>205.4</v>
      </c>
      <c r="G357" s="6">
        <v>25</v>
      </c>
      <c r="H357" s="7">
        <v>131161</v>
      </c>
      <c r="I357" s="7">
        <f t="shared" si="5"/>
        <v>5246.44</v>
      </c>
      <c r="J357" s="7">
        <v>42726</v>
      </c>
      <c r="K357" s="7">
        <v>560</v>
      </c>
    </row>
    <row r="358" spans="1:11" ht="13.5" customHeight="1" x14ac:dyDescent="0.15">
      <c r="A358" s="4">
        <v>30164</v>
      </c>
      <c r="B358" s="6">
        <v>6</v>
      </c>
      <c r="C358" s="5">
        <v>207</v>
      </c>
      <c r="D358" s="5">
        <v>213.4</v>
      </c>
      <c r="E358" s="5">
        <v>203.6</v>
      </c>
      <c r="F358" s="5">
        <v>205.5</v>
      </c>
      <c r="G358" s="6">
        <v>24</v>
      </c>
      <c r="H358" s="7">
        <v>144459</v>
      </c>
      <c r="I358" s="7">
        <f t="shared" si="5"/>
        <v>6019.125</v>
      </c>
      <c r="J358" s="7">
        <v>44265</v>
      </c>
      <c r="K358" s="7">
        <v>850</v>
      </c>
    </row>
    <row r="359" spans="1:11" ht="13.5" customHeight="1" x14ac:dyDescent="0.15">
      <c r="A359" s="4">
        <v>30195</v>
      </c>
      <c r="B359" s="6">
        <v>6</v>
      </c>
      <c r="C359" s="5">
        <v>205.1</v>
      </c>
      <c r="D359" s="5">
        <v>220.1</v>
      </c>
      <c r="E359" s="5">
        <v>203.9</v>
      </c>
      <c r="F359" s="5">
        <v>219.3</v>
      </c>
      <c r="G359" s="6">
        <v>22</v>
      </c>
      <c r="H359" s="7">
        <v>162675</v>
      </c>
      <c r="I359" s="7">
        <f t="shared" si="5"/>
        <v>7394.318181818182</v>
      </c>
      <c r="J359" s="7">
        <v>42992</v>
      </c>
      <c r="K359" s="7">
        <v>566</v>
      </c>
    </row>
    <row r="360" spans="1:11" ht="13.5" customHeight="1" x14ac:dyDescent="0.15">
      <c r="A360" s="4">
        <v>30225</v>
      </c>
      <c r="B360" s="6">
        <v>6</v>
      </c>
      <c r="C360" s="5">
        <v>219.6</v>
      </c>
      <c r="D360" s="5">
        <v>225.4</v>
      </c>
      <c r="E360" s="5">
        <v>216</v>
      </c>
      <c r="F360" s="5">
        <v>221.7</v>
      </c>
      <c r="G360" s="6">
        <v>23</v>
      </c>
      <c r="H360" s="7">
        <v>160937</v>
      </c>
      <c r="I360" s="7">
        <f t="shared" si="5"/>
        <v>6997.260869565217</v>
      </c>
      <c r="J360" s="7">
        <v>46109</v>
      </c>
      <c r="K360" s="7">
        <v>623</v>
      </c>
    </row>
    <row r="361" spans="1:11" ht="13.5" customHeight="1" x14ac:dyDescent="0.15">
      <c r="A361" s="4">
        <v>30256</v>
      </c>
      <c r="B361" s="6">
        <v>6</v>
      </c>
      <c r="C361" s="5">
        <v>222.1</v>
      </c>
      <c r="D361" s="5">
        <v>222.7</v>
      </c>
      <c r="E361" s="5">
        <v>200.1</v>
      </c>
      <c r="F361" s="5">
        <v>202.5</v>
      </c>
      <c r="G361" s="6">
        <v>22</v>
      </c>
      <c r="H361" s="7">
        <v>168897</v>
      </c>
      <c r="I361" s="7">
        <f t="shared" si="5"/>
        <v>7677.136363636364</v>
      </c>
      <c r="J361" s="7">
        <v>43318</v>
      </c>
      <c r="K361" s="7">
        <v>631</v>
      </c>
    </row>
    <row r="362" spans="1:11" ht="13.5" customHeight="1" x14ac:dyDescent="0.15">
      <c r="A362" s="4">
        <v>30286</v>
      </c>
      <c r="B362" s="6">
        <v>6</v>
      </c>
      <c r="C362" s="5">
        <v>200.9</v>
      </c>
      <c r="D362" s="5">
        <v>202.6</v>
      </c>
      <c r="E362" s="5">
        <v>175.1</v>
      </c>
      <c r="F362" s="5">
        <v>177.9</v>
      </c>
      <c r="G362" s="6">
        <v>22</v>
      </c>
      <c r="H362" s="7">
        <v>184157</v>
      </c>
      <c r="I362" s="7">
        <f t="shared" si="5"/>
        <v>8370.7727272727279</v>
      </c>
      <c r="J362" s="7">
        <v>41748</v>
      </c>
      <c r="K362" s="7">
        <v>544</v>
      </c>
    </row>
    <row r="363" spans="1:11" ht="13.5" customHeight="1" x14ac:dyDescent="0.15">
      <c r="A363" s="4">
        <v>30317</v>
      </c>
      <c r="B363" s="6">
        <v>6</v>
      </c>
      <c r="C363" s="5">
        <v>170.9</v>
      </c>
      <c r="D363" s="5">
        <v>194.8</v>
      </c>
      <c r="E363" s="5">
        <v>170.8</v>
      </c>
      <c r="F363" s="5">
        <v>194.8</v>
      </c>
      <c r="G363" s="6">
        <v>23</v>
      </c>
      <c r="H363" s="7">
        <v>179504</v>
      </c>
      <c r="I363" s="7">
        <f t="shared" si="5"/>
        <v>7804.521739130435</v>
      </c>
      <c r="J363" s="7">
        <v>45684</v>
      </c>
      <c r="K363" s="7">
        <v>449</v>
      </c>
    </row>
    <row r="364" spans="1:11" ht="13.5" customHeight="1" x14ac:dyDescent="0.15">
      <c r="A364" s="4">
        <v>30348</v>
      </c>
      <c r="B364" s="6">
        <v>6</v>
      </c>
      <c r="C364" s="5">
        <v>196.6</v>
      </c>
      <c r="D364" s="5">
        <v>230.8</v>
      </c>
      <c r="E364" s="5">
        <v>192.4</v>
      </c>
      <c r="F364" s="5">
        <v>221</v>
      </c>
      <c r="G364" s="6">
        <v>21</v>
      </c>
      <c r="H364" s="7">
        <v>282382</v>
      </c>
      <c r="I364" s="7">
        <f t="shared" si="5"/>
        <v>13446.761904761905</v>
      </c>
      <c r="J364" s="7">
        <v>49997</v>
      </c>
      <c r="K364" s="7">
        <v>425</v>
      </c>
    </row>
    <row r="365" spans="1:11" ht="13.5" customHeight="1" x14ac:dyDescent="0.15">
      <c r="A365" s="4">
        <v>30376</v>
      </c>
      <c r="B365" s="6">
        <v>6</v>
      </c>
      <c r="C365" s="5">
        <v>219.5</v>
      </c>
      <c r="D365" s="5">
        <v>260.2</v>
      </c>
      <c r="E365" s="5">
        <v>217.8</v>
      </c>
      <c r="F365" s="5">
        <v>258.3</v>
      </c>
      <c r="G365" s="6">
        <v>24</v>
      </c>
      <c r="H365" s="7">
        <v>371226</v>
      </c>
      <c r="I365" s="7">
        <f>H365/G365</f>
        <v>15467.75</v>
      </c>
      <c r="J365" s="7">
        <v>69345</v>
      </c>
      <c r="K365" s="7">
        <v>722</v>
      </c>
    </row>
    <row r="366" spans="1:11" ht="13.5" customHeight="1" x14ac:dyDescent="0.15">
      <c r="A366" s="4">
        <v>30407</v>
      </c>
      <c r="B366" s="6">
        <v>6</v>
      </c>
      <c r="C366" s="5">
        <v>258</v>
      </c>
      <c r="D366" s="5">
        <v>265.3</v>
      </c>
      <c r="E366" s="5">
        <v>245.5</v>
      </c>
      <c r="F366" s="5">
        <v>250.7</v>
      </c>
      <c r="G366" s="6">
        <v>23</v>
      </c>
      <c r="H366" s="7">
        <v>289908</v>
      </c>
      <c r="I366" s="7">
        <f t="shared" si="5"/>
        <v>12604.695652173914</v>
      </c>
      <c r="J366" s="7">
        <v>63236</v>
      </c>
      <c r="K366" s="7">
        <v>1007</v>
      </c>
    </row>
    <row r="367" spans="1:11" ht="13.5" customHeight="1" x14ac:dyDescent="0.15">
      <c r="A367" s="4">
        <v>30437</v>
      </c>
      <c r="B367" s="6">
        <v>6</v>
      </c>
      <c r="C367" s="5">
        <v>251.6</v>
      </c>
      <c r="D367" s="5">
        <v>253</v>
      </c>
      <c r="E367" s="5">
        <v>235.9</v>
      </c>
      <c r="F367" s="5">
        <v>247.8</v>
      </c>
      <c r="G367" s="6">
        <v>22</v>
      </c>
      <c r="H367" s="7">
        <v>168725</v>
      </c>
      <c r="I367" s="7">
        <f t="shared" si="5"/>
        <v>7669.318181818182</v>
      </c>
      <c r="J367" s="7">
        <v>54930</v>
      </c>
      <c r="K367" s="7">
        <v>753</v>
      </c>
    </row>
    <row r="368" spans="1:11" ht="13.5" customHeight="1" x14ac:dyDescent="0.15">
      <c r="A368" s="4">
        <v>30468</v>
      </c>
      <c r="B368" s="6">
        <v>6</v>
      </c>
      <c r="C368" s="5">
        <v>252.1</v>
      </c>
      <c r="D368" s="5">
        <v>269.8</v>
      </c>
      <c r="E368" s="5">
        <v>249.4</v>
      </c>
      <c r="F368" s="5">
        <v>261.39999999999998</v>
      </c>
      <c r="G368" s="6">
        <v>24</v>
      </c>
      <c r="H368" s="7">
        <v>233243</v>
      </c>
      <c r="I368" s="7">
        <f t="shared" si="5"/>
        <v>9718.4583333333339</v>
      </c>
      <c r="J368" s="7">
        <v>53764</v>
      </c>
      <c r="K368" s="7">
        <v>759</v>
      </c>
    </row>
    <row r="369" spans="1:12" ht="13.5" customHeight="1" x14ac:dyDescent="0.15">
      <c r="A369" s="4">
        <v>30498</v>
      </c>
      <c r="B369" s="6">
        <v>6</v>
      </c>
      <c r="C369" s="5">
        <v>263</v>
      </c>
      <c r="D369" s="5">
        <v>287.3</v>
      </c>
      <c r="E369" s="5">
        <v>261.60000000000002</v>
      </c>
      <c r="F369" s="5">
        <v>286.39999999999998</v>
      </c>
      <c r="G369" s="6">
        <v>24</v>
      </c>
      <c r="H369" s="7">
        <v>200097</v>
      </c>
      <c r="I369" s="7">
        <f t="shared" si="5"/>
        <v>8337.375</v>
      </c>
      <c r="J369" s="7">
        <v>47623</v>
      </c>
      <c r="K369" s="7">
        <v>730</v>
      </c>
    </row>
    <row r="370" spans="1:12" ht="13.5" customHeight="1" x14ac:dyDescent="0.15">
      <c r="A370" s="4">
        <v>30529</v>
      </c>
      <c r="B370" s="6">
        <v>6</v>
      </c>
      <c r="C370" s="5">
        <v>287.8</v>
      </c>
      <c r="D370" s="5">
        <v>292.39999999999998</v>
      </c>
      <c r="E370" s="5">
        <v>271.10000000000002</v>
      </c>
      <c r="F370" s="5">
        <v>279.39999999999998</v>
      </c>
      <c r="G370" s="6">
        <v>25</v>
      </c>
      <c r="H370" s="7">
        <v>140119</v>
      </c>
      <c r="I370" s="7">
        <f t="shared" si="5"/>
        <v>5604.76</v>
      </c>
      <c r="J370" s="7">
        <v>43928</v>
      </c>
      <c r="K370" s="7">
        <v>647</v>
      </c>
    </row>
    <row r="371" spans="1:12" ht="13.5" customHeight="1" x14ac:dyDescent="0.15">
      <c r="A371" s="4">
        <v>30560</v>
      </c>
      <c r="B371" s="6">
        <v>6</v>
      </c>
      <c r="C371" s="5">
        <v>282.3</v>
      </c>
      <c r="D371" s="5">
        <v>284.3</v>
      </c>
      <c r="E371" s="5">
        <v>255.3</v>
      </c>
      <c r="F371" s="5">
        <v>261.2</v>
      </c>
      <c r="G371" s="6">
        <v>22</v>
      </c>
      <c r="H371" s="7">
        <v>154363</v>
      </c>
      <c r="I371" s="7">
        <f t="shared" si="5"/>
        <v>7016.5</v>
      </c>
      <c r="J371" s="7">
        <v>37354</v>
      </c>
      <c r="K371" s="7">
        <v>766</v>
      </c>
    </row>
    <row r="372" spans="1:12" ht="13.5" customHeight="1" x14ac:dyDescent="0.15">
      <c r="A372" s="4">
        <v>30590</v>
      </c>
      <c r="B372" s="6">
        <v>6</v>
      </c>
      <c r="C372" s="5">
        <v>263.39999999999998</v>
      </c>
      <c r="D372" s="5">
        <v>266.2</v>
      </c>
      <c r="E372" s="5">
        <v>251.8</v>
      </c>
      <c r="F372" s="5">
        <v>261.89999999999998</v>
      </c>
      <c r="G372" s="6">
        <v>22</v>
      </c>
      <c r="H372" s="7">
        <v>112239</v>
      </c>
      <c r="I372" s="7">
        <f t="shared" si="5"/>
        <v>5101.772727272727</v>
      </c>
      <c r="J372" s="7">
        <v>37108</v>
      </c>
      <c r="K372" s="7">
        <v>563</v>
      </c>
    </row>
    <row r="373" spans="1:12" ht="13.5" customHeight="1" x14ac:dyDescent="0.15">
      <c r="A373" s="4">
        <v>30621</v>
      </c>
      <c r="B373" s="6">
        <v>6</v>
      </c>
      <c r="C373" s="5">
        <v>261.39999999999998</v>
      </c>
      <c r="D373" s="5">
        <v>275.8</v>
      </c>
      <c r="E373" s="5">
        <v>261.39999999999998</v>
      </c>
      <c r="F373" s="5">
        <v>270.3</v>
      </c>
      <c r="G373" s="6">
        <v>22</v>
      </c>
      <c r="H373" s="7">
        <v>92604</v>
      </c>
      <c r="I373" s="7">
        <f t="shared" si="5"/>
        <v>4209.272727272727</v>
      </c>
      <c r="J373" s="7">
        <v>37187</v>
      </c>
      <c r="K373" s="7">
        <v>585</v>
      </c>
    </row>
    <row r="374" spans="1:12" ht="13.5" customHeight="1" x14ac:dyDescent="0.15">
      <c r="A374" s="4">
        <v>30651</v>
      </c>
      <c r="B374" s="6">
        <v>6</v>
      </c>
      <c r="C374" s="5">
        <v>267.60000000000002</v>
      </c>
      <c r="D374" s="5">
        <v>270</v>
      </c>
      <c r="E374" s="5">
        <v>259.7</v>
      </c>
      <c r="F374" s="5">
        <v>267.5</v>
      </c>
      <c r="G374" s="6">
        <v>22</v>
      </c>
      <c r="H374" s="7">
        <v>87751</v>
      </c>
      <c r="I374" s="7">
        <f t="shared" si="5"/>
        <v>3988.681818181818</v>
      </c>
      <c r="J374" s="7">
        <v>35759</v>
      </c>
      <c r="K374" s="7">
        <v>802</v>
      </c>
    </row>
    <row r="375" spans="1:12" ht="13.5" customHeight="1" x14ac:dyDescent="0.15">
      <c r="A375" s="4">
        <v>30682</v>
      </c>
      <c r="B375" s="6">
        <v>9</v>
      </c>
      <c r="C375" s="5">
        <v>270</v>
      </c>
      <c r="D375" s="5">
        <v>281.89999999999998</v>
      </c>
      <c r="E375" s="5">
        <v>268.60000000000002</v>
      </c>
      <c r="F375" s="5">
        <v>281.5</v>
      </c>
      <c r="G375" s="6">
        <v>21</v>
      </c>
      <c r="H375" s="7">
        <v>96996</v>
      </c>
      <c r="I375" s="7">
        <f t="shared" si="5"/>
        <v>4618.8571428571431</v>
      </c>
      <c r="J375" s="7">
        <v>34863</v>
      </c>
      <c r="K375" s="7">
        <v>724</v>
      </c>
      <c r="L375" s="13" t="s">
        <v>20</v>
      </c>
    </row>
    <row r="376" spans="1:12" ht="13.5" customHeight="1" x14ac:dyDescent="0.15">
      <c r="A376" s="4">
        <v>30713</v>
      </c>
      <c r="B376" s="6">
        <v>9</v>
      </c>
      <c r="C376" s="5">
        <v>284</v>
      </c>
      <c r="D376" s="5">
        <v>288.60000000000002</v>
      </c>
      <c r="E376" s="5">
        <v>270.8</v>
      </c>
      <c r="F376" s="5">
        <v>273.60000000000002</v>
      </c>
      <c r="G376" s="6">
        <v>23</v>
      </c>
      <c r="H376" s="7">
        <v>120638</v>
      </c>
      <c r="I376" s="7">
        <f t="shared" si="5"/>
        <v>5245.130434782609</v>
      </c>
      <c r="J376" s="7">
        <v>37443</v>
      </c>
      <c r="K376" s="7">
        <v>830</v>
      </c>
    </row>
    <row r="377" spans="1:12" ht="13.5" customHeight="1" x14ac:dyDescent="0.15">
      <c r="A377" s="4">
        <v>30742</v>
      </c>
      <c r="B377" s="6">
        <v>9</v>
      </c>
      <c r="C377" s="5">
        <v>273.5</v>
      </c>
      <c r="D377" s="5">
        <v>274.7</v>
      </c>
      <c r="E377" s="5">
        <v>247.4</v>
      </c>
      <c r="F377" s="5">
        <v>255.8</v>
      </c>
      <c r="G377" s="6">
        <v>24</v>
      </c>
      <c r="H377" s="7">
        <v>158456</v>
      </c>
      <c r="I377" s="7">
        <f t="shared" si="5"/>
        <v>6602.333333333333</v>
      </c>
      <c r="J377" s="7">
        <v>38685</v>
      </c>
      <c r="K377" s="7">
        <v>702</v>
      </c>
    </row>
    <row r="378" spans="1:12" ht="13.5" customHeight="1" x14ac:dyDescent="0.15">
      <c r="A378" s="4">
        <v>30773</v>
      </c>
      <c r="B378" s="6">
        <v>9</v>
      </c>
      <c r="C378" s="5">
        <v>256.89999999999998</v>
      </c>
      <c r="D378" s="5">
        <v>256.89999999999998</v>
      </c>
      <c r="E378" s="5">
        <v>236.9</v>
      </c>
      <c r="F378" s="5">
        <v>236.9</v>
      </c>
      <c r="G378" s="6">
        <v>22</v>
      </c>
      <c r="H378" s="7">
        <v>121643</v>
      </c>
      <c r="I378" s="7">
        <f t="shared" si="5"/>
        <v>5529.227272727273</v>
      </c>
      <c r="J378" s="7">
        <v>40831</v>
      </c>
      <c r="K378" s="7">
        <v>499</v>
      </c>
    </row>
    <row r="379" spans="1:12" ht="13.5" customHeight="1" x14ac:dyDescent="0.15">
      <c r="A379" s="4">
        <v>30803</v>
      </c>
      <c r="B379" s="6">
        <v>9</v>
      </c>
      <c r="C379" s="5">
        <v>235.8</v>
      </c>
      <c r="D379" s="5">
        <v>243.6</v>
      </c>
      <c r="E379" s="5">
        <v>223</v>
      </c>
      <c r="F379" s="5">
        <v>223</v>
      </c>
      <c r="G379" s="6">
        <v>23</v>
      </c>
      <c r="H379" s="7">
        <v>151343</v>
      </c>
      <c r="I379" s="7">
        <f t="shared" si="5"/>
        <v>6580.130434782609</v>
      </c>
      <c r="J379" s="7">
        <v>41670</v>
      </c>
      <c r="K379" s="7">
        <v>514</v>
      </c>
    </row>
    <row r="380" spans="1:12" ht="13.5" customHeight="1" x14ac:dyDescent="0.15">
      <c r="A380" s="4">
        <v>30834</v>
      </c>
      <c r="B380" s="6">
        <v>9</v>
      </c>
      <c r="C380" s="5">
        <v>224.8</v>
      </c>
      <c r="D380" s="5">
        <v>226.4</v>
      </c>
      <c r="E380" s="5">
        <v>207.8</v>
      </c>
      <c r="F380" s="5">
        <v>221.8</v>
      </c>
      <c r="G380" s="6">
        <v>24</v>
      </c>
      <c r="H380" s="7">
        <v>167373</v>
      </c>
      <c r="I380" s="7">
        <f t="shared" si="5"/>
        <v>6973.875</v>
      </c>
      <c r="J380" s="7">
        <v>41967</v>
      </c>
      <c r="K380" s="7">
        <v>614</v>
      </c>
    </row>
    <row r="381" spans="1:12" ht="13.5" customHeight="1" x14ac:dyDescent="0.15">
      <c r="A381" s="4">
        <v>30864</v>
      </c>
      <c r="B381" s="6">
        <v>9</v>
      </c>
      <c r="C381" s="5">
        <v>222.4</v>
      </c>
      <c r="D381" s="5">
        <v>230.4</v>
      </c>
      <c r="E381" s="5">
        <v>208.3</v>
      </c>
      <c r="F381" s="5">
        <v>224.1</v>
      </c>
      <c r="G381" s="6">
        <v>24</v>
      </c>
      <c r="H381" s="7">
        <v>158405</v>
      </c>
      <c r="I381" s="7">
        <f t="shared" si="5"/>
        <v>6600.208333333333</v>
      </c>
      <c r="J381" s="7">
        <v>47567</v>
      </c>
      <c r="K381" s="7">
        <v>500</v>
      </c>
    </row>
    <row r="382" spans="1:12" ht="13.5" customHeight="1" x14ac:dyDescent="0.15">
      <c r="A382" s="4">
        <v>30895</v>
      </c>
      <c r="B382" s="6">
        <v>9</v>
      </c>
      <c r="C382" s="5">
        <v>223.9</v>
      </c>
      <c r="D382" s="5">
        <v>226.5</v>
      </c>
      <c r="E382" s="5">
        <v>215.4</v>
      </c>
      <c r="F382" s="5">
        <v>222.5</v>
      </c>
      <c r="G382" s="6">
        <v>25</v>
      </c>
      <c r="H382" s="7">
        <v>96591</v>
      </c>
      <c r="I382" s="7">
        <f t="shared" si="5"/>
        <v>3863.64</v>
      </c>
      <c r="J382" s="7">
        <v>46248</v>
      </c>
      <c r="K382" s="7">
        <v>737</v>
      </c>
    </row>
    <row r="383" spans="1:12" ht="13.5" customHeight="1" x14ac:dyDescent="0.15">
      <c r="A383" s="4">
        <v>30926</v>
      </c>
      <c r="B383" s="6">
        <v>9</v>
      </c>
      <c r="C383" s="5">
        <v>223</v>
      </c>
      <c r="D383" s="5">
        <v>224.5</v>
      </c>
      <c r="E383" s="5">
        <v>202.2</v>
      </c>
      <c r="F383" s="5">
        <v>203.7</v>
      </c>
      <c r="G383" s="6">
        <v>21</v>
      </c>
      <c r="H383" s="7">
        <v>109545</v>
      </c>
      <c r="I383" s="7">
        <f t="shared" si="5"/>
        <v>5216.4285714285716</v>
      </c>
      <c r="J383" s="7">
        <v>44968</v>
      </c>
      <c r="K383" s="7">
        <v>596</v>
      </c>
    </row>
    <row r="384" spans="1:12" ht="13.5" customHeight="1" x14ac:dyDescent="0.15">
      <c r="A384" s="4">
        <v>30956</v>
      </c>
      <c r="B384" s="6">
        <v>9</v>
      </c>
      <c r="C384" s="5">
        <v>200.9</v>
      </c>
      <c r="D384" s="5">
        <v>204.1</v>
      </c>
      <c r="E384" s="5">
        <v>192</v>
      </c>
      <c r="F384" s="5">
        <v>200.8</v>
      </c>
      <c r="G384" s="6">
        <v>24</v>
      </c>
      <c r="H384" s="7">
        <v>126968</v>
      </c>
      <c r="I384" s="7">
        <f t="shared" si="5"/>
        <v>5290.333333333333</v>
      </c>
      <c r="J384" s="7">
        <v>46356</v>
      </c>
      <c r="K384" s="7">
        <v>788</v>
      </c>
    </row>
    <row r="385" spans="1:12" ht="13.5" customHeight="1" x14ac:dyDescent="0.15">
      <c r="A385" s="4">
        <v>30987</v>
      </c>
      <c r="B385" s="6">
        <v>9</v>
      </c>
      <c r="C385" s="5">
        <v>200.9</v>
      </c>
      <c r="D385" s="5">
        <v>200.9</v>
      </c>
      <c r="E385" s="5">
        <v>188.4</v>
      </c>
      <c r="F385" s="5">
        <v>194.5</v>
      </c>
      <c r="G385" s="6">
        <v>22</v>
      </c>
      <c r="H385" s="7">
        <v>94134</v>
      </c>
      <c r="I385" s="7">
        <f t="shared" si="5"/>
        <v>4278.818181818182</v>
      </c>
      <c r="J385" s="7">
        <v>41816</v>
      </c>
      <c r="K385" s="7">
        <v>594</v>
      </c>
      <c r="L385" s="13" t="s">
        <v>26</v>
      </c>
    </row>
    <row r="386" spans="1:12" ht="13.5" customHeight="1" x14ac:dyDescent="0.15">
      <c r="A386" s="4">
        <v>31017</v>
      </c>
      <c r="B386" s="6">
        <v>9</v>
      </c>
      <c r="C386" s="5">
        <v>196.2</v>
      </c>
      <c r="D386" s="5">
        <v>204.1</v>
      </c>
      <c r="E386" s="5">
        <v>196.2</v>
      </c>
      <c r="F386" s="5">
        <v>203.5</v>
      </c>
      <c r="G386" s="6">
        <v>21</v>
      </c>
      <c r="H386" s="7">
        <v>76217</v>
      </c>
      <c r="I386" s="7">
        <f t="shared" si="5"/>
        <v>3629.3809523809523</v>
      </c>
      <c r="J386" s="7">
        <v>40687</v>
      </c>
      <c r="K386" s="7">
        <v>590</v>
      </c>
    </row>
    <row r="387" spans="1:12" ht="13.5" customHeight="1" x14ac:dyDescent="0.15">
      <c r="A387" s="4">
        <v>31048</v>
      </c>
      <c r="B387" s="6">
        <v>9</v>
      </c>
      <c r="C387" s="5">
        <v>201.5</v>
      </c>
      <c r="D387" s="5">
        <v>202.9</v>
      </c>
      <c r="E387" s="5">
        <v>196.2</v>
      </c>
      <c r="F387" s="5">
        <v>201.5</v>
      </c>
      <c r="G387" s="6">
        <v>21</v>
      </c>
      <c r="H387" s="7">
        <v>50594</v>
      </c>
      <c r="I387" s="7">
        <f t="shared" ref="I387:I450" si="6">H387/G387</f>
        <v>2409.2380952380954</v>
      </c>
      <c r="J387" s="7">
        <v>38109</v>
      </c>
      <c r="K387" s="7">
        <v>785</v>
      </c>
    </row>
    <row r="388" spans="1:12" ht="13.5" customHeight="1" x14ac:dyDescent="0.15">
      <c r="A388" s="4">
        <v>31079</v>
      </c>
      <c r="B388" s="6">
        <v>9</v>
      </c>
      <c r="C388" s="5">
        <v>202.9</v>
      </c>
      <c r="D388" s="5">
        <v>211.1</v>
      </c>
      <c r="E388" s="5">
        <v>198.9</v>
      </c>
      <c r="F388" s="5">
        <v>198.9</v>
      </c>
      <c r="G388" s="6">
        <v>21</v>
      </c>
      <c r="H388" s="7">
        <v>79036</v>
      </c>
      <c r="I388" s="7">
        <f t="shared" si="6"/>
        <v>3763.6190476190477</v>
      </c>
      <c r="J388" s="7">
        <v>38109</v>
      </c>
      <c r="K388" s="7">
        <v>844</v>
      </c>
    </row>
    <row r="389" spans="1:12" ht="13.5" customHeight="1" x14ac:dyDescent="0.15">
      <c r="A389" s="4">
        <v>31107</v>
      </c>
      <c r="B389" s="6">
        <v>9</v>
      </c>
      <c r="C389" s="5">
        <v>198</v>
      </c>
      <c r="D389" s="5">
        <v>214</v>
      </c>
      <c r="E389" s="5">
        <v>197.1</v>
      </c>
      <c r="F389" s="5">
        <v>213.1</v>
      </c>
      <c r="G389" s="6">
        <v>23</v>
      </c>
      <c r="H389" s="7">
        <v>93346</v>
      </c>
      <c r="I389" s="7">
        <f t="shared" si="6"/>
        <v>4058.521739130435</v>
      </c>
      <c r="J389" s="7">
        <v>39471</v>
      </c>
      <c r="K389" s="7">
        <v>804</v>
      </c>
    </row>
    <row r="390" spans="1:12" ht="13.5" customHeight="1" x14ac:dyDescent="0.15">
      <c r="A390" s="4">
        <v>31138</v>
      </c>
      <c r="B390" s="6">
        <v>9</v>
      </c>
      <c r="C390" s="5">
        <v>214.5</v>
      </c>
      <c r="D390" s="5">
        <v>218.1</v>
      </c>
      <c r="E390" s="5">
        <v>208.6</v>
      </c>
      <c r="F390" s="5">
        <v>212.1</v>
      </c>
      <c r="G390" s="6">
        <v>23</v>
      </c>
      <c r="H390" s="7">
        <v>112120</v>
      </c>
      <c r="I390" s="7">
        <f t="shared" si="6"/>
        <v>4874.782608695652</v>
      </c>
      <c r="J390" s="7">
        <v>43833</v>
      </c>
      <c r="K390" s="7">
        <v>624</v>
      </c>
    </row>
    <row r="391" spans="1:12" ht="13.5" customHeight="1" x14ac:dyDescent="0.15">
      <c r="A391" s="4">
        <v>31168</v>
      </c>
      <c r="B391" s="6">
        <v>9</v>
      </c>
      <c r="C391" s="5">
        <v>212</v>
      </c>
      <c r="D391" s="5">
        <v>213.7</v>
      </c>
      <c r="E391" s="5">
        <v>207.5</v>
      </c>
      <c r="F391" s="5">
        <v>207.6</v>
      </c>
      <c r="G391" s="6">
        <v>23</v>
      </c>
      <c r="H391" s="7">
        <v>61362</v>
      </c>
      <c r="I391" s="7">
        <f t="shared" si="6"/>
        <v>2667.913043478261</v>
      </c>
      <c r="J391" s="7">
        <v>38650</v>
      </c>
      <c r="K391" s="7">
        <v>569</v>
      </c>
    </row>
    <row r="392" spans="1:12" ht="13.5" customHeight="1" x14ac:dyDescent="0.15">
      <c r="A392" s="4">
        <v>31199</v>
      </c>
      <c r="B392" s="6">
        <v>9</v>
      </c>
      <c r="C392" s="5">
        <v>207.3</v>
      </c>
      <c r="D392" s="5">
        <v>207.3</v>
      </c>
      <c r="E392" s="5">
        <v>202.3</v>
      </c>
      <c r="F392" s="5">
        <v>204.6</v>
      </c>
      <c r="G392" s="6">
        <v>23</v>
      </c>
      <c r="H392" s="7">
        <v>64765</v>
      </c>
      <c r="I392" s="7">
        <f t="shared" si="6"/>
        <v>2815.8695652173915</v>
      </c>
      <c r="J392" s="7">
        <v>34042</v>
      </c>
      <c r="K392" s="7">
        <v>733</v>
      </c>
    </row>
    <row r="393" spans="1:12" ht="13.5" customHeight="1" x14ac:dyDescent="0.15">
      <c r="A393" s="4">
        <v>31229</v>
      </c>
      <c r="B393" s="6">
        <v>9</v>
      </c>
      <c r="C393" s="5">
        <v>204.7</v>
      </c>
      <c r="D393" s="5">
        <v>205.2</v>
      </c>
      <c r="E393" s="5">
        <v>181.1</v>
      </c>
      <c r="F393" s="5">
        <v>182.8</v>
      </c>
      <c r="G393" s="6">
        <v>25</v>
      </c>
      <c r="H393" s="7">
        <v>109859</v>
      </c>
      <c r="I393" s="7">
        <f t="shared" si="6"/>
        <v>4394.3599999999997</v>
      </c>
      <c r="J393" s="7">
        <v>30005</v>
      </c>
      <c r="K393" s="7">
        <v>744</v>
      </c>
    </row>
    <row r="394" spans="1:12" ht="13.5" customHeight="1" x14ac:dyDescent="0.15">
      <c r="A394" s="4">
        <v>31260</v>
      </c>
      <c r="B394" s="6">
        <v>9</v>
      </c>
      <c r="C394" s="5">
        <v>183.4</v>
      </c>
      <c r="D394" s="5">
        <v>185.9</v>
      </c>
      <c r="E394" s="5">
        <v>172.9</v>
      </c>
      <c r="F394" s="5">
        <v>175.3</v>
      </c>
      <c r="G394" s="6">
        <v>25</v>
      </c>
      <c r="H394" s="7">
        <v>87978</v>
      </c>
      <c r="I394" s="7">
        <f t="shared" si="6"/>
        <v>3519.12</v>
      </c>
      <c r="J394" s="7">
        <v>31111</v>
      </c>
      <c r="K394" s="7">
        <v>701</v>
      </c>
    </row>
    <row r="395" spans="1:12" ht="13.5" customHeight="1" x14ac:dyDescent="0.15">
      <c r="A395" s="4">
        <v>31291</v>
      </c>
      <c r="B395" s="6">
        <v>9</v>
      </c>
      <c r="C395" s="5">
        <v>174.6</v>
      </c>
      <c r="D395" s="5">
        <v>184.5</v>
      </c>
      <c r="E395" s="5">
        <v>159.9</v>
      </c>
      <c r="F395" s="5">
        <v>159.9</v>
      </c>
      <c r="G395" s="6">
        <v>21</v>
      </c>
      <c r="H395" s="7">
        <v>114631</v>
      </c>
      <c r="I395" s="7">
        <f t="shared" si="6"/>
        <v>5458.6190476190477</v>
      </c>
      <c r="J395" s="7">
        <v>35830</v>
      </c>
      <c r="K395" s="7">
        <v>787</v>
      </c>
    </row>
    <row r="396" spans="1:12" ht="13.5" customHeight="1" x14ac:dyDescent="0.15">
      <c r="A396" s="4">
        <v>31321</v>
      </c>
      <c r="B396" s="6">
        <v>9</v>
      </c>
      <c r="C396" s="5">
        <v>163.80000000000001</v>
      </c>
      <c r="D396" s="5">
        <v>169.8</v>
      </c>
      <c r="E396" s="5">
        <v>158.69999999999999</v>
      </c>
      <c r="F396" s="5">
        <v>159.1</v>
      </c>
      <c r="G396" s="6">
        <v>24</v>
      </c>
      <c r="H396" s="7">
        <v>103808</v>
      </c>
      <c r="I396" s="7">
        <f t="shared" si="6"/>
        <v>4325.333333333333</v>
      </c>
      <c r="J396" s="7">
        <v>34135</v>
      </c>
      <c r="K396" s="7">
        <v>581</v>
      </c>
    </row>
    <row r="397" spans="1:12" ht="13.5" customHeight="1" x14ac:dyDescent="0.15">
      <c r="A397" s="4">
        <v>31352</v>
      </c>
      <c r="B397" s="6">
        <v>9</v>
      </c>
      <c r="C397" s="5">
        <v>156.9</v>
      </c>
      <c r="D397" s="5">
        <v>157.19999999999999</v>
      </c>
      <c r="E397" s="5">
        <v>145.30000000000001</v>
      </c>
      <c r="F397" s="5">
        <v>151.6</v>
      </c>
      <c r="G397" s="6">
        <v>23</v>
      </c>
      <c r="H397" s="7">
        <v>128100</v>
      </c>
      <c r="I397" s="7">
        <f t="shared" si="6"/>
        <v>5569.565217391304</v>
      </c>
      <c r="J397" s="7">
        <v>38692</v>
      </c>
      <c r="K397" s="7">
        <v>559</v>
      </c>
    </row>
    <row r="398" spans="1:12" ht="13.5" customHeight="1" x14ac:dyDescent="0.15">
      <c r="A398" s="4">
        <v>31382</v>
      </c>
      <c r="B398" s="6">
        <v>9</v>
      </c>
      <c r="C398" s="5">
        <v>152.4</v>
      </c>
      <c r="D398" s="5">
        <v>157</v>
      </c>
      <c r="E398" s="5">
        <v>149</v>
      </c>
      <c r="F398" s="5">
        <v>155.30000000000001</v>
      </c>
      <c r="G398" s="6">
        <v>22</v>
      </c>
      <c r="H398" s="7">
        <v>57659</v>
      </c>
      <c r="I398" s="7">
        <f t="shared" si="6"/>
        <v>2620.8636363636365</v>
      </c>
      <c r="J398" s="7">
        <v>37239</v>
      </c>
      <c r="K398" s="7">
        <v>502</v>
      </c>
    </row>
    <row r="399" spans="1:12" ht="13.5" customHeight="1" x14ac:dyDescent="0.15">
      <c r="A399" s="4">
        <v>31413</v>
      </c>
      <c r="B399" s="6">
        <v>9</v>
      </c>
      <c r="C399" s="5">
        <v>155.30000000000001</v>
      </c>
      <c r="D399" s="5">
        <v>169.6</v>
      </c>
      <c r="E399" s="5">
        <v>154.9</v>
      </c>
      <c r="F399" s="5">
        <v>159.4</v>
      </c>
      <c r="G399" s="6">
        <v>21</v>
      </c>
      <c r="H399" s="7">
        <v>101527</v>
      </c>
      <c r="I399" s="7">
        <f t="shared" si="6"/>
        <v>4834.6190476190477</v>
      </c>
      <c r="J399" s="7">
        <v>39893</v>
      </c>
      <c r="K399" s="7">
        <v>545</v>
      </c>
    </row>
    <row r="400" spans="1:12" ht="13.5" customHeight="1" x14ac:dyDescent="0.15">
      <c r="A400" s="4">
        <v>31444</v>
      </c>
      <c r="B400" s="6">
        <v>9</v>
      </c>
      <c r="C400" s="5">
        <v>159</v>
      </c>
      <c r="D400" s="5">
        <v>173.9</v>
      </c>
      <c r="E400" s="5">
        <v>155.5</v>
      </c>
      <c r="F400" s="5">
        <v>160.1</v>
      </c>
      <c r="G400" s="6">
        <v>21</v>
      </c>
      <c r="H400" s="7">
        <v>125809</v>
      </c>
      <c r="I400" s="7">
        <f t="shared" si="6"/>
        <v>5990.9047619047615</v>
      </c>
      <c r="J400" s="7">
        <v>43318</v>
      </c>
      <c r="K400" s="7">
        <v>446</v>
      </c>
    </row>
    <row r="401" spans="1:11" ht="13.5" customHeight="1" x14ac:dyDescent="0.15">
      <c r="A401" s="4">
        <v>31472</v>
      </c>
      <c r="B401" s="6">
        <v>9</v>
      </c>
      <c r="C401" s="5">
        <v>163</v>
      </c>
      <c r="D401" s="5">
        <v>163</v>
      </c>
      <c r="E401" s="5">
        <v>143.80000000000001</v>
      </c>
      <c r="F401" s="5">
        <v>146</v>
      </c>
      <c r="G401" s="6">
        <v>23</v>
      </c>
      <c r="H401" s="7">
        <v>147446</v>
      </c>
      <c r="I401" s="7">
        <f t="shared" si="6"/>
        <v>6410.695652173913</v>
      </c>
      <c r="J401" s="7">
        <v>44484</v>
      </c>
      <c r="K401" s="7">
        <v>388</v>
      </c>
    </row>
    <row r="402" spans="1:11" ht="13.5" customHeight="1" x14ac:dyDescent="0.15">
      <c r="A402" s="4">
        <v>31503</v>
      </c>
      <c r="B402" s="6">
        <v>9</v>
      </c>
      <c r="C402" s="5">
        <v>143.5</v>
      </c>
      <c r="D402" s="5">
        <v>144.5</v>
      </c>
      <c r="E402" s="5">
        <v>132.30000000000001</v>
      </c>
      <c r="F402" s="5">
        <v>132.6</v>
      </c>
      <c r="G402" s="6">
        <v>23</v>
      </c>
      <c r="H402" s="7">
        <v>128585</v>
      </c>
      <c r="I402" s="7">
        <f t="shared" si="6"/>
        <v>5590.652173913043</v>
      </c>
      <c r="J402" s="7">
        <v>42908</v>
      </c>
      <c r="K402" s="7">
        <v>443</v>
      </c>
    </row>
    <row r="403" spans="1:11" ht="13.5" customHeight="1" x14ac:dyDescent="0.15">
      <c r="A403" s="4">
        <v>31533</v>
      </c>
      <c r="B403" s="6">
        <v>9</v>
      </c>
      <c r="C403" s="5">
        <v>133.5</v>
      </c>
      <c r="D403" s="5">
        <v>144.69999999999999</v>
      </c>
      <c r="E403" s="5">
        <v>126.4</v>
      </c>
      <c r="F403" s="5">
        <v>144.5</v>
      </c>
      <c r="G403" s="6">
        <v>23</v>
      </c>
      <c r="H403" s="7">
        <v>134281</v>
      </c>
      <c r="I403" s="7">
        <f t="shared" si="6"/>
        <v>5838.304347826087</v>
      </c>
      <c r="J403" s="7">
        <v>41752</v>
      </c>
      <c r="K403" s="7">
        <v>402</v>
      </c>
    </row>
    <row r="404" spans="1:11" ht="13.5" customHeight="1" x14ac:dyDescent="0.15">
      <c r="A404" s="4">
        <v>31564</v>
      </c>
      <c r="B404" s="6">
        <v>9</v>
      </c>
      <c r="C404" s="5">
        <v>144.4</v>
      </c>
      <c r="D404" s="5">
        <v>147.69999999999999</v>
      </c>
      <c r="E404" s="5">
        <v>130.69999999999999</v>
      </c>
      <c r="F404" s="5">
        <v>131.69999999999999</v>
      </c>
      <c r="G404" s="6">
        <v>23</v>
      </c>
      <c r="H404" s="7">
        <v>109195</v>
      </c>
      <c r="I404" s="7">
        <f t="shared" si="6"/>
        <v>4747.608695652174</v>
      </c>
      <c r="J404" s="7">
        <v>42587</v>
      </c>
      <c r="K404" s="7">
        <v>374</v>
      </c>
    </row>
    <row r="405" spans="1:11" ht="13.5" customHeight="1" x14ac:dyDescent="0.15">
      <c r="A405" s="4">
        <v>31594</v>
      </c>
      <c r="B405" s="6">
        <v>9</v>
      </c>
      <c r="C405" s="5">
        <v>131.19999999999999</v>
      </c>
      <c r="D405" s="5">
        <v>133.6</v>
      </c>
      <c r="E405" s="5">
        <v>124.6</v>
      </c>
      <c r="F405" s="5">
        <v>127.3</v>
      </c>
      <c r="G405" s="6">
        <v>25</v>
      </c>
      <c r="H405" s="7">
        <v>105079</v>
      </c>
      <c r="I405" s="7">
        <f t="shared" si="6"/>
        <v>4203.16</v>
      </c>
      <c r="J405" s="7">
        <v>41588</v>
      </c>
      <c r="K405" s="7">
        <v>361</v>
      </c>
    </row>
    <row r="406" spans="1:11" ht="13.5" customHeight="1" x14ac:dyDescent="0.15">
      <c r="A406" s="4">
        <v>31625</v>
      </c>
      <c r="B406" s="6">
        <v>9</v>
      </c>
      <c r="C406" s="5">
        <v>127.4</v>
      </c>
      <c r="D406" s="5">
        <v>135</v>
      </c>
      <c r="E406" s="5">
        <v>126.6</v>
      </c>
      <c r="F406" s="5">
        <v>133.1</v>
      </c>
      <c r="G406" s="6">
        <v>24</v>
      </c>
      <c r="H406" s="7">
        <v>43684</v>
      </c>
      <c r="I406" s="7">
        <f t="shared" si="6"/>
        <v>1820.1666666666667</v>
      </c>
      <c r="J406" s="7">
        <v>37735</v>
      </c>
      <c r="K406" s="7">
        <v>326</v>
      </c>
    </row>
    <row r="407" spans="1:11" ht="13.5" customHeight="1" x14ac:dyDescent="0.15">
      <c r="A407" s="4">
        <v>31656</v>
      </c>
      <c r="B407" s="6">
        <v>9</v>
      </c>
      <c r="C407" s="5">
        <v>134</v>
      </c>
      <c r="D407" s="5">
        <v>149.5</v>
      </c>
      <c r="E407" s="5">
        <v>134</v>
      </c>
      <c r="F407" s="5">
        <v>139.19999999999999</v>
      </c>
      <c r="G407" s="6">
        <v>22</v>
      </c>
      <c r="H407" s="7">
        <v>102498</v>
      </c>
      <c r="I407" s="7">
        <f t="shared" si="6"/>
        <v>4659</v>
      </c>
      <c r="J407" s="7">
        <v>40896</v>
      </c>
      <c r="K407" s="7">
        <v>288</v>
      </c>
    </row>
    <row r="408" spans="1:11" ht="13.5" customHeight="1" x14ac:dyDescent="0.15">
      <c r="A408" s="4">
        <v>31686</v>
      </c>
      <c r="B408" s="6">
        <v>9</v>
      </c>
      <c r="C408" s="5">
        <v>142.9</v>
      </c>
      <c r="D408" s="5">
        <v>143.30000000000001</v>
      </c>
      <c r="E408" s="5">
        <v>136.80000000000001</v>
      </c>
      <c r="F408" s="5">
        <v>138.80000000000001</v>
      </c>
      <c r="G408" s="6">
        <v>24</v>
      </c>
      <c r="H408" s="7">
        <v>64625</v>
      </c>
      <c r="I408" s="7">
        <f t="shared" si="6"/>
        <v>2692.7083333333335</v>
      </c>
      <c r="J408" s="7">
        <v>38896</v>
      </c>
      <c r="K408" s="7">
        <v>362</v>
      </c>
    </row>
    <row r="409" spans="1:11" ht="13.5" customHeight="1" x14ac:dyDescent="0.15">
      <c r="A409" s="4">
        <v>31717</v>
      </c>
      <c r="B409" s="6">
        <v>9</v>
      </c>
      <c r="C409" s="5">
        <v>140.69999999999999</v>
      </c>
      <c r="D409" s="5">
        <v>140.69999999999999</v>
      </c>
      <c r="E409" s="5">
        <v>132.6</v>
      </c>
      <c r="F409" s="5">
        <v>134.9</v>
      </c>
      <c r="G409" s="6">
        <v>21</v>
      </c>
      <c r="H409" s="7">
        <v>51567</v>
      </c>
      <c r="I409" s="7">
        <f t="shared" si="6"/>
        <v>2455.5714285714284</v>
      </c>
      <c r="J409" s="7">
        <v>35657</v>
      </c>
      <c r="K409" s="7">
        <v>237</v>
      </c>
    </row>
    <row r="410" spans="1:11" ht="13.5" customHeight="1" x14ac:dyDescent="0.15">
      <c r="A410" s="4">
        <v>31747</v>
      </c>
      <c r="B410" s="6">
        <v>9</v>
      </c>
      <c r="C410" s="5">
        <v>134.4</v>
      </c>
      <c r="D410" s="5">
        <v>141.69999999999999</v>
      </c>
      <c r="E410" s="5">
        <v>133</v>
      </c>
      <c r="F410" s="5">
        <v>139.30000000000001</v>
      </c>
      <c r="G410" s="6">
        <v>22</v>
      </c>
      <c r="H410" s="7">
        <v>39089</v>
      </c>
      <c r="I410" s="7">
        <f t="shared" si="6"/>
        <v>1776.7727272727273</v>
      </c>
      <c r="J410" s="7">
        <v>33178</v>
      </c>
      <c r="K410" s="7">
        <v>351</v>
      </c>
    </row>
    <row r="411" spans="1:11" ht="13.5" customHeight="1" x14ac:dyDescent="0.15">
      <c r="A411" s="4">
        <v>31778</v>
      </c>
      <c r="B411" s="6">
        <v>9</v>
      </c>
      <c r="C411" s="5">
        <v>138.5</v>
      </c>
      <c r="D411" s="5">
        <v>142.69999999999999</v>
      </c>
      <c r="E411" s="5">
        <v>137.6</v>
      </c>
      <c r="F411" s="5">
        <v>139.69999999999999</v>
      </c>
      <c r="G411" s="6">
        <v>21</v>
      </c>
      <c r="H411" s="7">
        <v>31408</v>
      </c>
      <c r="I411" s="7">
        <f t="shared" si="6"/>
        <v>1495.6190476190477</v>
      </c>
      <c r="J411" s="7">
        <v>31541</v>
      </c>
      <c r="K411" s="7">
        <v>295</v>
      </c>
    </row>
    <row r="412" spans="1:11" ht="13.5" customHeight="1" x14ac:dyDescent="0.15">
      <c r="A412" s="4">
        <v>31809</v>
      </c>
      <c r="B412" s="6">
        <v>9</v>
      </c>
      <c r="C412" s="5">
        <v>140.4</v>
      </c>
      <c r="D412" s="5">
        <v>140.9</v>
      </c>
      <c r="E412" s="5">
        <v>131.80000000000001</v>
      </c>
      <c r="F412" s="5">
        <v>131.80000000000001</v>
      </c>
      <c r="G412" s="6">
        <v>21</v>
      </c>
      <c r="H412" s="7">
        <v>39754</v>
      </c>
      <c r="I412" s="7">
        <f t="shared" si="6"/>
        <v>1893.047619047619</v>
      </c>
      <c r="J412" s="7">
        <v>27410</v>
      </c>
      <c r="K412" s="7">
        <v>581</v>
      </c>
    </row>
    <row r="413" spans="1:11" ht="13.5" customHeight="1" x14ac:dyDescent="0.15">
      <c r="A413" s="4">
        <v>31837</v>
      </c>
      <c r="B413" s="6">
        <v>9</v>
      </c>
      <c r="C413" s="5">
        <v>131.5</v>
      </c>
      <c r="D413" s="5">
        <v>132.4</v>
      </c>
      <c r="E413" s="5">
        <v>127.3</v>
      </c>
      <c r="F413" s="5">
        <v>129.5</v>
      </c>
      <c r="G413" s="6">
        <v>24</v>
      </c>
      <c r="H413" s="7">
        <v>51373</v>
      </c>
      <c r="I413" s="7">
        <f t="shared" si="6"/>
        <v>2140.5416666666665</v>
      </c>
      <c r="J413" s="7">
        <v>27940</v>
      </c>
      <c r="K413" s="7">
        <v>363</v>
      </c>
    </row>
    <row r="414" spans="1:11" ht="13.5" customHeight="1" x14ac:dyDescent="0.15">
      <c r="A414" s="4">
        <v>31868</v>
      </c>
      <c r="B414" s="6">
        <v>9</v>
      </c>
      <c r="C414" s="5">
        <v>129.5</v>
      </c>
      <c r="D414" s="5">
        <v>131.30000000000001</v>
      </c>
      <c r="E414" s="5">
        <v>125.9</v>
      </c>
      <c r="F414" s="5">
        <v>129.1</v>
      </c>
      <c r="G414" s="6">
        <v>23</v>
      </c>
      <c r="H414" s="7">
        <v>27930</v>
      </c>
      <c r="I414" s="7">
        <f t="shared" si="6"/>
        <v>1214.3478260869565</v>
      </c>
      <c r="J414" s="7">
        <v>24541</v>
      </c>
      <c r="K414" s="7">
        <v>503</v>
      </c>
    </row>
    <row r="415" spans="1:11" ht="13.5" customHeight="1" x14ac:dyDescent="0.15">
      <c r="A415" s="4">
        <v>31898</v>
      </c>
      <c r="B415" s="6">
        <v>9</v>
      </c>
      <c r="C415" s="5">
        <v>130</v>
      </c>
      <c r="D415" s="5">
        <v>135</v>
      </c>
      <c r="E415" s="5">
        <v>126.8</v>
      </c>
      <c r="F415" s="5">
        <v>133</v>
      </c>
      <c r="G415" s="6">
        <v>22</v>
      </c>
      <c r="H415" s="7">
        <v>28975</v>
      </c>
      <c r="I415" s="7">
        <f t="shared" si="6"/>
        <v>1317.0454545454545</v>
      </c>
      <c r="J415" s="7">
        <v>24092</v>
      </c>
      <c r="K415" s="7">
        <v>529</v>
      </c>
    </row>
    <row r="416" spans="1:11" ht="13.5" customHeight="1" x14ac:dyDescent="0.15">
      <c r="A416" s="4">
        <v>31929</v>
      </c>
      <c r="B416" s="6">
        <v>9</v>
      </c>
      <c r="C416" s="5">
        <v>133.5</v>
      </c>
      <c r="D416" s="5">
        <v>149.9</v>
      </c>
      <c r="E416" s="5">
        <v>133.4</v>
      </c>
      <c r="F416" s="5">
        <v>148.30000000000001</v>
      </c>
      <c r="G416" s="6">
        <v>24</v>
      </c>
      <c r="H416" s="7">
        <v>73207</v>
      </c>
      <c r="I416" s="7">
        <f t="shared" si="6"/>
        <v>3050.2916666666665</v>
      </c>
      <c r="J416" s="7">
        <v>26575</v>
      </c>
      <c r="K416" s="7">
        <v>242</v>
      </c>
    </row>
    <row r="417" spans="1:12" ht="13.5" customHeight="1" x14ac:dyDescent="0.15">
      <c r="A417" s="4">
        <v>31959</v>
      </c>
      <c r="B417" s="6">
        <v>9</v>
      </c>
      <c r="C417" s="5">
        <v>150.19999999999999</v>
      </c>
      <c r="D417" s="5">
        <v>161</v>
      </c>
      <c r="E417" s="5">
        <v>150.19999999999999</v>
      </c>
      <c r="F417" s="5">
        <v>150.69999999999999</v>
      </c>
      <c r="G417" s="6">
        <v>25</v>
      </c>
      <c r="H417" s="7">
        <v>114403</v>
      </c>
      <c r="I417" s="7">
        <f t="shared" si="6"/>
        <v>4576.12</v>
      </c>
      <c r="J417" s="7">
        <v>37229</v>
      </c>
      <c r="K417" s="7">
        <v>276</v>
      </c>
    </row>
    <row r="418" spans="1:12" ht="13.5" customHeight="1" x14ac:dyDescent="0.15">
      <c r="A418" s="4">
        <v>31990</v>
      </c>
      <c r="B418" s="6">
        <v>9</v>
      </c>
      <c r="C418" s="5">
        <v>151</v>
      </c>
      <c r="D418" s="5">
        <v>158.19999999999999</v>
      </c>
      <c r="E418" s="5">
        <v>147.1</v>
      </c>
      <c r="F418" s="5">
        <v>152.9</v>
      </c>
      <c r="G418" s="6">
        <v>24</v>
      </c>
      <c r="H418" s="7">
        <v>55525</v>
      </c>
      <c r="I418" s="7">
        <f t="shared" si="6"/>
        <v>2313.5416666666665</v>
      </c>
      <c r="J418" s="7">
        <v>35878</v>
      </c>
      <c r="K418" s="7">
        <v>213</v>
      </c>
    </row>
    <row r="419" spans="1:12" ht="13.5" customHeight="1" x14ac:dyDescent="0.15">
      <c r="A419" s="4">
        <v>32021</v>
      </c>
      <c r="B419" s="6">
        <v>9</v>
      </c>
      <c r="C419" s="5">
        <v>153.69999999999999</v>
      </c>
      <c r="D419" s="5">
        <v>156</v>
      </c>
      <c r="E419" s="5">
        <v>149.5</v>
      </c>
      <c r="F419" s="5">
        <v>154.5</v>
      </c>
      <c r="G419" s="6">
        <v>22</v>
      </c>
      <c r="H419" s="7">
        <v>31381</v>
      </c>
      <c r="I419" s="7">
        <f t="shared" si="6"/>
        <v>1426.409090909091</v>
      </c>
      <c r="J419" s="7">
        <v>33089</v>
      </c>
      <c r="K419" s="7">
        <v>233</v>
      </c>
    </row>
    <row r="420" spans="1:12" ht="13.5" customHeight="1" x14ac:dyDescent="0.15">
      <c r="A420" s="4">
        <v>32051</v>
      </c>
      <c r="B420" s="6">
        <v>9</v>
      </c>
      <c r="C420" s="5">
        <v>155.4</v>
      </c>
      <c r="D420" s="5">
        <v>162.69999999999999</v>
      </c>
      <c r="E420" s="5">
        <v>149.6</v>
      </c>
      <c r="F420" s="5">
        <v>151.4</v>
      </c>
      <c r="G420" s="6">
        <v>25</v>
      </c>
      <c r="H420" s="7">
        <v>58787</v>
      </c>
      <c r="I420" s="7">
        <f t="shared" si="6"/>
        <v>2351.48</v>
      </c>
      <c r="J420" s="7">
        <v>34959</v>
      </c>
      <c r="K420" s="7">
        <v>307</v>
      </c>
    </row>
    <row r="421" spans="1:12" ht="13.5" customHeight="1" x14ac:dyDescent="0.15">
      <c r="A421" s="4">
        <v>32082</v>
      </c>
      <c r="B421" s="6">
        <v>8</v>
      </c>
      <c r="C421" s="5">
        <v>150.1</v>
      </c>
      <c r="D421" s="5">
        <v>150.1</v>
      </c>
      <c r="E421" s="5">
        <v>133.19999999999999</v>
      </c>
      <c r="F421" s="5">
        <v>141.9</v>
      </c>
      <c r="G421" s="6">
        <v>21</v>
      </c>
      <c r="H421" s="7">
        <v>99613</v>
      </c>
      <c r="I421" s="7">
        <f t="shared" si="6"/>
        <v>4743.4761904761908</v>
      </c>
      <c r="J421" s="7">
        <v>37805</v>
      </c>
      <c r="K421" s="7">
        <v>226</v>
      </c>
      <c r="L421" s="13" t="s">
        <v>27</v>
      </c>
    </row>
    <row r="422" spans="1:12" ht="13.5" customHeight="1" x14ac:dyDescent="0.15">
      <c r="A422" s="4">
        <v>32112</v>
      </c>
      <c r="B422" s="6">
        <v>7</v>
      </c>
      <c r="C422" s="5">
        <v>141.4</v>
      </c>
      <c r="D422" s="5">
        <v>147</v>
      </c>
      <c r="E422" s="5">
        <v>136.1</v>
      </c>
      <c r="F422" s="5">
        <v>137.1</v>
      </c>
      <c r="G422" s="6">
        <v>22</v>
      </c>
      <c r="H422" s="7">
        <v>55285</v>
      </c>
      <c r="I422" s="7">
        <f t="shared" si="6"/>
        <v>2512.9545454545455</v>
      </c>
      <c r="J422" s="7">
        <v>34996</v>
      </c>
      <c r="K422" s="7">
        <v>251</v>
      </c>
    </row>
    <row r="423" spans="1:12" ht="13.5" customHeight="1" x14ac:dyDescent="0.15">
      <c r="A423" s="4">
        <v>32143</v>
      </c>
      <c r="B423" s="6">
        <v>7</v>
      </c>
      <c r="C423" s="5">
        <v>135.9</v>
      </c>
      <c r="D423" s="5">
        <v>148</v>
      </c>
      <c r="E423" s="5">
        <v>135.9</v>
      </c>
      <c r="F423" s="5">
        <v>139.9</v>
      </c>
      <c r="G423" s="6">
        <v>21</v>
      </c>
      <c r="H423" s="7">
        <v>52961</v>
      </c>
      <c r="I423" s="7">
        <f t="shared" si="6"/>
        <v>2521.9523809523807</v>
      </c>
      <c r="J423" s="7">
        <v>34945</v>
      </c>
      <c r="K423" s="7">
        <v>454</v>
      </c>
    </row>
    <row r="424" spans="1:12" ht="13.5" customHeight="1" x14ac:dyDescent="0.15">
      <c r="A424" s="4">
        <v>32174</v>
      </c>
      <c r="B424" s="6">
        <v>6</v>
      </c>
      <c r="C424" s="5">
        <v>142.5</v>
      </c>
      <c r="D424" s="5">
        <v>144.9</v>
      </c>
      <c r="E424" s="5">
        <v>138</v>
      </c>
      <c r="F424" s="5">
        <v>144.30000000000001</v>
      </c>
      <c r="G424" s="6">
        <v>22</v>
      </c>
      <c r="H424" s="7">
        <v>32140</v>
      </c>
      <c r="I424" s="7">
        <f t="shared" si="6"/>
        <v>1460.909090909091</v>
      </c>
      <c r="J424" s="7">
        <v>31342</v>
      </c>
      <c r="K424" s="7">
        <v>225</v>
      </c>
    </row>
    <row r="425" spans="1:12" ht="13.5" customHeight="1" x14ac:dyDescent="0.15">
      <c r="A425" s="4">
        <v>32203</v>
      </c>
      <c r="B425" s="6">
        <v>6</v>
      </c>
      <c r="C425" s="5">
        <v>146</v>
      </c>
      <c r="D425" s="5">
        <v>147.9</v>
      </c>
      <c r="E425" s="5">
        <v>144.9</v>
      </c>
      <c r="F425" s="5">
        <v>147</v>
      </c>
      <c r="G425" s="6">
        <v>24</v>
      </c>
      <c r="H425" s="7">
        <v>31686</v>
      </c>
      <c r="I425" s="7">
        <f t="shared" si="6"/>
        <v>1320.25</v>
      </c>
      <c r="J425" s="7">
        <v>29328</v>
      </c>
      <c r="K425" s="7">
        <v>341</v>
      </c>
    </row>
    <row r="426" spans="1:12" ht="13.5" customHeight="1" x14ac:dyDescent="0.15">
      <c r="A426" s="4">
        <v>32234</v>
      </c>
      <c r="B426" s="6">
        <v>6</v>
      </c>
      <c r="C426" s="5">
        <v>148</v>
      </c>
      <c r="D426" s="5">
        <v>158.9</v>
      </c>
      <c r="E426" s="5">
        <v>148</v>
      </c>
      <c r="F426" s="5">
        <v>157.1</v>
      </c>
      <c r="G426" s="6">
        <v>23</v>
      </c>
      <c r="H426" s="7">
        <v>99392</v>
      </c>
      <c r="I426" s="7">
        <f t="shared" si="6"/>
        <v>4321.391304347826</v>
      </c>
      <c r="J426" s="7">
        <v>34723</v>
      </c>
      <c r="K426" s="7">
        <v>218</v>
      </c>
    </row>
    <row r="427" spans="1:12" ht="13.5" customHeight="1" x14ac:dyDescent="0.15">
      <c r="A427" s="4">
        <v>32264</v>
      </c>
      <c r="B427" s="6">
        <v>6</v>
      </c>
      <c r="C427" s="5">
        <v>158</v>
      </c>
      <c r="D427" s="5">
        <v>217.4</v>
      </c>
      <c r="E427" s="5">
        <v>157.30000000000001</v>
      </c>
      <c r="F427" s="5">
        <v>217.4</v>
      </c>
      <c r="G427" s="6">
        <v>21</v>
      </c>
      <c r="H427" s="7">
        <v>278145</v>
      </c>
      <c r="I427" s="7">
        <f t="shared" si="6"/>
        <v>13245</v>
      </c>
      <c r="J427" s="7">
        <v>53332</v>
      </c>
      <c r="K427" s="7">
        <v>310</v>
      </c>
    </row>
    <row r="428" spans="1:12" ht="13.5" customHeight="1" x14ac:dyDescent="0.15">
      <c r="A428" s="4">
        <v>32295</v>
      </c>
      <c r="B428" s="6">
        <v>6</v>
      </c>
      <c r="C428" s="5">
        <v>228.2</v>
      </c>
      <c r="D428" s="5">
        <v>228.2</v>
      </c>
      <c r="E428" s="5">
        <v>169</v>
      </c>
      <c r="F428" s="5">
        <v>177.1</v>
      </c>
      <c r="G428" s="6">
        <v>24</v>
      </c>
      <c r="H428" s="7">
        <v>138327</v>
      </c>
      <c r="I428" s="7">
        <f t="shared" si="6"/>
        <v>5763.625</v>
      </c>
      <c r="J428" s="7">
        <v>34292</v>
      </c>
      <c r="K428" s="7">
        <v>768</v>
      </c>
    </row>
    <row r="429" spans="1:12" ht="13.5" customHeight="1" x14ac:dyDescent="0.15">
      <c r="A429" s="4">
        <v>32325</v>
      </c>
      <c r="B429" s="6">
        <v>6</v>
      </c>
      <c r="C429" s="5">
        <v>180.9</v>
      </c>
      <c r="D429" s="5">
        <v>183.3</v>
      </c>
      <c r="E429" s="5">
        <v>164.7</v>
      </c>
      <c r="F429" s="5">
        <v>181.1</v>
      </c>
      <c r="G429" s="6">
        <v>24</v>
      </c>
      <c r="H429" s="7">
        <v>79586</v>
      </c>
      <c r="I429" s="7">
        <f t="shared" si="6"/>
        <v>3316.0833333333335</v>
      </c>
      <c r="J429" s="7">
        <v>31631</v>
      </c>
      <c r="K429" s="7">
        <v>363</v>
      </c>
    </row>
    <row r="430" spans="1:12" ht="13.5" customHeight="1" x14ac:dyDescent="0.15">
      <c r="A430" s="4">
        <v>32356</v>
      </c>
      <c r="B430" s="6">
        <v>6</v>
      </c>
      <c r="C430" s="5">
        <v>183.6</v>
      </c>
      <c r="D430" s="5">
        <v>183.6</v>
      </c>
      <c r="E430" s="5">
        <v>166.7</v>
      </c>
      <c r="F430" s="5">
        <v>167.4</v>
      </c>
      <c r="G430" s="6">
        <v>25</v>
      </c>
      <c r="H430" s="7">
        <v>59416</v>
      </c>
      <c r="I430" s="7">
        <f t="shared" si="6"/>
        <v>2376.64</v>
      </c>
      <c r="J430" s="7">
        <v>34932</v>
      </c>
      <c r="K430" s="7">
        <v>411</v>
      </c>
    </row>
    <row r="431" spans="1:12" ht="13.5" customHeight="1" x14ac:dyDescent="0.15">
      <c r="A431" s="4">
        <v>32387</v>
      </c>
      <c r="B431" s="6">
        <v>6</v>
      </c>
      <c r="C431" s="5">
        <v>170</v>
      </c>
      <c r="D431" s="5">
        <v>172.9</v>
      </c>
      <c r="E431" s="5">
        <v>150</v>
      </c>
      <c r="F431" s="5">
        <v>153.69999999999999</v>
      </c>
      <c r="G431" s="6">
        <v>22</v>
      </c>
      <c r="H431" s="7">
        <v>79888</v>
      </c>
      <c r="I431" s="7">
        <f t="shared" si="6"/>
        <v>3631.2727272727275</v>
      </c>
      <c r="J431" s="7">
        <v>30674</v>
      </c>
      <c r="K431" s="7">
        <v>953</v>
      </c>
    </row>
    <row r="432" spans="1:12" ht="13.5" customHeight="1" x14ac:dyDescent="0.15">
      <c r="A432" s="4">
        <v>32417</v>
      </c>
      <c r="B432" s="6">
        <v>6</v>
      </c>
      <c r="C432" s="5">
        <v>152.9</v>
      </c>
      <c r="D432" s="5">
        <v>152.9</v>
      </c>
      <c r="E432" s="5">
        <v>131.19999999999999</v>
      </c>
      <c r="F432" s="5">
        <v>136.1</v>
      </c>
      <c r="G432" s="6">
        <v>23</v>
      </c>
      <c r="H432" s="7">
        <v>167997</v>
      </c>
      <c r="I432" s="7">
        <f t="shared" si="6"/>
        <v>7304.217391304348</v>
      </c>
      <c r="J432" s="7">
        <v>47127</v>
      </c>
      <c r="K432" s="7">
        <v>265</v>
      </c>
    </row>
    <row r="433" spans="1:12" ht="13.5" customHeight="1" x14ac:dyDescent="0.15">
      <c r="A433" s="4">
        <v>32448</v>
      </c>
      <c r="B433" s="6">
        <v>6</v>
      </c>
      <c r="C433" s="5">
        <v>137.5</v>
      </c>
      <c r="D433" s="5">
        <v>137.5</v>
      </c>
      <c r="E433" s="5">
        <v>124.6</v>
      </c>
      <c r="F433" s="5">
        <v>130.69999999999999</v>
      </c>
      <c r="G433" s="6">
        <v>22</v>
      </c>
      <c r="H433" s="7">
        <v>191165</v>
      </c>
      <c r="I433" s="7">
        <f t="shared" si="6"/>
        <v>8689.318181818182</v>
      </c>
      <c r="J433" s="7">
        <v>68767</v>
      </c>
      <c r="K433" s="7">
        <v>264</v>
      </c>
    </row>
    <row r="434" spans="1:12" ht="13.5" customHeight="1" x14ac:dyDescent="0.15">
      <c r="A434" s="4">
        <v>32478</v>
      </c>
      <c r="B434" s="6">
        <v>6</v>
      </c>
      <c r="C434" s="5">
        <v>132.5</v>
      </c>
      <c r="D434" s="5">
        <v>143.69999999999999</v>
      </c>
      <c r="E434" s="5">
        <v>130.4</v>
      </c>
      <c r="F434" s="5">
        <v>136.69999999999999</v>
      </c>
      <c r="G434" s="6">
        <v>22</v>
      </c>
      <c r="H434" s="7">
        <v>270305</v>
      </c>
      <c r="I434" s="7">
        <f t="shared" si="6"/>
        <v>12286.59090909091</v>
      </c>
      <c r="J434" s="7">
        <v>82512</v>
      </c>
      <c r="K434" s="7">
        <v>289</v>
      </c>
    </row>
    <row r="435" spans="1:12" ht="13.5" customHeight="1" x14ac:dyDescent="0.15">
      <c r="A435" s="4">
        <v>32509</v>
      </c>
      <c r="B435" s="6">
        <v>6</v>
      </c>
      <c r="C435" s="5">
        <v>136.9</v>
      </c>
      <c r="D435" s="5">
        <v>158.1</v>
      </c>
      <c r="E435" s="5">
        <v>135.5</v>
      </c>
      <c r="F435" s="5">
        <v>154.30000000000001</v>
      </c>
      <c r="G435" s="6">
        <v>20</v>
      </c>
      <c r="H435" s="7">
        <v>337563</v>
      </c>
      <c r="I435" s="7">
        <f t="shared" si="6"/>
        <v>16878.150000000001</v>
      </c>
      <c r="J435" s="7">
        <v>99030</v>
      </c>
      <c r="K435" s="7">
        <v>495</v>
      </c>
    </row>
    <row r="436" spans="1:12" ht="13.5" customHeight="1" x14ac:dyDescent="0.15">
      <c r="A436" s="4">
        <v>32540</v>
      </c>
      <c r="B436" s="6">
        <v>6</v>
      </c>
      <c r="C436" s="5">
        <v>157.4</v>
      </c>
      <c r="D436" s="5">
        <v>157.4</v>
      </c>
      <c r="E436" s="5">
        <v>138.9</v>
      </c>
      <c r="F436" s="5">
        <v>140.5</v>
      </c>
      <c r="G436" s="6">
        <v>19</v>
      </c>
      <c r="H436" s="7">
        <v>291569</v>
      </c>
      <c r="I436" s="7">
        <f t="shared" si="6"/>
        <v>15345.736842105263</v>
      </c>
      <c r="J436" s="7">
        <v>116077</v>
      </c>
      <c r="K436" s="7">
        <v>282</v>
      </c>
    </row>
    <row r="437" spans="1:12" ht="13.5" customHeight="1" x14ac:dyDescent="0.15">
      <c r="A437" s="4">
        <v>32568</v>
      </c>
      <c r="B437" s="6">
        <v>6</v>
      </c>
      <c r="C437" s="5">
        <v>142.80000000000001</v>
      </c>
      <c r="D437" s="5">
        <v>146.9</v>
      </c>
      <c r="E437" s="5">
        <v>138.19999999999999</v>
      </c>
      <c r="F437" s="5">
        <v>141.4</v>
      </c>
      <c r="G437" s="6">
        <v>22</v>
      </c>
      <c r="H437" s="7">
        <v>219232</v>
      </c>
      <c r="I437" s="7">
        <f t="shared" si="6"/>
        <v>9965.0909090909099</v>
      </c>
      <c r="J437" s="7">
        <v>122248</v>
      </c>
      <c r="K437" s="7">
        <v>480</v>
      </c>
    </row>
    <row r="438" spans="1:12" ht="13.5" customHeight="1" x14ac:dyDescent="0.15">
      <c r="A438" s="4">
        <v>32599</v>
      </c>
      <c r="B438" s="6">
        <v>6</v>
      </c>
      <c r="C438" s="5">
        <v>141.6</v>
      </c>
      <c r="D438" s="5">
        <v>145.9</v>
      </c>
      <c r="E438" s="5">
        <v>138.5</v>
      </c>
      <c r="F438" s="5">
        <v>140</v>
      </c>
      <c r="G438" s="6">
        <v>20</v>
      </c>
      <c r="H438" s="7">
        <v>146164</v>
      </c>
      <c r="I438" s="7">
        <f t="shared" si="6"/>
        <v>7308.2</v>
      </c>
      <c r="J438" s="7">
        <v>103528</v>
      </c>
      <c r="K438" s="7">
        <v>494</v>
      </c>
    </row>
    <row r="439" spans="1:12" ht="13.5" customHeight="1" x14ac:dyDescent="0.15">
      <c r="A439" s="4">
        <v>32629</v>
      </c>
      <c r="B439" s="6">
        <v>6</v>
      </c>
      <c r="C439" s="5">
        <v>139.5</v>
      </c>
      <c r="D439" s="5">
        <v>140</v>
      </c>
      <c r="E439" s="5">
        <v>131</v>
      </c>
      <c r="F439" s="5">
        <v>138.1</v>
      </c>
      <c r="G439" s="6">
        <v>20</v>
      </c>
      <c r="H439" s="7">
        <v>174570</v>
      </c>
      <c r="I439" s="7">
        <f t="shared" si="6"/>
        <v>8728.5</v>
      </c>
      <c r="J439" s="7">
        <v>100384</v>
      </c>
      <c r="K439" s="7">
        <v>255</v>
      </c>
    </row>
    <row r="440" spans="1:12" ht="13.5" customHeight="1" x14ac:dyDescent="0.15">
      <c r="A440" s="4">
        <v>32660</v>
      </c>
      <c r="B440" s="6">
        <v>6</v>
      </c>
      <c r="C440" s="5">
        <v>138.69999999999999</v>
      </c>
      <c r="D440" s="5">
        <v>145.80000000000001</v>
      </c>
      <c r="E440" s="5">
        <v>132</v>
      </c>
      <c r="F440" s="5">
        <v>142.4</v>
      </c>
      <c r="G440" s="6">
        <v>22</v>
      </c>
      <c r="H440" s="7">
        <v>191768</v>
      </c>
      <c r="I440" s="7">
        <f t="shared" si="6"/>
        <v>8716.7272727272721</v>
      </c>
      <c r="J440" s="7">
        <v>93768</v>
      </c>
      <c r="K440" s="7">
        <v>497</v>
      </c>
      <c r="L440" s="13" t="s">
        <v>28</v>
      </c>
    </row>
    <row r="441" spans="1:12" ht="13.5" customHeight="1" x14ac:dyDescent="0.15">
      <c r="A441" s="4">
        <v>32690</v>
      </c>
      <c r="B441" s="6">
        <v>6</v>
      </c>
      <c r="C441" s="5">
        <v>146.30000000000001</v>
      </c>
      <c r="D441" s="5">
        <v>146.30000000000001</v>
      </c>
      <c r="E441" s="5">
        <v>134.6</v>
      </c>
      <c r="F441" s="5">
        <v>135.19999999999999</v>
      </c>
      <c r="G441" s="6">
        <v>21</v>
      </c>
      <c r="H441" s="7">
        <v>133756</v>
      </c>
      <c r="I441" s="7">
        <f t="shared" si="6"/>
        <v>6369.333333333333</v>
      </c>
      <c r="J441" s="7">
        <v>96269</v>
      </c>
      <c r="K441" s="7">
        <v>131</v>
      </c>
    </row>
    <row r="442" spans="1:12" ht="13.5" customHeight="1" x14ac:dyDescent="0.15">
      <c r="A442" s="4">
        <v>32721</v>
      </c>
      <c r="B442" s="6">
        <v>6</v>
      </c>
      <c r="C442" s="5">
        <v>133.6</v>
      </c>
      <c r="D442" s="5">
        <v>136.5</v>
      </c>
      <c r="E442" s="5">
        <v>127.4</v>
      </c>
      <c r="F442" s="5">
        <v>134.19999999999999</v>
      </c>
      <c r="G442" s="6">
        <v>23</v>
      </c>
      <c r="H442" s="7">
        <v>167051</v>
      </c>
      <c r="I442" s="7">
        <f t="shared" si="6"/>
        <v>7263.086956521739</v>
      </c>
      <c r="J442" s="7">
        <v>90560</v>
      </c>
      <c r="K442" s="7">
        <v>687</v>
      </c>
    </row>
    <row r="443" spans="1:12" ht="13.5" customHeight="1" x14ac:dyDescent="0.15">
      <c r="A443" s="4">
        <v>32752</v>
      </c>
      <c r="B443" s="6">
        <v>6</v>
      </c>
      <c r="C443" s="5">
        <v>137.6</v>
      </c>
      <c r="D443" s="5">
        <v>137.6</v>
      </c>
      <c r="E443" s="5">
        <v>129.6</v>
      </c>
      <c r="F443" s="5">
        <v>129.6</v>
      </c>
      <c r="G443" s="6">
        <v>20</v>
      </c>
      <c r="H443" s="7">
        <v>148646</v>
      </c>
      <c r="I443" s="7">
        <f t="shared" si="6"/>
        <v>7432.3</v>
      </c>
      <c r="J443" s="7">
        <v>109155</v>
      </c>
      <c r="K443" s="7">
        <v>243</v>
      </c>
    </row>
    <row r="444" spans="1:12" ht="13.5" customHeight="1" x14ac:dyDescent="0.15">
      <c r="A444" s="4">
        <v>32782</v>
      </c>
      <c r="B444" s="6">
        <v>6</v>
      </c>
      <c r="C444" s="5">
        <v>129</v>
      </c>
      <c r="D444" s="5">
        <v>133.69999999999999</v>
      </c>
      <c r="E444" s="5">
        <v>129</v>
      </c>
      <c r="F444" s="5">
        <v>130.69999999999999</v>
      </c>
      <c r="G444" s="6">
        <v>21</v>
      </c>
      <c r="H444" s="7">
        <v>156771</v>
      </c>
      <c r="I444" s="7">
        <f t="shared" si="6"/>
        <v>7465.2857142857147</v>
      </c>
      <c r="J444" s="7">
        <v>127077</v>
      </c>
      <c r="K444" s="7">
        <v>868</v>
      </c>
    </row>
    <row r="445" spans="1:12" ht="13.5" customHeight="1" x14ac:dyDescent="0.15">
      <c r="A445" s="4">
        <v>32813</v>
      </c>
      <c r="B445" s="6">
        <v>6</v>
      </c>
      <c r="C445" s="5">
        <v>131.30000000000001</v>
      </c>
      <c r="D445" s="5">
        <v>140.69999999999999</v>
      </c>
      <c r="E445" s="5">
        <v>131.19999999999999</v>
      </c>
      <c r="F445" s="5">
        <v>132.30000000000001</v>
      </c>
      <c r="G445" s="6">
        <v>20</v>
      </c>
      <c r="H445" s="7">
        <v>201734</v>
      </c>
      <c r="I445" s="7">
        <f t="shared" si="6"/>
        <v>10086.700000000001</v>
      </c>
      <c r="J445" s="7">
        <v>131005</v>
      </c>
      <c r="K445" s="7">
        <v>444</v>
      </c>
    </row>
    <row r="446" spans="1:12" ht="13.5" customHeight="1" x14ac:dyDescent="0.15">
      <c r="A446" s="4">
        <v>32843</v>
      </c>
      <c r="B446" s="6">
        <v>6</v>
      </c>
      <c r="C446" s="5">
        <v>133.1</v>
      </c>
      <c r="D446" s="5">
        <v>134.80000000000001</v>
      </c>
      <c r="E446" s="5">
        <v>129.69999999999999</v>
      </c>
      <c r="F446" s="5">
        <v>131.80000000000001</v>
      </c>
      <c r="G446" s="6">
        <v>21</v>
      </c>
      <c r="H446" s="7">
        <v>136732</v>
      </c>
      <c r="I446" s="7">
        <f t="shared" si="6"/>
        <v>6511.0476190476193</v>
      </c>
      <c r="J446" s="7">
        <v>113521</v>
      </c>
      <c r="K446" s="7">
        <v>737</v>
      </c>
    </row>
    <row r="447" spans="1:12" ht="13.5" customHeight="1" x14ac:dyDescent="0.15">
      <c r="A447" s="4">
        <v>32874</v>
      </c>
      <c r="B447" s="6">
        <v>6</v>
      </c>
      <c r="C447" s="5">
        <v>134.9</v>
      </c>
      <c r="D447" s="5">
        <v>135.5</v>
      </c>
      <c r="E447" s="5">
        <v>132.6</v>
      </c>
      <c r="F447" s="5">
        <v>134.69999999999999</v>
      </c>
      <c r="G447" s="6">
        <v>19</v>
      </c>
      <c r="H447" s="7">
        <v>100278</v>
      </c>
      <c r="I447" s="7">
        <f t="shared" si="6"/>
        <v>5277.7894736842109</v>
      </c>
      <c r="J447" s="7">
        <v>113333</v>
      </c>
      <c r="K447" s="7">
        <v>385</v>
      </c>
    </row>
    <row r="448" spans="1:12" ht="13.5" customHeight="1" x14ac:dyDescent="0.15">
      <c r="A448" s="4">
        <v>32905</v>
      </c>
      <c r="B448" s="6">
        <v>6</v>
      </c>
      <c r="C448" s="5">
        <v>135.19999999999999</v>
      </c>
      <c r="D448" s="5">
        <v>136.4</v>
      </c>
      <c r="E448" s="5">
        <v>129.5</v>
      </c>
      <c r="F448" s="5">
        <v>131.5</v>
      </c>
      <c r="G448" s="6">
        <v>19</v>
      </c>
      <c r="H448" s="7">
        <v>224703</v>
      </c>
      <c r="I448" s="7">
        <f t="shared" si="6"/>
        <v>11826.473684210527</v>
      </c>
      <c r="J448" s="7">
        <v>123115</v>
      </c>
      <c r="K448" s="7">
        <v>1203</v>
      </c>
    </row>
    <row r="449" spans="1:11" ht="13.5" customHeight="1" x14ac:dyDescent="0.15">
      <c r="A449" s="4">
        <v>32933</v>
      </c>
      <c r="B449" s="6">
        <v>6</v>
      </c>
      <c r="C449" s="5">
        <v>131.80000000000001</v>
      </c>
      <c r="D449" s="5">
        <v>134.5</v>
      </c>
      <c r="E449" s="5">
        <v>125.6</v>
      </c>
      <c r="F449" s="5">
        <v>128.1</v>
      </c>
      <c r="G449" s="6">
        <v>21</v>
      </c>
      <c r="H449" s="7">
        <v>267899</v>
      </c>
      <c r="I449" s="7">
        <f t="shared" si="6"/>
        <v>12757.095238095239</v>
      </c>
      <c r="J449" s="7">
        <v>121547</v>
      </c>
      <c r="K449" s="7">
        <v>532</v>
      </c>
    </row>
    <row r="450" spans="1:11" ht="13.5" customHeight="1" x14ac:dyDescent="0.15">
      <c r="A450" s="4">
        <v>32964</v>
      </c>
      <c r="B450" s="6">
        <v>6</v>
      </c>
      <c r="C450" s="5">
        <v>128.9</v>
      </c>
      <c r="D450" s="5">
        <v>139.9</v>
      </c>
      <c r="E450" s="5">
        <v>127.5</v>
      </c>
      <c r="F450" s="5">
        <v>139.1</v>
      </c>
      <c r="G450" s="6">
        <v>20</v>
      </c>
      <c r="H450" s="7">
        <v>227962</v>
      </c>
      <c r="I450" s="7">
        <f t="shared" si="6"/>
        <v>11398.1</v>
      </c>
      <c r="J450" s="7">
        <v>120653</v>
      </c>
      <c r="K450" s="7">
        <v>1510</v>
      </c>
    </row>
    <row r="451" spans="1:11" ht="13.5" customHeight="1" x14ac:dyDescent="0.15">
      <c r="A451" s="4">
        <v>32994</v>
      </c>
      <c r="B451" s="6">
        <v>6</v>
      </c>
      <c r="C451" s="5">
        <v>138.1</v>
      </c>
      <c r="D451" s="5">
        <v>139.6</v>
      </c>
      <c r="E451" s="5">
        <v>132.9</v>
      </c>
      <c r="F451" s="5">
        <v>134</v>
      </c>
      <c r="G451" s="6">
        <v>21</v>
      </c>
      <c r="H451" s="7">
        <v>131470</v>
      </c>
      <c r="I451" s="7">
        <f t="shared" ref="I451:I514" si="7">H451/G451</f>
        <v>6260.4761904761908</v>
      </c>
      <c r="J451" s="7">
        <v>107487</v>
      </c>
      <c r="K451" s="7">
        <v>326</v>
      </c>
    </row>
    <row r="452" spans="1:11" ht="13.5" customHeight="1" x14ac:dyDescent="0.15">
      <c r="A452" s="4">
        <v>33025</v>
      </c>
      <c r="B452" s="6">
        <v>6</v>
      </c>
      <c r="C452" s="5">
        <v>134.1</v>
      </c>
      <c r="D452" s="5">
        <v>142.1</v>
      </c>
      <c r="E452" s="5">
        <v>133.6</v>
      </c>
      <c r="F452" s="5">
        <v>142.1</v>
      </c>
      <c r="G452" s="6">
        <v>21</v>
      </c>
      <c r="H452" s="7">
        <v>134419</v>
      </c>
      <c r="I452" s="7">
        <f t="shared" si="7"/>
        <v>6400.9047619047615</v>
      </c>
      <c r="J452" s="7">
        <v>99606</v>
      </c>
      <c r="K452" s="7">
        <v>565</v>
      </c>
    </row>
    <row r="453" spans="1:11" ht="13.5" customHeight="1" x14ac:dyDescent="0.15">
      <c r="A453" s="4">
        <v>33055</v>
      </c>
      <c r="B453" s="6">
        <v>6</v>
      </c>
      <c r="C453" s="5">
        <v>142</v>
      </c>
      <c r="D453" s="5">
        <v>142</v>
      </c>
      <c r="E453" s="5">
        <v>131.80000000000001</v>
      </c>
      <c r="F453" s="5">
        <v>133.4</v>
      </c>
      <c r="G453" s="6">
        <v>22</v>
      </c>
      <c r="H453" s="7">
        <v>146029</v>
      </c>
      <c r="I453" s="7">
        <f t="shared" si="7"/>
        <v>6637.681818181818</v>
      </c>
      <c r="J453" s="7">
        <v>84977</v>
      </c>
      <c r="K453" s="7">
        <v>392</v>
      </c>
    </row>
    <row r="454" spans="1:11" ht="13.5" customHeight="1" x14ac:dyDescent="0.15">
      <c r="A454" s="4">
        <v>33086</v>
      </c>
      <c r="B454" s="6">
        <v>6</v>
      </c>
      <c r="C454" s="5">
        <v>132.1</v>
      </c>
      <c r="D454" s="5">
        <v>139.19999999999999</v>
      </c>
      <c r="E454" s="5">
        <v>130.80000000000001</v>
      </c>
      <c r="F454" s="5">
        <v>134.9</v>
      </c>
      <c r="G454" s="6">
        <v>23</v>
      </c>
      <c r="H454" s="7">
        <v>158621</v>
      </c>
      <c r="I454" s="7">
        <f t="shared" si="7"/>
        <v>6896.565217391304</v>
      </c>
      <c r="J454" s="7">
        <v>90542</v>
      </c>
      <c r="K454" s="7">
        <v>639</v>
      </c>
    </row>
    <row r="455" spans="1:11" ht="13.5" customHeight="1" x14ac:dyDescent="0.15">
      <c r="A455" s="4">
        <v>33117</v>
      </c>
      <c r="B455" s="6">
        <v>6</v>
      </c>
      <c r="C455" s="5">
        <v>134.30000000000001</v>
      </c>
      <c r="D455" s="5">
        <v>134.30000000000001</v>
      </c>
      <c r="E455" s="5">
        <v>119.3</v>
      </c>
      <c r="F455" s="5">
        <v>119.3</v>
      </c>
      <c r="G455" s="6">
        <v>19</v>
      </c>
      <c r="H455" s="7">
        <v>218897</v>
      </c>
      <c r="I455" s="7">
        <f t="shared" si="7"/>
        <v>11520.894736842105</v>
      </c>
      <c r="J455" s="7">
        <v>98742</v>
      </c>
      <c r="K455" s="7">
        <v>230</v>
      </c>
    </row>
    <row r="456" spans="1:11" ht="13.5" customHeight="1" x14ac:dyDescent="0.15">
      <c r="A456" s="4">
        <v>33147</v>
      </c>
      <c r="B456" s="6">
        <v>6</v>
      </c>
      <c r="C456" s="5">
        <v>118.9</v>
      </c>
      <c r="D456" s="5">
        <v>119.1</v>
      </c>
      <c r="E456" s="5">
        <v>101.5</v>
      </c>
      <c r="F456" s="5">
        <v>109.5</v>
      </c>
      <c r="G456" s="6">
        <v>22</v>
      </c>
      <c r="H456" s="7">
        <v>306456</v>
      </c>
      <c r="I456" s="7">
        <f t="shared" si="7"/>
        <v>13929.818181818182</v>
      </c>
      <c r="J456" s="7">
        <v>101700</v>
      </c>
      <c r="K456" s="7">
        <v>327</v>
      </c>
    </row>
    <row r="457" spans="1:11" ht="13.5" customHeight="1" x14ac:dyDescent="0.15">
      <c r="A457" s="4">
        <v>33178</v>
      </c>
      <c r="B457" s="6">
        <v>6</v>
      </c>
      <c r="C457" s="5">
        <v>110.9</v>
      </c>
      <c r="D457" s="5">
        <v>120.7</v>
      </c>
      <c r="E457" s="5">
        <v>106.8</v>
      </c>
      <c r="F457" s="5">
        <v>118.3</v>
      </c>
      <c r="G457" s="6">
        <v>20</v>
      </c>
      <c r="H457" s="7">
        <v>204077</v>
      </c>
      <c r="I457" s="7">
        <f t="shared" si="7"/>
        <v>10203.85</v>
      </c>
      <c r="J457" s="7">
        <v>109709</v>
      </c>
      <c r="K457" s="7">
        <v>197</v>
      </c>
    </row>
    <row r="458" spans="1:11" ht="13.5" customHeight="1" x14ac:dyDescent="0.15">
      <c r="A458" s="4">
        <v>33208</v>
      </c>
      <c r="B458" s="6">
        <v>6</v>
      </c>
      <c r="C458" s="5">
        <v>116.8</v>
      </c>
      <c r="D458" s="5">
        <v>126.3</v>
      </c>
      <c r="E458" s="5">
        <v>115.3</v>
      </c>
      <c r="F458" s="5">
        <v>126.3</v>
      </c>
      <c r="G458" s="6">
        <v>19</v>
      </c>
      <c r="H458" s="7">
        <v>187638</v>
      </c>
      <c r="I458" s="7">
        <f t="shared" si="7"/>
        <v>9875.6842105263149</v>
      </c>
      <c r="J458" s="7">
        <v>112378</v>
      </c>
      <c r="K458" s="7">
        <v>480</v>
      </c>
    </row>
    <row r="459" spans="1:11" ht="13.5" customHeight="1" x14ac:dyDescent="0.15">
      <c r="A459" s="4">
        <v>33239</v>
      </c>
      <c r="B459" s="6">
        <v>6</v>
      </c>
      <c r="C459" s="5">
        <v>123.7</v>
      </c>
      <c r="D459" s="5">
        <v>124</v>
      </c>
      <c r="E459" s="5">
        <v>104.5</v>
      </c>
      <c r="F459" s="5">
        <v>106.1</v>
      </c>
      <c r="G459" s="6">
        <v>19</v>
      </c>
      <c r="H459" s="7">
        <v>322941</v>
      </c>
      <c r="I459" s="7">
        <f t="shared" si="7"/>
        <v>16996.894736842107</v>
      </c>
      <c r="J459" s="7">
        <v>119130</v>
      </c>
      <c r="K459" s="7">
        <v>573</v>
      </c>
    </row>
    <row r="460" spans="1:11" ht="13.5" customHeight="1" x14ac:dyDescent="0.15">
      <c r="A460" s="4">
        <v>33270</v>
      </c>
      <c r="B460" s="6">
        <v>6</v>
      </c>
      <c r="C460" s="5">
        <v>107.2</v>
      </c>
      <c r="D460" s="5">
        <v>115.9</v>
      </c>
      <c r="E460" s="5">
        <v>104</v>
      </c>
      <c r="F460" s="5">
        <v>114.4</v>
      </c>
      <c r="G460" s="6">
        <v>19</v>
      </c>
      <c r="H460" s="7">
        <v>179619</v>
      </c>
      <c r="I460" s="7">
        <f t="shared" si="7"/>
        <v>9453.6315789473683</v>
      </c>
      <c r="J460" s="7">
        <v>114049</v>
      </c>
      <c r="K460" s="7">
        <v>1222</v>
      </c>
    </row>
    <row r="461" spans="1:11" ht="13.5" customHeight="1" x14ac:dyDescent="0.15">
      <c r="A461" s="4">
        <v>33298</v>
      </c>
      <c r="B461" s="6">
        <v>6</v>
      </c>
      <c r="C461" s="5">
        <v>116</v>
      </c>
      <c r="D461" s="5">
        <v>121.9</v>
      </c>
      <c r="E461" s="5">
        <v>114.8</v>
      </c>
      <c r="F461" s="5">
        <v>121</v>
      </c>
      <c r="G461" s="6">
        <v>20</v>
      </c>
      <c r="H461" s="7">
        <v>198860</v>
      </c>
      <c r="I461" s="7">
        <f t="shared" si="7"/>
        <v>9943</v>
      </c>
      <c r="J461" s="7">
        <v>107435</v>
      </c>
      <c r="K461" s="7">
        <v>192</v>
      </c>
    </row>
    <row r="462" spans="1:11" ht="13.5" customHeight="1" x14ac:dyDescent="0.15">
      <c r="A462" s="4">
        <v>33329</v>
      </c>
      <c r="B462" s="6">
        <v>6</v>
      </c>
      <c r="C462" s="5">
        <v>121.6</v>
      </c>
      <c r="D462" s="5">
        <v>121.6</v>
      </c>
      <c r="E462" s="5">
        <v>111.9</v>
      </c>
      <c r="F462" s="5">
        <v>118.2</v>
      </c>
      <c r="G462" s="6">
        <v>21</v>
      </c>
      <c r="H462" s="7">
        <v>195939</v>
      </c>
      <c r="I462" s="7">
        <f t="shared" si="7"/>
        <v>9330.4285714285706</v>
      </c>
      <c r="J462" s="7">
        <v>114282</v>
      </c>
      <c r="K462" s="7">
        <v>290</v>
      </c>
    </row>
    <row r="463" spans="1:11" ht="13.5" customHeight="1" x14ac:dyDescent="0.15">
      <c r="A463" s="4">
        <v>33359</v>
      </c>
      <c r="B463" s="6">
        <v>6</v>
      </c>
      <c r="C463" s="5">
        <v>117.3</v>
      </c>
      <c r="D463" s="5">
        <v>121.9</v>
      </c>
      <c r="E463" s="5">
        <v>117.1</v>
      </c>
      <c r="F463" s="5">
        <v>120.9</v>
      </c>
      <c r="G463" s="6">
        <v>21</v>
      </c>
      <c r="H463" s="7">
        <v>148516</v>
      </c>
      <c r="I463" s="7">
        <f t="shared" si="7"/>
        <v>7072.1904761904761</v>
      </c>
      <c r="J463" s="7">
        <v>98690</v>
      </c>
      <c r="K463" s="7">
        <v>170</v>
      </c>
    </row>
    <row r="464" spans="1:11" ht="13.5" customHeight="1" x14ac:dyDescent="0.15">
      <c r="A464" s="4">
        <v>33390</v>
      </c>
      <c r="B464" s="6">
        <v>6</v>
      </c>
      <c r="C464" s="5">
        <v>121.3</v>
      </c>
      <c r="D464" s="5">
        <v>127.5</v>
      </c>
      <c r="E464" s="5">
        <v>118</v>
      </c>
      <c r="F464" s="5">
        <v>118</v>
      </c>
      <c r="G464" s="6">
        <v>20</v>
      </c>
      <c r="H464" s="7">
        <v>278348</v>
      </c>
      <c r="I464" s="7">
        <f t="shared" si="7"/>
        <v>13917.4</v>
      </c>
      <c r="J464" s="7">
        <v>110293</v>
      </c>
      <c r="K464" s="7">
        <v>205</v>
      </c>
    </row>
    <row r="465" spans="1:11" ht="13.5" customHeight="1" x14ac:dyDescent="0.15">
      <c r="A465" s="4">
        <v>33420</v>
      </c>
      <c r="B465" s="6">
        <v>6</v>
      </c>
      <c r="C465" s="5">
        <v>119.1</v>
      </c>
      <c r="D465" s="5">
        <v>119.7</v>
      </c>
      <c r="E465" s="5">
        <v>116.2</v>
      </c>
      <c r="F465" s="5">
        <v>117.4</v>
      </c>
      <c r="G465" s="6">
        <v>23</v>
      </c>
      <c r="H465" s="7">
        <v>142316</v>
      </c>
      <c r="I465" s="7">
        <f t="shared" si="7"/>
        <v>6187.652173913043</v>
      </c>
      <c r="J465" s="7">
        <v>107841</v>
      </c>
      <c r="K465" s="7">
        <v>222</v>
      </c>
    </row>
    <row r="466" spans="1:11" ht="13.5" customHeight="1" x14ac:dyDescent="0.15">
      <c r="A466" s="4">
        <v>33451</v>
      </c>
      <c r="B466" s="6">
        <v>6</v>
      </c>
      <c r="C466" s="5">
        <v>117.9</v>
      </c>
      <c r="D466" s="5">
        <v>118.9</v>
      </c>
      <c r="E466" s="5">
        <v>113.3</v>
      </c>
      <c r="F466" s="5">
        <v>116</v>
      </c>
      <c r="G466" s="6">
        <v>22</v>
      </c>
      <c r="H466" s="7">
        <v>98260</v>
      </c>
      <c r="I466" s="7">
        <f t="shared" si="7"/>
        <v>4466.363636363636</v>
      </c>
      <c r="J466" s="7">
        <v>92516</v>
      </c>
      <c r="K466" s="7">
        <v>310</v>
      </c>
    </row>
    <row r="467" spans="1:11" ht="13.5" customHeight="1" x14ac:dyDescent="0.15">
      <c r="A467" s="4">
        <v>33482</v>
      </c>
      <c r="B467" s="6">
        <v>6</v>
      </c>
      <c r="C467" s="5">
        <v>116.2</v>
      </c>
      <c r="D467" s="5">
        <v>116.2</v>
      </c>
      <c r="E467" s="5">
        <v>111.5</v>
      </c>
      <c r="F467" s="5">
        <v>113.3</v>
      </c>
      <c r="G467" s="6">
        <v>19</v>
      </c>
      <c r="H467" s="7">
        <v>126020</v>
      </c>
      <c r="I467" s="7">
        <f t="shared" si="7"/>
        <v>6632.6315789473683</v>
      </c>
      <c r="J467" s="7">
        <v>94851</v>
      </c>
      <c r="K467" s="7">
        <v>457</v>
      </c>
    </row>
    <row r="468" spans="1:11" ht="13.5" customHeight="1" x14ac:dyDescent="0.15">
      <c r="A468" s="4">
        <v>33512</v>
      </c>
      <c r="B468" s="6">
        <v>6</v>
      </c>
      <c r="C468" s="5">
        <v>113.3</v>
      </c>
      <c r="D468" s="5">
        <v>113.6</v>
      </c>
      <c r="E468" s="5">
        <v>109</v>
      </c>
      <c r="F468" s="5">
        <v>110.9</v>
      </c>
      <c r="G468" s="6">
        <v>22</v>
      </c>
      <c r="H468" s="7">
        <v>140033</v>
      </c>
      <c r="I468" s="7">
        <f t="shared" si="7"/>
        <v>6365.136363636364</v>
      </c>
      <c r="J468" s="7">
        <v>94856</v>
      </c>
      <c r="K468" s="7">
        <v>715</v>
      </c>
    </row>
    <row r="469" spans="1:11" ht="13.5" customHeight="1" x14ac:dyDescent="0.15">
      <c r="A469" s="4">
        <v>33543</v>
      </c>
      <c r="B469" s="6">
        <v>6</v>
      </c>
      <c r="C469" s="5">
        <v>110.8</v>
      </c>
      <c r="D469" s="5">
        <v>110.8</v>
      </c>
      <c r="E469" s="5">
        <v>103.1</v>
      </c>
      <c r="F469" s="5">
        <v>104.5</v>
      </c>
      <c r="G469" s="6">
        <v>20</v>
      </c>
      <c r="H469" s="7">
        <v>176806</v>
      </c>
      <c r="I469" s="7">
        <f t="shared" si="7"/>
        <v>8840.2999999999993</v>
      </c>
      <c r="J469" s="7">
        <v>81604</v>
      </c>
      <c r="K469" s="7">
        <v>229</v>
      </c>
    </row>
    <row r="470" spans="1:11" ht="13.5" customHeight="1" x14ac:dyDescent="0.15">
      <c r="A470" s="4">
        <v>33573</v>
      </c>
      <c r="B470" s="6">
        <v>6</v>
      </c>
      <c r="C470" s="5">
        <v>104.8</v>
      </c>
      <c r="D470" s="5">
        <v>106.3</v>
      </c>
      <c r="E470" s="5">
        <v>96.8</v>
      </c>
      <c r="F470" s="5">
        <v>98.2</v>
      </c>
      <c r="G470" s="6">
        <v>20</v>
      </c>
      <c r="H470" s="7">
        <v>159635</v>
      </c>
      <c r="I470" s="7">
        <f t="shared" si="7"/>
        <v>7981.75</v>
      </c>
      <c r="J470" s="7">
        <v>77888</v>
      </c>
      <c r="K470" s="7">
        <v>257</v>
      </c>
    </row>
    <row r="471" spans="1:11" ht="13.5" customHeight="1" x14ac:dyDescent="0.15">
      <c r="A471" s="4">
        <v>33604</v>
      </c>
      <c r="B471" s="6">
        <v>6</v>
      </c>
      <c r="C471" s="5">
        <v>97.1</v>
      </c>
      <c r="D471" s="5">
        <v>106.4</v>
      </c>
      <c r="E471" s="5">
        <v>97</v>
      </c>
      <c r="F471" s="5">
        <v>106</v>
      </c>
      <c r="G471" s="6">
        <v>19</v>
      </c>
      <c r="H471" s="7">
        <v>137658</v>
      </c>
      <c r="I471" s="7">
        <f t="shared" si="7"/>
        <v>7245.1578947368425</v>
      </c>
      <c r="J471" s="7">
        <v>85773</v>
      </c>
      <c r="K471" s="7">
        <v>127</v>
      </c>
    </row>
    <row r="472" spans="1:11" ht="13.5" customHeight="1" x14ac:dyDescent="0.15">
      <c r="A472" s="4">
        <v>33635</v>
      </c>
      <c r="B472" s="6">
        <v>6</v>
      </c>
      <c r="C472" s="5">
        <v>106.5</v>
      </c>
      <c r="D472" s="5">
        <v>110.6</v>
      </c>
      <c r="E472" s="5">
        <v>105.2</v>
      </c>
      <c r="F472" s="5">
        <v>110.5</v>
      </c>
      <c r="G472" s="6">
        <v>19</v>
      </c>
      <c r="H472" s="7">
        <v>123510</v>
      </c>
      <c r="I472" s="7">
        <f t="shared" si="7"/>
        <v>6500.5263157894733</v>
      </c>
      <c r="J472" s="7">
        <v>94263</v>
      </c>
      <c r="K472" s="7">
        <v>618</v>
      </c>
    </row>
    <row r="473" spans="1:11" ht="13.5" customHeight="1" x14ac:dyDescent="0.15">
      <c r="A473" s="4">
        <v>33664</v>
      </c>
      <c r="B473" s="6">
        <v>6</v>
      </c>
      <c r="C473" s="5">
        <v>110.8</v>
      </c>
      <c r="D473" s="5">
        <v>118.6</v>
      </c>
      <c r="E473" s="5">
        <v>110.8</v>
      </c>
      <c r="F473" s="5">
        <v>118.4</v>
      </c>
      <c r="G473" s="6">
        <v>21</v>
      </c>
      <c r="H473" s="7">
        <v>243736</v>
      </c>
      <c r="I473" s="7">
        <f t="shared" si="7"/>
        <v>11606.476190476191</v>
      </c>
      <c r="J473" s="7">
        <v>98447</v>
      </c>
      <c r="K473" s="7">
        <v>290</v>
      </c>
    </row>
    <row r="474" spans="1:11" ht="13.5" customHeight="1" x14ac:dyDescent="0.15">
      <c r="A474" s="4">
        <v>33695</v>
      </c>
      <c r="B474" s="6">
        <v>6</v>
      </c>
      <c r="C474" s="5">
        <v>118.4</v>
      </c>
      <c r="D474" s="5">
        <v>123.4</v>
      </c>
      <c r="E474" s="5">
        <v>113.1</v>
      </c>
      <c r="F474" s="5">
        <v>120.5</v>
      </c>
      <c r="G474" s="6">
        <v>21</v>
      </c>
      <c r="H474" s="7">
        <v>239805</v>
      </c>
      <c r="I474" s="7">
        <f t="shared" si="7"/>
        <v>11419.285714285714</v>
      </c>
      <c r="J474" s="7">
        <v>101907</v>
      </c>
      <c r="K474" s="7">
        <v>657</v>
      </c>
    </row>
    <row r="475" spans="1:11" ht="13.5" customHeight="1" x14ac:dyDescent="0.15">
      <c r="A475" s="4">
        <v>33725</v>
      </c>
      <c r="B475" s="6">
        <v>6</v>
      </c>
      <c r="C475" s="5">
        <v>120.9</v>
      </c>
      <c r="D475" s="5">
        <v>121</v>
      </c>
      <c r="E475" s="5">
        <v>112.9</v>
      </c>
      <c r="F475" s="5">
        <v>113.4</v>
      </c>
      <c r="G475" s="6">
        <v>19</v>
      </c>
      <c r="H475" s="7">
        <v>180362</v>
      </c>
      <c r="I475" s="7">
        <f t="shared" si="7"/>
        <v>9492.7368421052633</v>
      </c>
      <c r="J475" s="7">
        <v>111281</v>
      </c>
      <c r="K475" s="7">
        <v>194</v>
      </c>
    </row>
    <row r="476" spans="1:11" ht="13.5" customHeight="1" x14ac:dyDescent="0.15">
      <c r="A476" s="4">
        <v>33756</v>
      </c>
      <c r="B476" s="6">
        <v>6</v>
      </c>
      <c r="C476" s="5">
        <v>112.6</v>
      </c>
      <c r="D476" s="5">
        <v>116.6</v>
      </c>
      <c r="E476" s="5">
        <v>112.2</v>
      </c>
      <c r="F476" s="5">
        <v>113.1</v>
      </c>
      <c r="G476" s="6">
        <v>22</v>
      </c>
      <c r="H476" s="7">
        <v>115797</v>
      </c>
      <c r="I476" s="7">
        <f t="shared" si="7"/>
        <v>5263.5</v>
      </c>
      <c r="J476" s="7">
        <v>99989</v>
      </c>
      <c r="K476" s="7">
        <v>268</v>
      </c>
    </row>
    <row r="477" spans="1:11" ht="13.5" customHeight="1" x14ac:dyDescent="0.15">
      <c r="A477" s="4">
        <v>33786</v>
      </c>
      <c r="B477" s="6">
        <v>6</v>
      </c>
      <c r="C477" s="5">
        <v>113.5</v>
      </c>
      <c r="D477" s="5">
        <v>116.1</v>
      </c>
      <c r="E477" s="5">
        <v>110.8</v>
      </c>
      <c r="F477" s="5">
        <v>115.5</v>
      </c>
      <c r="G477" s="6">
        <v>23</v>
      </c>
      <c r="H477" s="7">
        <v>111530</v>
      </c>
      <c r="I477" s="7">
        <f t="shared" si="7"/>
        <v>4849.130434782609</v>
      </c>
      <c r="J477" s="7">
        <v>84359</v>
      </c>
      <c r="K477" s="7">
        <v>295</v>
      </c>
    </row>
    <row r="478" spans="1:11" ht="13.5" customHeight="1" x14ac:dyDescent="0.15">
      <c r="A478" s="4">
        <v>33817</v>
      </c>
      <c r="B478" s="6">
        <v>6</v>
      </c>
      <c r="C478" s="5">
        <v>115.2</v>
      </c>
      <c r="D478" s="5">
        <v>115.2</v>
      </c>
      <c r="E478" s="5">
        <v>101.7</v>
      </c>
      <c r="F478" s="5">
        <v>102.9</v>
      </c>
      <c r="G478" s="6">
        <v>21</v>
      </c>
      <c r="H478" s="7">
        <v>164770</v>
      </c>
      <c r="I478" s="7">
        <f t="shared" si="7"/>
        <v>7846.1904761904761</v>
      </c>
      <c r="J478" s="7">
        <v>77438</v>
      </c>
      <c r="K478" s="7">
        <v>1018</v>
      </c>
    </row>
    <row r="479" spans="1:11" ht="13.5" customHeight="1" x14ac:dyDescent="0.15">
      <c r="A479" s="4">
        <v>33848</v>
      </c>
      <c r="B479" s="6">
        <v>6</v>
      </c>
      <c r="C479" s="5">
        <v>102.8</v>
      </c>
      <c r="D479" s="5">
        <v>107.8</v>
      </c>
      <c r="E479" s="5">
        <v>101.7</v>
      </c>
      <c r="F479" s="5">
        <v>102.6</v>
      </c>
      <c r="G479" s="6">
        <v>20</v>
      </c>
      <c r="H479" s="7">
        <v>119197</v>
      </c>
      <c r="I479" s="7">
        <f t="shared" si="7"/>
        <v>5959.85</v>
      </c>
      <c r="J479" s="7">
        <v>71691</v>
      </c>
      <c r="K479" s="7">
        <v>190</v>
      </c>
    </row>
    <row r="480" spans="1:11" ht="13.5" customHeight="1" x14ac:dyDescent="0.15">
      <c r="A480" s="4">
        <v>33878</v>
      </c>
      <c r="B480" s="6">
        <v>6</v>
      </c>
      <c r="C480" s="5">
        <v>103.7</v>
      </c>
      <c r="D480" s="5">
        <v>109.1</v>
      </c>
      <c r="E480" s="5">
        <v>102</v>
      </c>
      <c r="F480" s="5">
        <v>107.7</v>
      </c>
      <c r="G480" s="6">
        <v>22</v>
      </c>
      <c r="H480" s="7">
        <v>100759</v>
      </c>
      <c r="I480" s="7">
        <f t="shared" si="7"/>
        <v>4579.954545454545</v>
      </c>
      <c r="J480" s="7">
        <v>73629</v>
      </c>
      <c r="K480" s="7">
        <v>742</v>
      </c>
    </row>
    <row r="481" spans="1:12" ht="13.5" customHeight="1" x14ac:dyDescent="0.15">
      <c r="A481" s="4">
        <v>33909</v>
      </c>
      <c r="B481" s="6">
        <v>6</v>
      </c>
      <c r="C481" s="5">
        <v>108</v>
      </c>
      <c r="D481" s="5">
        <v>111</v>
      </c>
      <c r="E481" s="5">
        <v>107.2</v>
      </c>
      <c r="F481" s="5">
        <v>108.9</v>
      </c>
      <c r="G481" s="6">
        <v>19</v>
      </c>
      <c r="H481" s="7">
        <v>112769</v>
      </c>
      <c r="I481" s="7">
        <f t="shared" si="7"/>
        <v>5935.2105263157891</v>
      </c>
      <c r="J481" s="7">
        <v>73445</v>
      </c>
      <c r="K481" s="7">
        <v>197</v>
      </c>
      <c r="L481" s="13" t="s">
        <v>17</v>
      </c>
    </row>
    <row r="482" spans="1:12" ht="13.5" customHeight="1" x14ac:dyDescent="0.15">
      <c r="A482" s="4">
        <v>33939</v>
      </c>
      <c r="B482" s="6">
        <v>6</v>
      </c>
      <c r="C482" s="5">
        <v>109.3</v>
      </c>
      <c r="D482" s="5">
        <v>114.4</v>
      </c>
      <c r="E482" s="5">
        <v>108.6</v>
      </c>
      <c r="F482" s="5">
        <v>114.1</v>
      </c>
      <c r="G482" s="6">
        <v>21</v>
      </c>
      <c r="H482" s="7">
        <v>76594</v>
      </c>
      <c r="I482" s="7">
        <f t="shared" si="7"/>
        <v>3647.3333333333335</v>
      </c>
      <c r="J482" s="7">
        <v>63271</v>
      </c>
      <c r="K482" s="7">
        <v>417</v>
      </c>
    </row>
    <row r="483" spans="1:12" ht="13.5" customHeight="1" x14ac:dyDescent="0.15">
      <c r="A483" s="4">
        <v>33970</v>
      </c>
      <c r="B483" s="6">
        <v>6</v>
      </c>
      <c r="C483" s="5">
        <v>115</v>
      </c>
      <c r="D483" s="5">
        <v>119.8</v>
      </c>
      <c r="E483" s="5">
        <v>113.1</v>
      </c>
      <c r="F483" s="5">
        <v>119.1</v>
      </c>
      <c r="G483" s="6">
        <v>19</v>
      </c>
      <c r="H483" s="7">
        <v>190786</v>
      </c>
      <c r="I483" s="7">
        <f t="shared" si="7"/>
        <v>10041.368421052632</v>
      </c>
      <c r="J483" s="7">
        <v>78570</v>
      </c>
      <c r="K483" s="7">
        <v>88</v>
      </c>
    </row>
    <row r="484" spans="1:12" ht="13.5" customHeight="1" x14ac:dyDescent="0.15">
      <c r="A484" s="4">
        <v>34001</v>
      </c>
      <c r="B484" s="6">
        <v>6</v>
      </c>
      <c r="C484" s="5">
        <v>120.3</v>
      </c>
      <c r="D484" s="5">
        <v>120.3</v>
      </c>
      <c r="E484" s="5">
        <v>102.7</v>
      </c>
      <c r="F484" s="5">
        <v>104.9</v>
      </c>
      <c r="G484" s="6">
        <v>19</v>
      </c>
      <c r="H484" s="7">
        <v>256281</v>
      </c>
      <c r="I484" s="7">
        <f t="shared" si="7"/>
        <v>13488.473684210527</v>
      </c>
      <c r="J484" s="7">
        <v>91002</v>
      </c>
      <c r="K484" s="7">
        <v>763</v>
      </c>
    </row>
    <row r="485" spans="1:12" ht="13.5" customHeight="1" x14ac:dyDescent="0.15">
      <c r="A485" s="4">
        <v>34029</v>
      </c>
      <c r="B485" s="6">
        <v>6</v>
      </c>
      <c r="C485" s="5">
        <v>106.3</v>
      </c>
      <c r="D485" s="5">
        <v>106.9</v>
      </c>
      <c r="E485" s="5">
        <v>98.7</v>
      </c>
      <c r="F485" s="5">
        <v>101</v>
      </c>
      <c r="G485" s="6">
        <v>23</v>
      </c>
      <c r="H485" s="7">
        <v>188159</v>
      </c>
      <c r="I485" s="7">
        <f t="shared" si="7"/>
        <v>8180.826086956522</v>
      </c>
      <c r="J485" s="7">
        <v>92592</v>
      </c>
      <c r="K485" s="7">
        <v>127</v>
      </c>
    </row>
    <row r="486" spans="1:12" ht="13.5" customHeight="1" x14ac:dyDescent="0.15">
      <c r="A486" s="4">
        <v>34060</v>
      </c>
      <c r="B486" s="6">
        <v>6</v>
      </c>
      <c r="C486" s="5">
        <v>99.5</v>
      </c>
      <c r="D486" s="5">
        <v>100.5</v>
      </c>
      <c r="E486" s="5">
        <v>90.8</v>
      </c>
      <c r="F486" s="5">
        <v>94.6</v>
      </c>
      <c r="G486" s="6">
        <v>21</v>
      </c>
      <c r="H486" s="7">
        <v>187030</v>
      </c>
      <c r="I486" s="7">
        <f t="shared" si="7"/>
        <v>8906.1904761904771</v>
      </c>
      <c r="J486" s="7">
        <v>98664</v>
      </c>
      <c r="K486" s="7">
        <v>369</v>
      </c>
    </row>
    <row r="487" spans="1:12" ht="13.5" customHeight="1" x14ac:dyDescent="0.15">
      <c r="A487" s="4">
        <v>34090</v>
      </c>
      <c r="B487" s="6">
        <v>6</v>
      </c>
      <c r="C487" s="5">
        <v>93.8</v>
      </c>
      <c r="D487" s="5">
        <v>94</v>
      </c>
      <c r="E487" s="5">
        <v>87.8</v>
      </c>
      <c r="F487" s="5">
        <v>88.9</v>
      </c>
      <c r="G487" s="6">
        <v>18</v>
      </c>
      <c r="H487" s="7">
        <v>217254</v>
      </c>
      <c r="I487" s="7">
        <f t="shared" si="7"/>
        <v>12069.666666666666</v>
      </c>
      <c r="J487" s="7">
        <v>128032</v>
      </c>
      <c r="K487" s="7">
        <v>136</v>
      </c>
    </row>
    <row r="488" spans="1:12" ht="13.5" customHeight="1" x14ac:dyDescent="0.15">
      <c r="A488" s="4">
        <v>34121</v>
      </c>
      <c r="B488" s="6">
        <v>6</v>
      </c>
      <c r="C488" s="5">
        <v>88.2</v>
      </c>
      <c r="D488" s="5">
        <v>94.2</v>
      </c>
      <c r="E488" s="5">
        <v>87.8</v>
      </c>
      <c r="F488" s="5">
        <v>91.4</v>
      </c>
      <c r="G488" s="6">
        <v>21</v>
      </c>
      <c r="H488" s="7">
        <v>181747</v>
      </c>
      <c r="I488" s="7">
        <f t="shared" si="7"/>
        <v>8654.6190476190477</v>
      </c>
      <c r="J488" s="7">
        <v>120806</v>
      </c>
      <c r="K488" s="7">
        <v>326</v>
      </c>
    </row>
    <row r="489" spans="1:12" ht="13.5" customHeight="1" x14ac:dyDescent="0.15">
      <c r="A489" s="4">
        <v>34151</v>
      </c>
      <c r="B489" s="6">
        <v>6</v>
      </c>
      <c r="C489" s="5">
        <v>92.2</v>
      </c>
      <c r="D489" s="5">
        <v>95.8</v>
      </c>
      <c r="E489" s="5">
        <v>88.9</v>
      </c>
      <c r="F489" s="5">
        <v>89.5</v>
      </c>
      <c r="G489" s="6">
        <v>22</v>
      </c>
      <c r="H489" s="7">
        <v>179232</v>
      </c>
      <c r="I489" s="7">
        <f t="shared" si="7"/>
        <v>8146.909090909091</v>
      </c>
      <c r="J489" s="7">
        <v>122266</v>
      </c>
      <c r="K489" s="7">
        <v>180</v>
      </c>
    </row>
    <row r="490" spans="1:12" ht="13.5" customHeight="1" x14ac:dyDescent="0.15">
      <c r="A490" s="4">
        <v>34182</v>
      </c>
      <c r="B490" s="6">
        <v>6</v>
      </c>
      <c r="C490" s="5">
        <v>89.1</v>
      </c>
      <c r="D490" s="5">
        <v>90</v>
      </c>
      <c r="E490" s="5">
        <v>84.8</v>
      </c>
      <c r="F490" s="5">
        <v>86.8</v>
      </c>
      <c r="G490" s="6">
        <v>22</v>
      </c>
      <c r="H490" s="7">
        <v>194808</v>
      </c>
      <c r="I490" s="7">
        <f t="shared" si="7"/>
        <v>8854.9090909090901</v>
      </c>
      <c r="J490" s="7">
        <v>106232</v>
      </c>
      <c r="K490" s="7">
        <v>1405</v>
      </c>
    </row>
    <row r="491" spans="1:12" ht="13.5" customHeight="1" x14ac:dyDescent="0.15">
      <c r="A491" s="4">
        <v>34213</v>
      </c>
      <c r="B491" s="6">
        <v>6</v>
      </c>
      <c r="C491" s="5">
        <v>87</v>
      </c>
      <c r="D491" s="5">
        <v>88.1</v>
      </c>
      <c r="E491" s="5">
        <v>76.900000000000006</v>
      </c>
      <c r="F491" s="5">
        <v>78.900000000000006</v>
      </c>
      <c r="G491" s="6">
        <v>20</v>
      </c>
      <c r="H491" s="7">
        <v>257375</v>
      </c>
      <c r="I491" s="7">
        <f t="shared" si="7"/>
        <v>12868.75</v>
      </c>
      <c r="J491" s="7">
        <v>112894</v>
      </c>
      <c r="K491" s="7">
        <v>955</v>
      </c>
    </row>
    <row r="492" spans="1:12" ht="13.5" customHeight="1" x14ac:dyDescent="0.15">
      <c r="A492" s="4">
        <v>34243</v>
      </c>
      <c r="B492" s="6">
        <v>6</v>
      </c>
      <c r="C492" s="5">
        <v>79.900000000000006</v>
      </c>
      <c r="D492" s="5">
        <v>89.2</v>
      </c>
      <c r="E492" s="5">
        <v>78.900000000000006</v>
      </c>
      <c r="F492" s="5">
        <v>86.4</v>
      </c>
      <c r="G492" s="6">
        <v>20</v>
      </c>
      <c r="H492" s="7">
        <v>340155</v>
      </c>
      <c r="I492" s="7">
        <f t="shared" si="7"/>
        <v>17007.75</v>
      </c>
      <c r="J492" s="7">
        <v>159315</v>
      </c>
      <c r="K492" s="7">
        <v>795</v>
      </c>
    </row>
    <row r="493" spans="1:12" ht="13.5" customHeight="1" x14ac:dyDescent="0.15">
      <c r="A493" s="4">
        <v>34274</v>
      </c>
      <c r="B493" s="6">
        <v>6</v>
      </c>
      <c r="C493" s="5">
        <v>87.6</v>
      </c>
      <c r="D493" s="5">
        <v>89</v>
      </c>
      <c r="E493" s="5">
        <v>82.6</v>
      </c>
      <c r="F493" s="5">
        <v>85.1</v>
      </c>
      <c r="G493" s="6">
        <v>20</v>
      </c>
      <c r="H493" s="7">
        <v>301960</v>
      </c>
      <c r="I493" s="7">
        <f t="shared" si="7"/>
        <v>15098</v>
      </c>
      <c r="J493" s="7">
        <v>181159</v>
      </c>
      <c r="K493" s="7">
        <v>443</v>
      </c>
    </row>
    <row r="494" spans="1:12" ht="13.5" customHeight="1" x14ac:dyDescent="0.15">
      <c r="A494" s="4">
        <v>34304</v>
      </c>
      <c r="B494" s="6">
        <v>6</v>
      </c>
      <c r="C494" s="5">
        <v>85.9</v>
      </c>
      <c r="D494" s="5">
        <v>95.4</v>
      </c>
      <c r="E494" s="5">
        <v>85.9</v>
      </c>
      <c r="F494" s="5">
        <v>95.4</v>
      </c>
      <c r="G494" s="6">
        <v>21</v>
      </c>
      <c r="H494" s="7">
        <v>478454</v>
      </c>
      <c r="I494" s="7">
        <f t="shared" si="7"/>
        <v>22783.523809523809</v>
      </c>
      <c r="J494" s="7">
        <v>214729</v>
      </c>
      <c r="K494" s="7">
        <v>754</v>
      </c>
    </row>
    <row r="495" spans="1:12" ht="13.5" customHeight="1" x14ac:dyDescent="0.15">
      <c r="A495" s="4">
        <v>34335</v>
      </c>
      <c r="B495" s="6">
        <v>6</v>
      </c>
      <c r="C495" s="5">
        <v>96.8</v>
      </c>
      <c r="D495" s="5">
        <v>96.8</v>
      </c>
      <c r="E495" s="5">
        <v>87.5</v>
      </c>
      <c r="F495" s="5">
        <v>94.6</v>
      </c>
      <c r="G495" s="6">
        <v>20</v>
      </c>
      <c r="H495" s="7">
        <v>423514</v>
      </c>
      <c r="I495" s="7">
        <f t="shared" si="7"/>
        <v>21175.7</v>
      </c>
      <c r="J495" s="7">
        <v>224134</v>
      </c>
      <c r="K495" s="7">
        <v>274</v>
      </c>
    </row>
    <row r="496" spans="1:12" ht="13.5" customHeight="1" x14ac:dyDescent="0.15">
      <c r="A496" s="4">
        <v>34366</v>
      </c>
      <c r="B496" s="6">
        <v>6</v>
      </c>
      <c r="C496" s="5">
        <v>93.4</v>
      </c>
      <c r="D496" s="5">
        <v>99.4</v>
      </c>
      <c r="E496" s="5">
        <v>88.6</v>
      </c>
      <c r="F496" s="5">
        <v>92.6</v>
      </c>
      <c r="G496" s="6">
        <v>19</v>
      </c>
      <c r="H496" s="7">
        <v>546116</v>
      </c>
      <c r="I496" s="7">
        <f t="shared" si="7"/>
        <v>28742.947368421053</v>
      </c>
      <c r="J496" s="7">
        <v>235935</v>
      </c>
      <c r="K496" s="7">
        <v>553</v>
      </c>
    </row>
    <row r="497" spans="1:12" ht="13.5" customHeight="1" x14ac:dyDescent="0.15">
      <c r="A497" s="4">
        <v>34394</v>
      </c>
      <c r="B497" s="6">
        <v>6</v>
      </c>
      <c r="C497" s="5">
        <v>93</v>
      </c>
      <c r="D497" s="5">
        <v>101.9</v>
      </c>
      <c r="E497" s="5">
        <v>93</v>
      </c>
      <c r="F497" s="5">
        <v>97</v>
      </c>
      <c r="G497" s="6">
        <v>22</v>
      </c>
      <c r="H497" s="7">
        <v>692993</v>
      </c>
      <c r="I497" s="7">
        <f t="shared" si="7"/>
        <v>31499.68181818182</v>
      </c>
      <c r="J497" s="7">
        <v>282014</v>
      </c>
      <c r="K497" s="7">
        <v>758</v>
      </c>
    </row>
    <row r="498" spans="1:12" ht="13.5" customHeight="1" x14ac:dyDescent="0.15">
      <c r="A498" s="4">
        <v>34425</v>
      </c>
      <c r="B498" s="6">
        <v>6</v>
      </c>
      <c r="C498" s="5">
        <v>97.3</v>
      </c>
      <c r="D498" s="5">
        <v>99.7</v>
      </c>
      <c r="E498" s="5">
        <v>93</v>
      </c>
      <c r="F498" s="5">
        <v>99</v>
      </c>
      <c r="G498" s="6">
        <v>20</v>
      </c>
      <c r="H498" s="7">
        <v>388685</v>
      </c>
      <c r="I498" s="7">
        <f t="shared" si="7"/>
        <v>19434.25</v>
      </c>
      <c r="J498" s="7">
        <v>245616</v>
      </c>
      <c r="K498" s="7">
        <v>746</v>
      </c>
    </row>
    <row r="499" spans="1:12" ht="13.5" customHeight="1" x14ac:dyDescent="0.15">
      <c r="A499" s="4">
        <v>34455</v>
      </c>
      <c r="B499" s="6">
        <v>6</v>
      </c>
      <c r="C499" s="5">
        <v>98.8</v>
      </c>
      <c r="D499" s="5">
        <v>104.7</v>
      </c>
      <c r="E499" s="5">
        <v>97.9</v>
      </c>
      <c r="F499" s="5">
        <v>102.9</v>
      </c>
      <c r="G499" s="6">
        <v>19</v>
      </c>
      <c r="H499" s="7">
        <v>567494</v>
      </c>
      <c r="I499" s="7">
        <f t="shared" si="7"/>
        <v>29868.105263157893</v>
      </c>
      <c r="J499" s="7">
        <v>225741</v>
      </c>
      <c r="K499" s="7">
        <v>464</v>
      </c>
    </row>
    <row r="500" spans="1:12" ht="13.5" customHeight="1" x14ac:dyDescent="0.15">
      <c r="A500" s="4">
        <v>34486</v>
      </c>
      <c r="B500" s="6">
        <v>6</v>
      </c>
      <c r="C500" s="5">
        <v>103.4</v>
      </c>
      <c r="D500" s="5">
        <v>110.3</v>
      </c>
      <c r="E500" s="5">
        <v>100.7</v>
      </c>
      <c r="F500" s="5">
        <v>109.2</v>
      </c>
      <c r="G500" s="6">
        <v>22</v>
      </c>
      <c r="H500" s="7">
        <v>583276</v>
      </c>
      <c r="I500" s="7">
        <f t="shared" si="7"/>
        <v>26512.545454545456</v>
      </c>
      <c r="J500" s="7">
        <v>205111</v>
      </c>
      <c r="K500" s="7">
        <v>226</v>
      </c>
    </row>
    <row r="501" spans="1:12" ht="13.5" customHeight="1" x14ac:dyDescent="0.15">
      <c r="A501" s="4">
        <v>34516</v>
      </c>
      <c r="B501" s="6">
        <v>6</v>
      </c>
      <c r="C501" s="5">
        <v>108.5</v>
      </c>
      <c r="D501" s="5">
        <v>135.9</v>
      </c>
      <c r="E501" s="5">
        <v>108.2</v>
      </c>
      <c r="F501" s="5">
        <v>117.4</v>
      </c>
      <c r="G501" s="6">
        <v>21</v>
      </c>
      <c r="H501" s="7">
        <v>919559</v>
      </c>
      <c r="I501" s="7">
        <f t="shared" si="7"/>
        <v>43788.523809523809</v>
      </c>
      <c r="J501" s="7">
        <v>209764</v>
      </c>
      <c r="K501" s="7">
        <v>502</v>
      </c>
    </row>
    <row r="502" spans="1:12" ht="13.5" customHeight="1" x14ac:dyDescent="0.15">
      <c r="A502" s="4">
        <v>34547</v>
      </c>
      <c r="B502" s="6">
        <v>6</v>
      </c>
      <c r="C502" s="5">
        <v>116.5</v>
      </c>
      <c r="D502" s="5">
        <v>129.30000000000001</v>
      </c>
      <c r="E502" s="5">
        <v>107</v>
      </c>
      <c r="F502" s="5">
        <v>116.9</v>
      </c>
      <c r="G502" s="6">
        <v>23</v>
      </c>
      <c r="H502" s="7">
        <v>863923</v>
      </c>
      <c r="I502" s="7">
        <f t="shared" si="7"/>
        <v>37561.869565217392</v>
      </c>
      <c r="J502" s="7">
        <v>236369</v>
      </c>
      <c r="K502" s="7">
        <v>505</v>
      </c>
    </row>
    <row r="503" spans="1:12" ht="13.5" customHeight="1" x14ac:dyDescent="0.15">
      <c r="A503" s="4">
        <v>34578</v>
      </c>
      <c r="B503" s="6">
        <v>6</v>
      </c>
      <c r="C503" s="5">
        <v>117.1</v>
      </c>
      <c r="D503" s="5">
        <v>133.5</v>
      </c>
      <c r="E503" s="5">
        <v>112.2</v>
      </c>
      <c r="F503" s="5">
        <v>133.5</v>
      </c>
      <c r="G503" s="6">
        <v>20</v>
      </c>
      <c r="H503" s="7">
        <v>855827</v>
      </c>
      <c r="I503" s="7">
        <f t="shared" si="7"/>
        <v>42791.35</v>
      </c>
      <c r="J503" s="7">
        <v>285994</v>
      </c>
      <c r="K503" s="7">
        <v>476</v>
      </c>
    </row>
    <row r="504" spans="1:12" ht="13.5" customHeight="1" x14ac:dyDescent="0.15">
      <c r="A504" s="4">
        <v>34608</v>
      </c>
      <c r="B504" s="6">
        <v>6</v>
      </c>
      <c r="C504" s="5">
        <v>134.1</v>
      </c>
      <c r="D504" s="5">
        <v>139.30000000000001</v>
      </c>
      <c r="E504" s="5">
        <v>118.5</v>
      </c>
      <c r="F504" s="5">
        <v>120</v>
      </c>
      <c r="G504" s="6">
        <v>20</v>
      </c>
      <c r="H504" s="7">
        <v>1284709</v>
      </c>
      <c r="I504" s="7">
        <f t="shared" si="7"/>
        <v>64235.45</v>
      </c>
      <c r="J504" s="7">
        <v>312296</v>
      </c>
      <c r="K504" s="7">
        <v>1155</v>
      </c>
    </row>
    <row r="505" spans="1:12" ht="13.5" customHeight="1" x14ac:dyDescent="0.15">
      <c r="A505" s="4">
        <v>34639</v>
      </c>
      <c r="B505" s="6">
        <v>6</v>
      </c>
      <c r="C505" s="5">
        <v>120</v>
      </c>
      <c r="D505" s="5">
        <v>135.1</v>
      </c>
      <c r="E505" s="5">
        <v>116.8</v>
      </c>
      <c r="F505" s="5">
        <v>132.4</v>
      </c>
      <c r="G505" s="6">
        <v>20</v>
      </c>
      <c r="H505" s="7">
        <v>731186</v>
      </c>
      <c r="I505" s="7">
        <f t="shared" si="7"/>
        <v>36559.300000000003</v>
      </c>
      <c r="J505" s="7">
        <v>298675</v>
      </c>
      <c r="K505" s="7">
        <v>712</v>
      </c>
    </row>
    <row r="506" spans="1:12" ht="13.5" customHeight="1" x14ac:dyDescent="0.15">
      <c r="A506" s="4">
        <v>34669</v>
      </c>
      <c r="B506" s="6">
        <v>6</v>
      </c>
      <c r="C506" s="5">
        <v>133.5</v>
      </c>
      <c r="D506" s="5">
        <v>151.1</v>
      </c>
      <c r="E506" s="5">
        <v>133.5</v>
      </c>
      <c r="F506" s="5">
        <v>150.6</v>
      </c>
      <c r="G506" s="6">
        <v>19</v>
      </c>
      <c r="H506" s="7">
        <v>1164599</v>
      </c>
      <c r="I506" s="7">
        <f t="shared" si="7"/>
        <v>61294.684210526313</v>
      </c>
      <c r="J506" s="7">
        <v>355728</v>
      </c>
      <c r="K506" s="7">
        <v>235</v>
      </c>
    </row>
    <row r="507" spans="1:12" ht="13.5" customHeight="1" x14ac:dyDescent="0.15">
      <c r="A507" s="4">
        <v>34700</v>
      </c>
      <c r="B507" s="6">
        <v>6</v>
      </c>
      <c r="C507" s="5">
        <v>153.4</v>
      </c>
      <c r="D507" s="5">
        <v>179.5</v>
      </c>
      <c r="E507" s="5">
        <v>153.4</v>
      </c>
      <c r="F507" s="5">
        <v>177.1</v>
      </c>
      <c r="G507" s="6">
        <v>19</v>
      </c>
      <c r="H507" s="7">
        <v>1629988</v>
      </c>
      <c r="I507" s="7">
        <f t="shared" si="7"/>
        <v>85788.84210526316</v>
      </c>
      <c r="J507" s="7">
        <v>434193</v>
      </c>
      <c r="K507" s="7">
        <v>334</v>
      </c>
    </row>
    <row r="508" spans="1:12" ht="13.5" customHeight="1" x14ac:dyDescent="0.15">
      <c r="A508" s="4">
        <v>34731</v>
      </c>
      <c r="B508" s="6">
        <v>6</v>
      </c>
      <c r="C508" s="5">
        <v>175.2</v>
      </c>
      <c r="D508" s="5">
        <v>182.1</v>
      </c>
      <c r="E508" s="5">
        <v>158.1</v>
      </c>
      <c r="F508" s="5">
        <v>171.9</v>
      </c>
      <c r="G508" s="6">
        <v>20</v>
      </c>
      <c r="H508" s="7">
        <v>1800152</v>
      </c>
      <c r="I508" s="7">
        <f t="shared" si="7"/>
        <v>90007.6</v>
      </c>
      <c r="J508" s="7">
        <v>501595</v>
      </c>
      <c r="K508" s="7">
        <v>450</v>
      </c>
    </row>
    <row r="509" spans="1:12" ht="13.5" customHeight="1" x14ac:dyDescent="0.15">
      <c r="A509" s="4">
        <v>34759</v>
      </c>
      <c r="B509" s="6">
        <v>6</v>
      </c>
      <c r="C509" s="5">
        <v>173.9</v>
      </c>
      <c r="D509" s="5">
        <v>183.1</v>
      </c>
      <c r="E509" s="5">
        <v>152.1</v>
      </c>
      <c r="F509" s="5">
        <v>155.1</v>
      </c>
      <c r="G509" s="6">
        <v>22</v>
      </c>
      <c r="H509" s="7">
        <v>1661238</v>
      </c>
      <c r="I509" s="7">
        <f t="shared" si="7"/>
        <v>75510.818181818177</v>
      </c>
      <c r="J509" s="7">
        <v>472117</v>
      </c>
      <c r="K509" s="7">
        <v>567</v>
      </c>
    </row>
    <row r="510" spans="1:12" ht="13.5" customHeight="1" x14ac:dyDescent="0.15">
      <c r="A510" s="4">
        <v>34790</v>
      </c>
      <c r="B510" s="6">
        <v>6</v>
      </c>
      <c r="C510" s="5">
        <v>153</v>
      </c>
      <c r="D510" s="5">
        <v>155.9</v>
      </c>
      <c r="E510" s="5">
        <v>132.1</v>
      </c>
      <c r="F510" s="5">
        <v>135.1</v>
      </c>
      <c r="G510" s="6">
        <v>20</v>
      </c>
      <c r="H510" s="7">
        <v>1105704</v>
      </c>
      <c r="I510" s="7">
        <f t="shared" si="7"/>
        <v>55285.2</v>
      </c>
      <c r="J510" s="7">
        <v>368374</v>
      </c>
      <c r="K510" s="7">
        <v>1015</v>
      </c>
      <c r="L510" s="13" t="s">
        <v>21</v>
      </c>
    </row>
    <row r="511" spans="1:12" ht="13.5" customHeight="1" x14ac:dyDescent="0.15">
      <c r="A511" s="4">
        <v>34820</v>
      </c>
      <c r="B511" s="6">
        <v>6</v>
      </c>
      <c r="C511" s="5">
        <v>138</v>
      </c>
      <c r="D511" s="5">
        <v>151.4</v>
      </c>
      <c r="E511" s="5">
        <v>124</v>
      </c>
      <c r="F511" s="5">
        <v>128.69999999999999</v>
      </c>
      <c r="G511" s="6">
        <v>20</v>
      </c>
      <c r="H511" s="7">
        <v>1027219</v>
      </c>
      <c r="I511" s="7">
        <f t="shared" si="7"/>
        <v>51360.95</v>
      </c>
      <c r="J511" s="7">
        <v>335591</v>
      </c>
      <c r="K511" s="7">
        <v>781</v>
      </c>
    </row>
    <row r="512" spans="1:12" ht="13.5" customHeight="1" x14ac:dyDescent="0.15">
      <c r="A512" s="4">
        <v>34851</v>
      </c>
      <c r="B512" s="6">
        <v>6</v>
      </c>
      <c r="C512" s="5">
        <v>131.1</v>
      </c>
      <c r="D512" s="5">
        <v>131.80000000000001</v>
      </c>
      <c r="E512" s="5">
        <v>119</v>
      </c>
      <c r="F512" s="5">
        <v>119</v>
      </c>
      <c r="G512" s="6">
        <v>22</v>
      </c>
      <c r="H512" s="7">
        <v>832784</v>
      </c>
      <c r="I512" s="7">
        <f t="shared" si="7"/>
        <v>37853.818181818184</v>
      </c>
      <c r="J512" s="7">
        <v>307353</v>
      </c>
      <c r="K512" s="7">
        <v>253</v>
      </c>
    </row>
    <row r="513" spans="1:11" ht="13.5" customHeight="1" x14ac:dyDescent="0.15">
      <c r="A513" s="4">
        <v>34881</v>
      </c>
      <c r="B513" s="6">
        <v>6</v>
      </c>
      <c r="C513" s="5">
        <v>118.4</v>
      </c>
      <c r="D513" s="5">
        <v>124.1</v>
      </c>
      <c r="E513" s="5">
        <v>107.6</v>
      </c>
      <c r="F513" s="5">
        <v>107.7</v>
      </c>
      <c r="G513" s="6">
        <v>21</v>
      </c>
      <c r="H513" s="7">
        <v>851076</v>
      </c>
      <c r="I513" s="7">
        <f t="shared" si="7"/>
        <v>40527.428571428572</v>
      </c>
      <c r="J513" s="7">
        <v>255553</v>
      </c>
      <c r="K513" s="7">
        <v>400</v>
      </c>
    </row>
    <row r="514" spans="1:11" ht="13.5" customHeight="1" x14ac:dyDescent="0.15">
      <c r="A514" s="4">
        <v>34912</v>
      </c>
      <c r="B514" s="6">
        <v>6</v>
      </c>
      <c r="C514" s="5">
        <v>108.7</v>
      </c>
      <c r="D514" s="5">
        <v>140.19999999999999</v>
      </c>
      <c r="E514" s="5">
        <v>106</v>
      </c>
      <c r="F514" s="5">
        <v>135.19999999999999</v>
      </c>
      <c r="G514" s="6">
        <v>23</v>
      </c>
      <c r="H514" s="7">
        <v>837104</v>
      </c>
      <c r="I514" s="7">
        <f t="shared" si="7"/>
        <v>36395.82608695652</v>
      </c>
      <c r="J514" s="7">
        <v>260944</v>
      </c>
      <c r="K514" s="7">
        <v>303</v>
      </c>
    </row>
    <row r="515" spans="1:11" ht="13.5" customHeight="1" x14ac:dyDescent="0.15">
      <c r="A515" s="4">
        <v>34943</v>
      </c>
      <c r="B515" s="6">
        <v>6</v>
      </c>
      <c r="C515" s="5">
        <v>136.6</v>
      </c>
      <c r="D515" s="5">
        <v>148.1</v>
      </c>
      <c r="E515" s="5">
        <v>128.19999999999999</v>
      </c>
      <c r="F515" s="5">
        <v>131.9</v>
      </c>
      <c r="G515" s="6">
        <v>20</v>
      </c>
      <c r="H515" s="7">
        <v>758790</v>
      </c>
      <c r="I515" s="7">
        <f t="shared" ref="I515:I578" si="8">H515/G515</f>
        <v>37939.5</v>
      </c>
      <c r="J515" s="7">
        <v>250672</v>
      </c>
      <c r="K515" s="7">
        <v>734</v>
      </c>
    </row>
    <row r="516" spans="1:11" ht="13.5" customHeight="1" x14ac:dyDescent="0.15">
      <c r="A516" s="4">
        <v>34973</v>
      </c>
      <c r="B516" s="6">
        <v>6</v>
      </c>
      <c r="C516" s="5">
        <v>132.80000000000001</v>
      </c>
      <c r="D516" s="5">
        <v>156.9</v>
      </c>
      <c r="E516" s="5">
        <v>131.5</v>
      </c>
      <c r="F516" s="5">
        <v>155.19999999999999</v>
      </c>
      <c r="G516" s="6">
        <v>21</v>
      </c>
      <c r="H516" s="7">
        <v>866959</v>
      </c>
      <c r="I516" s="7">
        <f t="shared" si="8"/>
        <v>41283.761904761908</v>
      </c>
      <c r="J516" s="7">
        <v>271814</v>
      </c>
      <c r="K516" s="7">
        <v>576</v>
      </c>
    </row>
    <row r="517" spans="1:11" ht="13.5" customHeight="1" x14ac:dyDescent="0.15">
      <c r="A517" s="4">
        <v>35004</v>
      </c>
      <c r="B517" s="6">
        <v>6</v>
      </c>
      <c r="C517" s="5">
        <v>157</v>
      </c>
      <c r="D517" s="5">
        <v>177.9</v>
      </c>
      <c r="E517" s="5">
        <v>156.30000000000001</v>
      </c>
      <c r="F517" s="5">
        <v>163.69999999999999</v>
      </c>
      <c r="G517" s="6">
        <v>20</v>
      </c>
      <c r="H517" s="7">
        <v>1284151</v>
      </c>
      <c r="I517" s="7">
        <f t="shared" si="8"/>
        <v>64207.55</v>
      </c>
      <c r="J517" s="7">
        <v>343066</v>
      </c>
      <c r="K517" s="7">
        <v>439</v>
      </c>
    </row>
    <row r="518" spans="1:11" ht="13.5" customHeight="1" x14ac:dyDescent="0.15">
      <c r="A518" s="4">
        <v>35034</v>
      </c>
      <c r="B518" s="6">
        <v>6</v>
      </c>
      <c r="C518" s="5">
        <v>163.5</v>
      </c>
      <c r="D518" s="5">
        <v>181</v>
      </c>
      <c r="E518" s="5">
        <v>154.80000000000001</v>
      </c>
      <c r="F518" s="5">
        <v>165.7</v>
      </c>
      <c r="G518" s="6">
        <v>20</v>
      </c>
      <c r="H518" s="7">
        <v>1632618</v>
      </c>
      <c r="I518" s="7">
        <f t="shared" si="8"/>
        <v>81630.899999999994</v>
      </c>
      <c r="J518" s="7">
        <v>402102</v>
      </c>
      <c r="K518" s="7">
        <v>458</v>
      </c>
    </row>
    <row r="519" spans="1:11" ht="13.5" customHeight="1" x14ac:dyDescent="0.15">
      <c r="A519" s="4">
        <v>35065</v>
      </c>
      <c r="B519" s="6">
        <v>6</v>
      </c>
      <c r="C519" s="5">
        <v>173.7</v>
      </c>
      <c r="D519" s="5">
        <v>173.7</v>
      </c>
      <c r="E519" s="5">
        <v>152.9</v>
      </c>
      <c r="F519" s="5">
        <v>159.5</v>
      </c>
      <c r="G519" s="6">
        <v>19</v>
      </c>
      <c r="H519" s="7">
        <v>1143320</v>
      </c>
      <c r="I519" s="7">
        <f t="shared" si="8"/>
        <v>60174.73684210526</v>
      </c>
      <c r="J519" s="7">
        <v>398742</v>
      </c>
      <c r="K519" s="7">
        <v>419</v>
      </c>
    </row>
    <row r="520" spans="1:11" ht="13.5" customHeight="1" x14ac:dyDescent="0.15">
      <c r="A520" s="4">
        <v>35096</v>
      </c>
      <c r="B520" s="6">
        <v>6</v>
      </c>
      <c r="C520" s="5">
        <v>160.9</v>
      </c>
      <c r="D520" s="5">
        <v>181.5</v>
      </c>
      <c r="E520" s="5">
        <v>160.9</v>
      </c>
      <c r="F520" s="5">
        <v>173.4</v>
      </c>
      <c r="G520" s="6">
        <v>20</v>
      </c>
      <c r="H520" s="7">
        <v>1059699</v>
      </c>
      <c r="I520" s="7">
        <f t="shared" si="8"/>
        <v>52984.95</v>
      </c>
      <c r="J520" s="7">
        <v>381345</v>
      </c>
      <c r="K520" s="7">
        <v>328</v>
      </c>
    </row>
    <row r="521" spans="1:11" ht="13.5" customHeight="1" x14ac:dyDescent="0.15">
      <c r="A521" s="4">
        <v>35125</v>
      </c>
      <c r="B521" s="6">
        <v>6</v>
      </c>
      <c r="C521" s="5">
        <v>172</v>
      </c>
      <c r="D521" s="5">
        <v>176.9</v>
      </c>
      <c r="E521" s="5">
        <v>154.6</v>
      </c>
      <c r="F521" s="5">
        <v>157.30000000000001</v>
      </c>
      <c r="G521" s="6">
        <v>20</v>
      </c>
      <c r="H521" s="7">
        <v>1072293</v>
      </c>
      <c r="I521" s="7">
        <f t="shared" si="8"/>
        <v>53614.65</v>
      </c>
      <c r="J521" s="7">
        <v>355353</v>
      </c>
      <c r="K521" s="7">
        <v>466</v>
      </c>
    </row>
    <row r="522" spans="1:11" ht="13.5" customHeight="1" x14ac:dyDescent="0.15">
      <c r="A522" s="4">
        <v>35156</v>
      </c>
      <c r="B522" s="6">
        <v>6</v>
      </c>
      <c r="C522" s="5">
        <v>159</v>
      </c>
      <c r="D522" s="5">
        <v>161.19999999999999</v>
      </c>
      <c r="E522" s="5">
        <v>143.5</v>
      </c>
      <c r="F522" s="5">
        <v>147</v>
      </c>
      <c r="G522" s="6">
        <v>21</v>
      </c>
      <c r="H522" s="7">
        <v>1070825</v>
      </c>
      <c r="I522" s="7">
        <f t="shared" si="8"/>
        <v>50991.666666666664</v>
      </c>
      <c r="J522" s="7">
        <v>294746</v>
      </c>
      <c r="K522" s="7">
        <v>620</v>
      </c>
    </row>
    <row r="523" spans="1:11" ht="13.5" customHeight="1" x14ac:dyDescent="0.15">
      <c r="A523" s="4">
        <v>35186</v>
      </c>
      <c r="B523" s="6">
        <v>6</v>
      </c>
      <c r="C523" s="5">
        <v>148.6</v>
      </c>
      <c r="D523" s="5">
        <v>166.9</v>
      </c>
      <c r="E523" s="5">
        <v>146.30000000000001</v>
      </c>
      <c r="F523" s="5">
        <v>160.69999999999999</v>
      </c>
      <c r="G523" s="6">
        <v>21</v>
      </c>
      <c r="H523" s="7">
        <v>779500</v>
      </c>
      <c r="I523" s="7">
        <f t="shared" si="8"/>
        <v>37119.047619047618</v>
      </c>
      <c r="J523" s="7">
        <v>293706</v>
      </c>
      <c r="K523" s="7">
        <v>643</v>
      </c>
    </row>
    <row r="524" spans="1:11" ht="13.5" customHeight="1" x14ac:dyDescent="0.15">
      <c r="A524" s="4">
        <v>35217</v>
      </c>
      <c r="B524" s="6">
        <v>6</v>
      </c>
      <c r="C524" s="5">
        <v>161.4</v>
      </c>
      <c r="D524" s="5">
        <v>161.4</v>
      </c>
      <c r="E524" s="5">
        <v>144.9</v>
      </c>
      <c r="F524" s="5">
        <v>147.1</v>
      </c>
      <c r="G524" s="6">
        <v>20</v>
      </c>
      <c r="H524" s="7">
        <v>744465</v>
      </c>
      <c r="I524" s="7">
        <f t="shared" si="8"/>
        <v>37223.25</v>
      </c>
      <c r="J524" s="7">
        <v>274473</v>
      </c>
      <c r="K524" s="7">
        <v>385</v>
      </c>
    </row>
    <row r="525" spans="1:11" ht="13.5" customHeight="1" x14ac:dyDescent="0.15">
      <c r="A525" s="4">
        <v>35247</v>
      </c>
      <c r="B525" s="6">
        <v>6</v>
      </c>
      <c r="C525" s="5">
        <v>146.5</v>
      </c>
      <c r="D525" s="5">
        <v>148</v>
      </c>
      <c r="E525" s="5">
        <v>137.80000000000001</v>
      </c>
      <c r="F525" s="5">
        <v>138.30000000000001</v>
      </c>
      <c r="G525" s="6">
        <v>23</v>
      </c>
      <c r="H525" s="7">
        <v>750320</v>
      </c>
      <c r="I525" s="7">
        <f t="shared" si="8"/>
        <v>32622.608695652172</v>
      </c>
      <c r="J525" s="7">
        <v>252118</v>
      </c>
      <c r="K525" s="7">
        <v>993</v>
      </c>
    </row>
    <row r="526" spans="1:11" ht="13.5" customHeight="1" x14ac:dyDescent="0.15">
      <c r="A526" s="4">
        <v>35278</v>
      </c>
      <c r="B526" s="6">
        <v>6</v>
      </c>
      <c r="C526" s="5">
        <v>137.4</v>
      </c>
      <c r="D526" s="5">
        <v>143.80000000000001</v>
      </c>
      <c r="E526" s="5">
        <v>135.4</v>
      </c>
      <c r="F526" s="5">
        <v>142.9</v>
      </c>
      <c r="G526" s="6">
        <v>22</v>
      </c>
      <c r="H526" s="7">
        <v>563615</v>
      </c>
      <c r="I526" s="7">
        <f t="shared" si="8"/>
        <v>25618.863636363636</v>
      </c>
      <c r="J526" s="7">
        <v>259070</v>
      </c>
      <c r="K526" s="7">
        <v>1866</v>
      </c>
    </row>
    <row r="527" spans="1:11" ht="13.5" customHeight="1" x14ac:dyDescent="0.15">
      <c r="A527" s="4">
        <v>35309</v>
      </c>
      <c r="B527" s="6">
        <v>6</v>
      </c>
      <c r="C527" s="5">
        <v>144.6</v>
      </c>
      <c r="D527" s="5">
        <v>145.69999999999999</v>
      </c>
      <c r="E527" s="5">
        <v>133.80000000000001</v>
      </c>
      <c r="F527" s="5">
        <v>133.9</v>
      </c>
      <c r="G527" s="6">
        <v>19</v>
      </c>
      <c r="H527" s="7">
        <v>587298</v>
      </c>
      <c r="I527" s="7">
        <f t="shared" si="8"/>
        <v>30910.42105263158</v>
      </c>
      <c r="J527" s="7">
        <v>233501</v>
      </c>
      <c r="K527" s="7">
        <v>2218</v>
      </c>
    </row>
    <row r="528" spans="1:11" ht="13.5" customHeight="1" x14ac:dyDescent="0.15">
      <c r="A528" s="4">
        <v>35339</v>
      </c>
      <c r="B528" s="6">
        <v>6</v>
      </c>
      <c r="C528" s="5">
        <v>134.1</v>
      </c>
      <c r="D528" s="5">
        <v>143.4</v>
      </c>
      <c r="E528" s="5">
        <v>131.1</v>
      </c>
      <c r="F528" s="5">
        <v>142.9</v>
      </c>
      <c r="G528" s="6">
        <v>22</v>
      </c>
      <c r="H528" s="7">
        <v>553966</v>
      </c>
      <c r="I528" s="7">
        <f t="shared" si="8"/>
        <v>25180.272727272728</v>
      </c>
      <c r="J528" s="7">
        <v>216373</v>
      </c>
      <c r="K528" s="7">
        <v>770</v>
      </c>
    </row>
    <row r="529" spans="1:11" ht="13.5" customHeight="1" x14ac:dyDescent="0.15">
      <c r="A529" s="4">
        <v>35370</v>
      </c>
      <c r="B529" s="6">
        <v>6</v>
      </c>
      <c r="C529" s="5">
        <v>142.9</v>
      </c>
      <c r="D529" s="5">
        <v>146.6</v>
      </c>
      <c r="E529" s="5">
        <v>139.69999999999999</v>
      </c>
      <c r="F529" s="5">
        <v>142.5</v>
      </c>
      <c r="G529" s="6">
        <v>20</v>
      </c>
      <c r="H529" s="7">
        <v>416401</v>
      </c>
      <c r="I529" s="7">
        <f t="shared" si="8"/>
        <v>20820.05</v>
      </c>
      <c r="J529" s="7">
        <v>203676</v>
      </c>
      <c r="K529" s="7">
        <v>800</v>
      </c>
    </row>
    <row r="530" spans="1:11" ht="13.5" customHeight="1" x14ac:dyDescent="0.15">
      <c r="A530" s="4">
        <v>35400</v>
      </c>
      <c r="B530" s="6">
        <v>6</v>
      </c>
      <c r="C530" s="5">
        <v>142.80000000000001</v>
      </c>
      <c r="D530" s="5">
        <v>150</v>
      </c>
      <c r="E530" s="5">
        <v>141</v>
      </c>
      <c r="F530" s="5">
        <v>149.9</v>
      </c>
      <c r="G530" s="6">
        <v>19</v>
      </c>
      <c r="H530" s="7">
        <v>344007</v>
      </c>
      <c r="I530" s="7">
        <f t="shared" si="8"/>
        <v>18105.63157894737</v>
      </c>
      <c r="J530" s="7">
        <v>189490</v>
      </c>
      <c r="K530" s="7">
        <v>616</v>
      </c>
    </row>
    <row r="531" spans="1:11" ht="13.5" customHeight="1" x14ac:dyDescent="0.15">
      <c r="A531" s="4">
        <v>35431</v>
      </c>
      <c r="B531" s="6">
        <v>6</v>
      </c>
      <c r="C531" s="5">
        <v>149.4</v>
      </c>
      <c r="D531" s="5">
        <v>149.4</v>
      </c>
      <c r="E531" s="5">
        <v>142.1</v>
      </c>
      <c r="F531" s="5">
        <v>145.4</v>
      </c>
      <c r="G531" s="6">
        <v>19</v>
      </c>
      <c r="H531" s="7">
        <v>278009</v>
      </c>
      <c r="I531" s="7">
        <f t="shared" si="8"/>
        <v>14632.052631578947</v>
      </c>
      <c r="J531" s="7">
        <v>172330</v>
      </c>
      <c r="K531" s="7">
        <v>573</v>
      </c>
    </row>
    <row r="532" spans="1:11" ht="13.5" customHeight="1" x14ac:dyDescent="0.15">
      <c r="A532" s="4">
        <v>35462</v>
      </c>
      <c r="B532" s="6">
        <v>6</v>
      </c>
      <c r="C532" s="5">
        <v>145.4</v>
      </c>
      <c r="D532" s="5">
        <v>161.69999999999999</v>
      </c>
      <c r="E532" s="5">
        <v>145.4</v>
      </c>
      <c r="F532" s="5">
        <v>150.19999999999999</v>
      </c>
      <c r="G532" s="6">
        <v>19</v>
      </c>
      <c r="H532" s="7">
        <v>636518</v>
      </c>
      <c r="I532" s="7">
        <f t="shared" si="8"/>
        <v>33500.947368421053</v>
      </c>
      <c r="J532" s="7">
        <v>172918</v>
      </c>
      <c r="K532" s="7">
        <v>486</v>
      </c>
    </row>
    <row r="533" spans="1:11" ht="13.5" customHeight="1" x14ac:dyDescent="0.15">
      <c r="A533" s="4">
        <v>35490</v>
      </c>
      <c r="B533" s="6">
        <v>6</v>
      </c>
      <c r="C533" s="5">
        <v>151</v>
      </c>
      <c r="D533" s="5">
        <v>156.4</v>
      </c>
      <c r="E533" s="5">
        <v>148.6</v>
      </c>
      <c r="F533" s="5">
        <v>150.30000000000001</v>
      </c>
      <c r="G533" s="6">
        <v>20</v>
      </c>
      <c r="H533" s="7">
        <v>303504</v>
      </c>
      <c r="I533" s="7">
        <f t="shared" si="8"/>
        <v>15175.2</v>
      </c>
      <c r="J533" s="7">
        <v>138273</v>
      </c>
      <c r="K533" s="7">
        <v>1037</v>
      </c>
    </row>
    <row r="534" spans="1:11" ht="13.5" customHeight="1" x14ac:dyDescent="0.15">
      <c r="A534" s="4">
        <v>35521</v>
      </c>
      <c r="B534" s="6">
        <v>6</v>
      </c>
      <c r="C534" s="5">
        <v>149.5</v>
      </c>
      <c r="D534" s="5">
        <v>149.5</v>
      </c>
      <c r="E534" s="5">
        <v>133.6</v>
      </c>
      <c r="F534" s="5">
        <v>138</v>
      </c>
      <c r="G534" s="6">
        <v>21</v>
      </c>
      <c r="H534" s="7">
        <v>432771</v>
      </c>
      <c r="I534" s="7">
        <f t="shared" si="8"/>
        <v>20608.142857142859</v>
      </c>
      <c r="J534" s="7">
        <v>130982</v>
      </c>
      <c r="K534" s="7">
        <v>1541</v>
      </c>
    </row>
    <row r="535" spans="1:11" ht="13.5" customHeight="1" x14ac:dyDescent="0.15">
      <c r="A535" s="4">
        <v>35551</v>
      </c>
      <c r="B535" s="6">
        <v>6</v>
      </c>
      <c r="C535" s="5">
        <v>139.30000000000001</v>
      </c>
      <c r="D535" s="5">
        <v>144.69999999999999</v>
      </c>
      <c r="E535" s="5">
        <v>131.9</v>
      </c>
      <c r="F535" s="5">
        <v>138.1</v>
      </c>
      <c r="G535" s="6">
        <v>21</v>
      </c>
      <c r="H535" s="7">
        <v>364073</v>
      </c>
      <c r="I535" s="7">
        <f t="shared" si="8"/>
        <v>17336.809523809523</v>
      </c>
      <c r="J535" s="7">
        <v>126173</v>
      </c>
      <c r="K535" s="7">
        <v>614</v>
      </c>
    </row>
    <row r="536" spans="1:11" ht="13.5" customHeight="1" x14ac:dyDescent="0.15">
      <c r="A536" s="4">
        <v>35582</v>
      </c>
      <c r="B536" s="6">
        <v>6</v>
      </c>
      <c r="C536" s="5">
        <v>137.9</v>
      </c>
      <c r="D536" s="5">
        <v>139.4</v>
      </c>
      <c r="E536" s="5">
        <v>119.8</v>
      </c>
      <c r="F536" s="5">
        <v>119.8</v>
      </c>
      <c r="G536" s="6">
        <v>21</v>
      </c>
      <c r="H536" s="7">
        <v>342613</v>
      </c>
      <c r="I536" s="7">
        <f t="shared" si="8"/>
        <v>16314.904761904761</v>
      </c>
      <c r="J536" s="7">
        <v>111876</v>
      </c>
      <c r="K536" s="7">
        <v>592</v>
      </c>
    </row>
    <row r="537" spans="1:11" ht="13.5" customHeight="1" x14ac:dyDescent="0.15">
      <c r="A537" s="4">
        <v>35612</v>
      </c>
      <c r="B537" s="6">
        <v>6</v>
      </c>
      <c r="C537" s="5">
        <v>119</v>
      </c>
      <c r="D537" s="5">
        <v>125.6</v>
      </c>
      <c r="E537" s="5">
        <v>109.6</v>
      </c>
      <c r="F537" s="5">
        <v>121.5</v>
      </c>
      <c r="G537" s="6">
        <v>22</v>
      </c>
      <c r="H537" s="7">
        <v>385600</v>
      </c>
      <c r="I537" s="7">
        <f t="shared" si="8"/>
        <v>17527.272727272728</v>
      </c>
      <c r="J537" s="7">
        <v>115814</v>
      </c>
      <c r="K537" s="7">
        <v>541</v>
      </c>
    </row>
    <row r="538" spans="1:11" ht="13.5" customHeight="1" x14ac:dyDescent="0.15">
      <c r="A538" s="4">
        <v>35643</v>
      </c>
      <c r="B538" s="6">
        <v>6</v>
      </c>
      <c r="C538" s="5">
        <v>123.6</v>
      </c>
      <c r="D538" s="5">
        <v>126.2</v>
      </c>
      <c r="E538" s="5">
        <v>112.3</v>
      </c>
      <c r="F538" s="5">
        <v>120.1</v>
      </c>
      <c r="G538" s="6">
        <v>21</v>
      </c>
      <c r="H538" s="7">
        <v>290261</v>
      </c>
      <c r="I538" s="7">
        <f t="shared" si="8"/>
        <v>13821.952380952382</v>
      </c>
      <c r="J538" s="7">
        <v>120678</v>
      </c>
      <c r="K538" s="7">
        <v>639</v>
      </c>
    </row>
    <row r="539" spans="1:11" ht="13.5" customHeight="1" x14ac:dyDescent="0.15">
      <c r="A539" s="4">
        <v>35674</v>
      </c>
      <c r="B539" s="6">
        <v>6</v>
      </c>
      <c r="C539" s="5">
        <v>121.6</v>
      </c>
      <c r="D539" s="5">
        <v>123.2</v>
      </c>
      <c r="E539" s="5">
        <v>112.6</v>
      </c>
      <c r="F539" s="5">
        <v>122.9</v>
      </c>
      <c r="G539" s="6">
        <v>20</v>
      </c>
      <c r="H539" s="7">
        <v>332526</v>
      </c>
      <c r="I539" s="7">
        <f t="shared" si="8"/>
        <v>16626.3</v>
      </c>
      <c r="J539" s="7">
        <v>130181</v>
      </c>
      <c r="K539" s="7">
        <v>437</v>
      </c>
    </row>
    <row r="540" spans="1:11" ht="13.5" customHeight="1" x14ac:dyDescent="0.15">
      <c r="A540" s="4">
        <v>35704</v>
      </c>
      <c r="B540" s="6">
        <v>6</v>
      </c>
      <c r="C540" s="5">
        <v>121.7</v>
      </c>
      <c r="D540" s="5">
        <v>122.9</v>
      </c>
      <c r="E540" s="5">
        <v>103.9</v>
      </c>
      <c r="F540" s="5">
        <v>104.9</v>
      </c>
      <c r="G540" s="6">
        <v>22</v>
      </c>
      <c r="H540" s="7">
        <v>366849</v>
      </c>
      <c r="I540" s="7">
        <f t="shared" si="8"/>
        <v>16674.954545454544</v>
      </c>
      <c r="J540" s="7">
        <v>132093</v>
      </c>
      <c r="K540" s="7">
        <v>701</v>
      </c>
    </row>
    <row r="541" spans="1:11" ht="13.5" customHeight="1" x14ac:dyDescent="0.15">
      <c r="A541" s="4">
        <v>35735</v>
      </c>
      <c r="B541" s="6">
        <v>6</v>
      </c>
      <c r="C541" s="5">
        <v>106.6</v>
      </c>
      <c r="D541" s="5">
        <v>109</v>
      </c>
      <c r="E541" s="5">
        <v>98.3</v>
      </c>
      <c r="F541" s="5">
        <v>98.7</v>
      </c>
      <c r="G541" s="6">
        <v>18</v>
      </c>
      <c r="H541" s="7">
        <v>348371</v>
      </c>
      <c r="I541" s="7">
        <f t="shared" si="8"/>
        <v>19353.944444444445</v>
      </c>
      <c r="J541" s="7">
        <v>139044</v>
      </c>
      <c r="K541" s="7">
        <v>606</v>
      </c>
    </row>
    <row r="542" spans="1:11" ht="13.5" customHeight="1" x14ac:dyDescent="0.15">
      <c r="A542" s="4">
        <v>35765</v>
      </c>
      <c r="B542" s="6">
        <v>6</v>
      </c>
      <c r="C542" s="5">
        <v>98.1</v>
      </c>
      <c r="D542" s="5">
        <v>100.6</v>
      </c>
      <c r="E542" s="5">
        <v>78.3</v>
      </c>
      <c r="F542" s="5">
        <v>91</v>
      </c>
      <c r="G542" s="6">
        <v>19</v>
      </c>
      <c r="H542" s="7">
        <v>677295</v>
      </c>
      <c r="I542" s="7">
        <f t="shared" si="8"/>
        <v>35647.105263157893</v>
      </c>
      <c r="J542" s="7">
        <v>181019</v>
      </c>
      <c r="K542" s="7">
        <v>655</v>
      </c>
    </row>
    <row r="543" spans="1:11" ht="13.5" customHeight="1" x14ac:dyDescent="0.15">
      <c r="A543" s="4">
        <v>35796</v>
      </c>
      <c r="B543" s="6">
        <v>6</v>
      </c>
      <c r="C543" s="5">
        <v>88.2</v>
      </c>
      <c r="D543" s="5">
        <v>109.1</v>
      </c>
      <c r="E543" s="5">
        <v>81.099999999999994</v>
      </c>
      <c r="F543" s="5">
        <v>109.1</v>
      </c>
      <c r="G543" s="6">
        <v>19</v>
      </c>
      <c r="H543" s="7">
        <v>878515</v>
      </c>
      <c r="I543" s="7">
        <f t="shared" si="8"/>
        <v>46237.631578947367</v>
      </c>
      <c r="J543" s="7">
        <v>236871</v>
      </c>
      <c r="K543" s="7">
        <v>847</v>
      </c>
    </row>
    <row r="544" spans="1:11" ht="13.5" customHeight="1" x14ac:dyDescent="0.15">
      <c r="A544" s="4">
        <v>35827</v>
      </c>
      <c r="B544" s="6">
        <v>6</v>
      </c>
      <c r="C544" s="5">
        <v>108.3</v>
      </c>
      <c r="D544" s="5">
        <v>115.2</v>
      </c>
      <c r="E544" s="5">
        <v>100.3</v>
      </c>
      <c r="F544" s="5">
        <v>105.8</v>
      </c>
      <c r="G544" s="6">
        <v>19</v>
      </c>
      <c r="H544" s="7">
        <v>1444645</v>
      </c>
      <c r="I544" s="7">
        <f t="shared" si="8"/>
        <v>76033.947368421053</v>
      </c>
      <c r="J544" s="7">
        <v>350439</v>
      </c>
      <c r="K544" s="7">
        <v>1000</v>
      </c>
    </row>
    <row r="545" spans="1:11" ht="13.5" customHeight="1" x14ac:dyDescent="0.15">
      <c r="A545" s="4">
        <v>35855</v>
      </c>
      <c r="B545" s="6">
        <v>6</v>
      </c>
      <c r="C545" s="5">
        <v>104.5</v>
      </c>
      <c r="D545" s="5">
        <v>106</v>
      </c>
      <c r="E545" s="5">
        <v>95.3</v>
      </c>
      <c r="F545" s="5">
        <v>101</v>
      </c>
      <c r="G545" s="6">
        <v>22</v>
      </c>
      <c r="H545" s="7">
        <v>1162672</v>
      </c>
      <c r="I545" s="7">
        <f t="shared" si="8"/>
        <v>52848.727272727272</v>
      </c>
      <c r="J545" s="7">
        <v>332431</v>
      </c>
      <c r="K545" s="7">
        <v>982</v>
      </c>
    </row>
    <row r="546" spans="1:11" ht="13.5" customHeight="1" x14ac:dyDescent="0.15">
      <c r="A546" s="4">
        <v>35886</v>
      </c>
      <c r="B546" s="6">
        <v>6</v>
      </c>
      <c r="C546" s="5">
        <v>101.5</v>
      </c>
      <c r="D546" s="5">
        <v>104.5</v>
      </c>
      <c r="E546" s="5">
        <v>96.5</v>
      </c>
      <c r="F546" s="5">
        <v>99</v>
      </c>
      <c r="G546" s="6">
        <v>21</v>
      </c>
      <c r="H546" s="7">
        <v>801855</v>
      </c>
      <c r="I546" s="7">
        <f t="shared" si="8"/>
        <v>38183.571428571428</v>
      </c>
      <c r="J546" s="7">
        <v>317657</v>
      </c>
      <c r="K546" s="7">
        <v>665</v>
      </c>
    </row>
    <row r="547" spans="1:11" ht="13.5" customHeight="1" x14ac:dyDescent="0.15">
      <c r="A547" s="4">
        <v>35916</v>
      </c>
      <c r="B547" s="6">
        <v>6</v>
      </c>
      <c r="C547" s="5">
        <v>99.3</v>
      </c>
      <c r="D547" s="5">
        <v>115</v>
      </c>
      <c r="E547" s="5">
        <v>98</v>
      </c>
      <c r="F547" s="5">
        <v>109.2</v>
      </c>
      <c r="G547" s="6">
        <v>19</v>
      </c>
      <c r="H547" s="7">
        <v>1014185</v>
      </c>
      <c r="I547" s="7">
        <f t="shared" si="8"/>
        <v>53378.15789473684</v>
      </c>
      <c r="J547" s="7">
        <v>322658</v>
      </c>
      <c r="K547" s="7">
        <v>498</v>
      </c>
    </row>
    <row r="548" spans="1:11" ht="13.5" customHeight="1" x14ac:dyDescent="0.15">
      <c r="A548" s="4">
        <v>35947</v>
      </c>
      <c r="B548" s="6">
        <v>6</v>
      </c>
      <c r="C548" s="5">
        <v>108.7</v>
      </c>
      <c r="D548" s="5">
        <v>110.4</v>
      </c>
      <c r="E548" s="5">
        <v>99.9</v>
      </c>
      <c r="F548" s="5">
        <v>103.2</v>
      </c>
      <c r="G548" s="6">
        <v>22</v>
      </c>
      <c r="H548" s="7">
        <v>863770</v>
      </c>
      <c r="I548" s="7">
        <f t="shared" si="8"/>
        <v>39262.272727272728</v>
      </c>
      <c r="J548" s="7">
        <v>313040</v>
      </c>
      <c r="K548" s="7">
        <v>395</v>
      </c>
    </row>
    <row r="549" spans="1:11" ht="13.5" customHeight="1" x14ac:dyDescent="0.15">
      <c r="A549" s="4">
        <v>35977</v>
      </c>
      <c r="B549" s="6">
        <v>6</v>
      </c>
      <c r="C549" s="5">
        <v>103.1</v>
      </c>
      <c r="D549" s="5">
        <v>110.2</v>
      </c>
      <c r="E549" s="5">
        <v>103.1</v>
      </c>
      <c r="F549" s="5">
        <v>106.9</v>
      </c>
      <c r="G549" s="6">
        <v>22</v>
      </c>
      <c r="H549" s="7">
        <v>670390</v>
      </c>
      <c r="I549" s="7">
        <f t="shared" si="8"/>
        <v>30472.272727272728</v>
      </c>
      <c r="J549" s="7">
        <v>283892</v>
      </c>
      <c r="K549" s="7">
        <v>819</v>
      </c>
    </row>
    <row r="550" spans="1:11" ht="13.5" customHeight="1" x14ac:dyDescent="0.15">
      <c r="A550" s="4">
        <v>36008</v>
      </c>
      <c r="B550" s="6">
        <v>6</v>
      </c>
      <c r="C550" s="5">
        <v>106.6</v>
      </c>
      <c r="D550" s="5">
        <v>107</v>
      </c>
      <c r="E550" s="5">
        <v>97.2</v>
      </c>
      <c r="F550" s="5">
        <v>100.6</v>
      </c>
      <c r="G550" s="6">
        <v>21</v>
      </c>
      <c r="H550" s="7">
        <v>700468</v>
      </c>
      <c r="I550" s="7">
        <f t="shared" si="8"/>
        <v>33355.619047619046</v>
      </c>
      <c r="J550" s="7">
        <v>247929</v>
      </c>
      <c r="K550" s="7">
        <v>265</v>
      </c>
    </row>
    <row r="551" spans="1:11" ht="13.5" customHeight="1" x14ac:dyDescent="0.15">
      <c r="A551" s="4">
        <v>36039</v>
      </c>
      <c r="B551" s="6">
        <v>6</v>
      </c>
      <c r="C551" s="5">
        <v>99.7</v>
      </c>
      <c r="D551" s="5">
        <v>104.5</v>
      </c>
      <c r="E551" s="5">
        <v>91.4</v>
      </c>
      <c r="F551" s="5">
        <v>103.8</v>
      </c>
      <c r="G551" s="6">
        <v>20</v>
      </c>
      <c r="H551" s="7">
        <v>680626</v>
      </c>
      <c r="I551" s="7">
        <f t="shared" si="8"/>
        <v>34031.300000000003</v>
      </c>
      <c r="J551" s="7">
        <v>218346</v>
      </c>
      <c r="K551" s="7">
        <v>447</v>
      </c>
    </row>
    <row r="552" spans="1:11" ht="13.5" customHeight="1" x14ac:dyDescent="0.15">
      <c r="A552" s="4">
        <v>36069</v>
      </c>
      <c r="B552" s="6">
        <v>6</v>
      </c>
      <c r="C552" s="5">
        <v>104.3</v>
      </c>
      <c r="D552" s="5">
        <v>105.1</v>
      </c>
      <c r="E552" s="5">
        <v>87.7</v>
      </c>
      <c r="F552" s="5">
        <v>87.8</v>
      </c>
      <c r="G552" s="6">
        <v>22</v>
      </c>
      <c r="H552" s="7">
        <v>698263</v>
      </c>
      <c r="I552" s="7">
        <f t="shared" si="8"/>
        <v>31739.227272727272</v>
      </c>
      <c r="J552" s="7">
        <v>205770</v>
      </c>
      <c r="K552" s="7">
        <v>439</v>
      </c>
    </row>
    <row r="553" spans="1:11" ht="13.5" customHeight="1" x14ac:dyDescent="0.15">
      <c r="A553" s="4">
        <v>36100</v>
      </c>
      <c r="B553" s="6">
        <v>6</v>
      </c>
      <c r="C553" s="5">
        <v>87</v>
      </c>
      <c r="D553" s="5">
        <v>92.6</v>
      </c>
      <c r="E553" s="5">
        <v>85.6</v>
      </c>
      <c r="F553" s="5">
        <v>90.6</v>
      </c>
      <c r="G553" s="6">
        <v>19</v>
      </c>
      <c r="H553" s="7">
        <v>515057</v>
      </c>
      <c r="I553" s="7">
        <f t="shared" si="8"/>
        <v>27108.263157894737</v>
      </c>
      <c r="J553" s="7">
        <v>218801</v>
      </c>
      <c r="K553" s="7">
        <v>763</v>
      </c>
    </row>
    <row r="554" spans="1:11" ht="13.5" customHeight="1" x14ac:dyDescent="0.15">
      <c r="A554" s="4">
        <v>36130</v>
      </c>
      <c r="B554" s="6">
        <v>6</v>
      </c>
      <c r="C554" s="5">
        <v>89.9</v>
      </c>
      <c r="D554" s="5">
        <v>90</v>
      </c>
      <c r="E554" s="5">
        <v>78.5</v>
      </c>
      <c r="F554" s="5">
        <v>82.1</v>
      </c>
      <c r="G554" s="6">
        <v>19</v>
      </c>
      <c r="H554" s="7">
        <v>532009</v>
      </c>
      <c r="I554" s="7">
        <f t="shared" si="8"/>
        <v>28000.473684210527</v>
      </c>
      <c r="J554" s="7">
        <v>215820</v>
      </c>
      <c r="K554" s="7">
        <v>604</v>
      </c>
    </row>
    <row r="555" spans="1:11" ht="13.5" customHeight="1" x14ac:dyDescent="0.15">
      <c r="A555" s="4">
        <v>36161</v>
      </c>
      <c r="B555" s="6">
        <v>6</v>
      </c>
      <c r="C555" s="5">
        <v>80.599999999999994</v>
      </c>
      <c r="D555" s="5">
        <v>92.9</v>
      </c>
      <c r="E555" s="5">
        <v>79.5</v>
      </c>
      <c r="F555" s="5">
        <v>86</v>
      </c>
      <c r="G555" s="6">
        <v>19</v>
      </c>
      <c r="H555" s="7">
        <v>655440</v>
      </c>
      <c r="I555" s="7">
        <f t="shared" si="8"/>
        <v>34496.84210526316</v>
      </c>
      <c r="J555" s="7">
        <v>230721</v>
      </c>
      <c r="K555" s="7">
        <v>409</v>
      </c>
    </row>
    <row r="556" spans="1:11" ht="13.5" customHeight="1" x14ac:dyDescent="0.15">
      <c r="A556" s="4">
        <v>36192</v>
      </c>
      <c r="B556" s="6">
        <v>6</v>
      </c>
      <c r="C556" s="5">
        <v>84.9</v>
      </c>
      <c r="D556" s="5">
        <v>88.7</v>
      </c>
      <c r="E556" s="5">
        <v>77</v>
      </c>
      <c r="F556" s="5">
        <v>82.2</v>
      </c>
      <c r="G556" s="6">
        <v>19</v>
      </c>
      <c r="H556" s="7">
        <v>740789</v>
      </c>
      <c r="I556" s="7">
        <f t="shared" si="8"/>
        <v>38988.894736842107</v>
      </c>
      <c r="J556" s="7">
        <v>249976</v>
      </c>
      <c r="K556" s="7">
        <v>1164</v>
      </c>
    </row>
    <row r="557" spans="1:11" ht="13.5" customHeight="1" x14ac:dyDescent="0.15">
      <c r="A557" s="4">
        <v>36220</v>
      </c>
      <c r="B557" s="6">
        <v>6</v>
      </c>
      <c r="C557" s="5">
        <v>81.8</v>
      </c>
      <c r="D557" s="5">
        <v>86.2</v>
      </c>
      <c r="E557" s="5">
        <v>78.599999999999994</v>
      </c>
      <c r="F557" s="5">
        <v>81.099999999999994</v>
      </c>
      <c r="G557" s="6">
        <v>22</v>
      </c>
      <c r="H557" s="7">
        <v>585202</v>
      </c>
      <c r="I557" s="7">
        <f t="shared" si="8"/>
        <v>26600.090909090908</v>
      </c>
      <c r="J557" s="7">
        <v>253149</v>
      </c>
      <c r="K557" s="7">
        <v>1546</v>
      </c>
    </row>
    <row r="558" spans="1:11" ht="13.5" customHeight="1" x14ac:dyDescent="0.15">
      <c r="A558" s="4">
        <v>36251</v>
      </c>
      <c r="B558" s="6">
        <v>6</v>
      </c>
      <c r="C558" s="5">
        <v>79.5</v>
      </c>
      <c r="D558" s="5">
        <v>81.2</v>
      </c>
      <c r="E558" s="5">
        <v>75</v>
      </c>
      <c r="F558" s="5">
        <v>75.900000000000006</v>
      </c>
      <c r="G558" s="6">
        <v>21</v>
      </c>
      <c r="H558" s="7">
        <v>568471</v>
      </c>
      <c r="I558" s="7">
        <f t="shared" si="8"/>
        <v>27070.047619047618</v>
      </c>
      <c r="J558" s="7">
        <v>217198</v>
      </c>
      <c r="K558" s="7">
        <v>497</v>
      </c>
    </row>
    <row r="559" spans="1:11" ht="13.5" customHeight="1" x14ac:dyDescent="0.15">
      <c r="A559" s="4">
        <v>36281</v>
      </c>
      <c r="B559" s="6">
        <v>6</v>
      </c>
      <c r="C559" s="5">
        <v>77.900000000000006</v>
      </c>
      <c r="D559" s="5">
        <v>84.3</v>
      </c>
      <c r="E559" s="5">
        <v>77.7</v>
      </c>
      <c r="F559" s="5">
        <v>83.8</v>
      </c>
      <c r="G559" s="6">
        <v>18</v>
      </c>
      <c r="H559" s="7">
        <v>463144</v>
      </c>
      <c r="I559" s="7">
        <f t="shared" si="8"/>
        <v>25730.222222222223</v>
      </c>
      <c r="J559" s="7">
        <v>211354</v>
      </c>
      <c r="K559" s="7">
        <v>462</v>
      </c>
    </row>
    <row r="560" spans="1:11" ht="13.5" customHeight="1" x14ac:dyDescent="0.15">
      <c r="A560" s="4">
        <v>36312</v>
      </c>
      <c r="B560" s="6">
        <v>6</v>
      </c>
      <c r="C560" s="5">
        <v>83.3</v>
      </c>
      <c r="D560" s="5">
        <v>83.3</v>
      </c>
      <c r="E560" s="5">
        <v>77.599999999999994</v>
      </c>
      <c r="F560" s="5">
        <v>79.7</v>
      </c>
      <c r="G560" s="6">
        <v>22</v>
      </c>
      <c r="H560" s="7">
        <v>404355</v>
      </c>
      <c r="I560" s="7">
        <f t="shared" si="8"/>
        <v>18379.772727272728</v>
      </c>
      <c r="J560" s="7">
        <v>177293</v>
      </c>
      <c r="K560" s="7">
        <v>372</v>
      </c>
    </row>
    <row r="561" spans="1:11" ht="13.5" customHeight="1" x14ac:dyDescent="0.15">
      <c r="A561" s="4">
        <v>36342</v>
      </c>
      <c r="B561" s="6">
        <v>6</v>
      </c>
      <c r="C561" s="5">
        <v>79.599999999999994</v>
      </c>
      <c r="D561" s="5">
        <v>80.2</v>
      </c>
      <c r="E561" s="5">
        <v>66.400000000000006</v>
      </c>
      <c r="F561" s="5">
        <v>67.599999999999994</v>
      </c>
      <c r="G561" s="6">
        <v>21</v>
      </c>
      <c r="H561" s="7">
        <v>469642</v>
      </c>
      <c r="I561" s="7">
        <f t="shared" si="8"/>
        <v>22363.904761904763</v>
      </c>
      <c r="J561" s="7">
        <v>150460</v>
      </c>
      <c r="K561" s="7">
        <v>823</v>
      </c>
    </row>
    <row r="562" spans="1:11" ht="13.5" customHeight="1" x14ac:dyDescent="0.15">
      <c r="A562" s="4">
        <v>36373</v>
      </c>
      <c r="B562" s="6">
        <v>6</v>
      </c>
      <c r="C562" s="5">
        <v>67.3</v>
      </c>
      <c r="D562" s="5">
        <v>74.099999999999994</v>
      </c>
      <c r="E562" s="5">
        <v>66.2</v>
      </c>
      <c r="F562" s="5">
        <v>74.099999999999994</v>
      </c>
      <c r="G562" s="6">
        <v>22</v>
      </c>
      <c r="H562" s="7">
        <v>319347</v>
      </c>
      <c r="I562" s="7">
        <f t="shared" si="8"/>
        <v>14515.772727272728</v>
      </c>
      <c r="J562" s="7">
        <v>129400</v>
      </c>
      <c r="K562" s="7">
        <v>1038</v>
      </c>
    </row>
    <row r="563" spans="1:11" ht="13.5" customHeight="1" x14ac:dyDescent="0.15">
      <c r="A563" s="4">
        <v>36404</v>
      </c>
      <c r="B563" s="6">
        <v>6</v>
      </c>
      <c r="C563" s="5">
        <v>73.099999999999994</v>
      </c>
      <c r="D563" s="5">
        <v>77.2</v>
      </c>
      <c r="E563" s="5">
        <v>70.7</v>
      </c>
      <c r="F563" s="5">
        <v>74.2</v>
      </c>
      <c r="G563" s="6">
        <v>20</v>
      </c>
      <c r="H563" s="7">
        <v>341338</v>
      </c>
      <c r="I563" s="7">
        <f t="shared" si="8"/>
        <v>17066.900000000001</v>
      </c>
      <c r="J563" s="7">
        <v>129612</v>
      </c>
      <c r="K563" s="7">
        <v>535</v>
      </c>
    </row>
    <row r="564" spans="1:11" ht="13.5" customHeight="1" x14ac:dyDescent="0.15">
      <c r="A564" s="4">
        <v>36434</v>
      </c>
      <c r="B564" s="6">
        <v>6</v>
      </c>
      <c r="C564" s="5">
        <v>73.7</v>
      </c>
      <c r="D564" s="5">
        <v>89</v>
      </c>
      <c r="E564" s="5">
        <v>73.7</v>
      </c>
      <c r="F564" s="5">
        <v>88.2</v>
      </c>
      <c r="G564" s="6">
        <v>20</v>
      </c>
      <c r="H564" s="7">
        <v>615044</v>
      </c>
      <c r="I564" s="7">
        <f t="shared" si="8"/>
        <v>30752.2</v>
      </c>
      <c r="J564" s="7">
        <v>161177</v>
      </c>
      <c r="K564" s="7">
        <v>345</v>
      </c>
    </row>
    <row r="565" spans="1:11" ht="13.5" customHeight="1" x14ac:dyDescent="0.15">
      <c r="A565" s="4">
        <v>36465</v>
      </c>
      <c r="B565" s="6">
        <v>6</v>
      </c>
      <c r="C565" s="5">
        <v>87.4</v>
      </c>
      <c r="D565" s="5">
        <v>91.5</v>
      </c>
      <c r="E565" s="5">
        <v>78.7</v>
      </c>
      <c r="F565" s="5">
        <v>79.400000000000006</v>
      </c>
      <c r="G565" s="6">
        <v>20</v>
      </c>
      <c r="H565" s="7">
        <v>580107</v>
      </c>
      <c r="I565" s="7">
        <f t="shared" si="8"/>
        <v>29005.35</v>
      </c>
      <c r="J565" s="7">
        <v>163099</v>
      </c>
      <c r="K565" s="7">
        <v>1070</v>
      </c>
    </row>
    <row r="566" spans="1:11" ht="13.5" customHeight="1" x14ac:dyDescent="0.15">
      <c r="A566" s="4">
        <v>36495</v>
      </c>
      <c r="B566" s="6">
        <v>6</v>
      </c>
      <c r="C566" s="5">
        <v>80.3</v>
      </c>
      <c r="D566" s="5">
        <v>80.5</v>
      </c>
      <c r="E566" s="5">
        <v>70.2</v>
      </c>
      <c r="F566" s="5">
        <v>72</v>
      </c>
      <c r="G566" s="6">
        <v>19</v>
      </c>
      <c r="H566" s="7">
        <v>447355</v>
      </c>
      <c r="I566" s="7">
        <f t="shared" si="8"/>
        <v>23545</v>
      </c>
      <c r="J566" s="7">
        <v>148352</v>
      </c>
      <c r="K566" s="7">
        <v>1017</v>
      </c>
    </row>
    <row r="567" spans="1:11" ht="13.5" customHeight="1" x14ac:dyDescent="0.15">
      <c r="A567" s="4">
        <v>36526</v>
      </c>
      <c r="B567" s="6">
        <v>6</v>
      </c>
      <c r="C567" s="5">
        <v>70.2</v>
      </c>
      <c r="D567" s="5">
        <v>85.6</v>
      </c>
      <c r="E567" s="5">
        <v>68.8</v>
      </c>
      <c r="F567" s="5">
        <v>85.6</v>
      </c>
      <c r="G567" s="6">
        <v>19</v>
      </c>
      <c r="H567" s="7">
        <v>349204</v>
      </c>
      <c r="I567" s="7">
        <f t="shared" si="8"/>
        <v>18379.157894736843</v>
      </c>
      <c r="J567" s="7">
        <v>139420</v>
      </c>
      <c r="K567" s="7">
        <v>841</v>
      </c>
    </row>
    <row r="568" spans="1:11" ht="13.5" customHeight="1" x14ac:dyDescent="0.15">
      <c r="A568" s="4">
        <v>36557</v>
      </c>
      <c r="B568" s="6">
        <v>6</v>
      </c>
      <c r="C568" s="5">
        <v>86.4</v>
      </c>
      <c r="D568" s="5">
        <v>94.8</v>
      </c>
      <c r="E568" s="5">
        <v>83.9</v>
      </c>
      <c r="F568" s="5">
        <v>85.5</v>
      </c>
      <c r="G568" s="6">
        <v>20</v>
      </c>
      <c r="H568" s="7">
        <v>523803</v>
      </c>
      <c r="I568" s="7">
        <f t="shared" si="8"/>
        <v>26190.15</v>
      </c>
      <c r="J568" s="7">
        <v>152074</v>
      </c>
      <c r="K568" s="7">
        <v>721</v>
      </c>
    </row>
    <row r="569" spans="1:11" ht="13.5" customHeight="1" x14ac:dyDescent="0.15">
      <c r="A569" s="4">
        <v>36586</v>
      </c>
      <c r="B569" s="6">
        <v>6</v>
      </c>
      <c r="C569" s="5">
        <v>83.4</v>
      </c>
      <c r="D569" s="5">
        <v>84.5</v>
      </c>
      <c r="E569" s="5">
        <v>76.900000000000006</v>
      </c>
      <c r="F569" s="5">
        <v>83.4</v>
      </c>
      <c r="G569" s="6">
        <v>22</v>
      </c>
      <c r="H569" s="7">
        <v>589439</v>
      </c>
      <c r="I569" s="7">
        <f t="shared" si="8"/>
        <v>26792.68181818182</v>
      </c>
      <c r="J569" s="7">
        <v>175095</v>
      </c>
      <c r="K569" s="7">
        <v>853</v>
      </c>
    </row>
    <row r="570" spans="1:11" ht="13.5" customHeight="1" x14ac:dyDescent="0.15">
      <c r="A570" s="4">
        <v>36617</v>
      </c>
      <c r="B570" s="6">
        <v>6</v>
      </c>
      <c r="C570" s="5">
        <v>83.6</v>
      </c>
      <c r="D570" s="5">
        <v>86.7</v>
      </c>
      <c r="E570" s="5">
        <v>77.3</v>
      </c>
      <c r="F570" s="5">
        <v>81</v>
      </c>
      <c r="G570" s="6">
        <v>20</v>
      </c>
      <c r="H570" s="7">
        <v>435719</v>
      </c>
      <c r="I570" s="7">
        <f t="shared" si="8"/>
        <v>21785.95</v>
      </c>
      <c r="J570" s="7">
        <v>170437</v>
      </c>
      <c r="K570" s="7">
        <v>866</v>
      </c>
    </row>
    <row r="571" spans="1:11" ht="13.5" customHeight="1" x14ac:dyDescent="0.15">
      <c r="A571" s="4">
        <v>36647</v>
      </c>
      <c r="B571" s="6">
        <v>6</v>
      </c>
      <c r="C571" s="5">
        <v>82.4</v>
      </c>
      <c r="D571" s="5">
        <v>83.5</v>
      </c>
      <c r="E571" s="5">
        <v>72.5</v>
      </c>
      <c r="F571" s="5">
        <v>75.099999999999994</v>
      </c>
      <c r="G571" s="6">
        <v>20</v>
      </c>
      <c r="H571" s="7">
        <v>339484</v>
      </c>
      <c r="I571" s="7">
        <f t="shared" si="8"/>
        <v>16974.2</v>
      </c>
      <c r="J571" s="7">
        <v>140340</v>
      </c>
      <c r="K571" s="7">
        <v>646</v>
      </c>
    </row>
    <row r="572" spans="1:11" ht="13.5" customHeight="1" x14ac:dyDescent="0.15">
      <c r="A572" s="4">
        <v>36678</v>
      </c>
      <c r="B572" s="6">
        <v>6</v>
      </c>
      <c r="C572" s="5">
        <v>75.2</v>
      </c>
      <c r="D572" s="5">
        <v>80.3</v>
      </c>
      <c r="E572" s="5">
        <v>74.5</v>
      </c>
      <c r="F572" s="5">
        <v>76.5</v>
      </c>
      <c r="G572" s="6">
        <v>22</v>
      </c>
      <c r="H572" s="7">
        <v>295311</v>
      </c>
      <c r="I572" s="7">
        <f t="shared" si="8"/>
        <v>13423.227272727272</v>
      </c>
      <c r="J572" s="7">
        <v>137723</v>
      </c>
      <c r="K572" s="7">
        <v>422</v>
      </c>
    </row>
    <row r="573" spans="1:11" ht="13.5" customHeight="1" x14ac:dyDescent="0.15">
      <c r="A573" s="4">
        <v>36708</v>
      </c>
      <c r="B573" s="6">
        <v>6</v>
      </c>
      <c r="C573" s="5">
        <v>76.2</v>
      </c>
      <c r="D573" s="5">
        <v>87.4</v>
      </c>
      <c r="E573" s="5">
        <v>74.5</v>
      </c>
      <c r="F573" s="5">
        <v>87</v>
      </c>
      <c r="G573" s="6">
        <v>20</v>
      </c>
      <c r="H573" s="7">
        <v>356372</v>
      </c>
      <c r="I573" s="7">
        <f t="shared" si="8"/>
        <v>17818.599999999999</v>
      </c>
      <c r="J573" s="7">
        <v>165734</v>
      </c>
      <c r="K573" s="7">
        <v>865</v>
      </c>
    </row>
    <row r="574" spans="1:11" ht="13.5" customHeight="1" x14ac:dyDescent="0.15">
      <c r="A574" s="4">
        <v>36739</v>
      </c>
      <c r="B574" s="6">
        <v>6</v>
      </c>
      <c r="C574" s="5">
        <v>86.5</v>
      </c>
      <c r="D574" s="5">
        <v>96.2</v>
      </c>
      <c r="E574" s="5">
        <v>76</v>
      </c>
      <c r="F574" s="5">
        <v>80.099999999999994</v>
      </c>
      <c r="G574" s="6">
        <v>23</v>
      </c>
      <c r="H574" s="7">
        <v>958881</v>
      </c>
      <c r="I574" s="7">
        <f t="shared" si="8"/>
        <v>41690.478260869568</v>
      </c>
      <c r="J574" s="7">
        <v>174183</v>
      </c>
      <c r="K574" s="7">
        <v>2035</v>
      </c>
    </row>
    <row r="575" spans="1:11" ht="13.5" customHeight="1" x14ac:dyDescent="0.15">
      <c r="A575" s="4">
        <v>36770</v>
      </c>
      <c r="B575" s="6">
        <v>6</v>
      </c>
      <c r="C575" s="5">
        <v>82.4</v>
      </c>
      <c r="D575" s="5">
        <v>88</v>
      </c>
      <c r="E575" s="5">
        <v>79.900000000000006</v>
      </c>
      <c r="F575" s="5">
        <v>86.9</v>
      </c>
      <c r="G575" s="6">
        <v>20</v>
      </c>
      <c r="H575" s="7">
        <v>509100</v>
      </c>
      <c r="I575" s="7">
        <f t="shared" si="8"/>
        <v>25455</v>
      </c>
      <c r="J575" s="7">
        <v>188349</v>
      </c>
      <c r="K575" s="7">
        <v>2828</v>
      </c>
    </row>
    <row r="576" spans="1:11" ht="13.5" customHeight="1" x14ac:dyDescent="0.15">
      <c r="A576" s="4">
        <v>36800</v>
      </c>
      <c r="B576" s="6">
        <v>6</v>
      </c>
      <c r="C576" s="5">
        <v>88.9</v>
      </c>
      <c r="D576" s="5">
        <v>93</v>
      </c>
      <c r="E576" s="5">
        <v>81.2</v>
      </c>
      <c r="F576" s="5">
        <v>82.6</v>
      </c>
      <c r="G576" s="6">
        <v>21</v>
      </c>
      <c r="H576" s="7">
        <v>636549</v>
      </c>
      <c r="I576" s="7">
        <f t="shared" si="8"/>
        <v>30311.857142857141</v>
      </c>
      <c r="J576" s="7">
        <v>207593</v>
      </c>
      <c r="K576" s="7">
        <v>1803</v>
      </c>
    </row>
    <row r="577" spans="1:11" ht="13.5" customHeight="1" x14ac:dyDescent="0.15">
      <c r="A577" s="4">
        <v>36831</v>
      </c>
      <c r="B577" s="6">
        <v>6</v>
      </c>
      <c r="C577" s="5">
        <v>82.7</v>
      </c>
      <c r="D577" s="5">
        <v>83.2</v>
      </c>
      <c r="E577" s="5">
        <v>71.2</v>
      </c>
      <c r="F577" s="5">
        <v>79.099999999999994</v>
      </c>
      <c r="G577" s="6">
        <v>20</v>
      </c>
      <c r="H577" s="7">
        <v>617242</v>
      </c>
      <c r="I577" s="7">
        <f t="shared" si="8"/>
        <v>30862.1</v>
      </c>
      <c r="J577" s="7">
        <v>205453</v>
      </c>
      <c r="K577" s="7">
        <v>2874</v>
      </c>
    </row>
    <row r="578" spans="1:11" ht="13.5" customHeight="1" x14ac:dyDescent="0.15">
      <c r="A578" s="4">
        <v>36861</v>
      </c>
      <c r="B578" s="6">
        <v>6</v>
      </c>
      <c r="C578" s="5">
        <v>79</v>
      </c>
      <c r="D578" s="5">
        <v>81</v>
      </c>
      <c r="E578" s="5">
        <v>68.2</v>
      </c>
      <c r="F578" s="5">
        <v>72.7</v>
      </c>
      <c r="G578" s="6">
        <v>20</v>
      </c>
      <c r="H578" s="7">
        <v>584336</v>
      </c>
      <c r="I578" s="7">
        <f t="shared" si="8"/>
        <v>29216.799999999999</v>
      </c>
      <c r="J578" s="7">
        <v>209856</v>
      </c>
      <c r="K578" s="7">
        <v>2620</v>
      </c>
    </row>
    <row r="579" spans="1:11" ht="13.5" customHeight="1" x14ac:dyDescent="0.15">
      <c r="A579" s="4">
        <v>36892</v>
      </c>
      <c r="B579" s="6">
        <v>6</v>
      </c>
      <c r="C579" s="5">
        <v>70.099999999999994</v>
      </c>
      <c r="D579" s="5">
        <v>74.900000000000006</v>
      </c>
      <c r="E579" s="5">
        <v>67.3</v>
      </c>
      <c r="F579" s="5">
        <v>71.8</v>
      </c>
      <c r="G579" s="6">
        <v>19</v>
      </c>
      <c r="H579" s="7">
        <v>441759</v>
      </c>
      <c r="I579" s="7">
        <f t="shared" ref="I579:I642" si="9">H579/G579</f>
        <v>23250.473684210527</v>
      </c>
      <c r="J579" s="7">
        <v>225093</v>
      </c>
      <c r="K579" s="7">
        <v>1239</v>
      </c>
    </row>
    <row r="580" spans="1:11" ht="13.5" customHeight="1" x14ac:dyDescent="0.15">
      <c r="A580" s="4">
        <v>36923</v>
      </c>
      <c r="B580" s="6">
        <v>6</v>
      </c>
      <c r="C580" s="5">
        <v>71.900000000000006</v>
      </c>
      <c r="D580" s="5">
        <v>72.900000000000006</v>
      </c>
      <c r="E580" s="5">
        <v>68.7</v>
      </c>
      <c r="F580" s="5">
        <v>70.7</v>
      </c>
      <c r="G580" s="6">
        <v>19</v>
      </c>
      <c r="H580" s="7">
        <v>378255</v>
      </c>
      <c r="I580" s="7">
        <f t="shared" si="9"/>
        <v>19908.157894736843</v>
      </c>
      <c r="J580" s="7">
        <v>197987</v>
      </c>
      <c r="K580" s="7">
        <v>2775</v>
      </c>
    </row>
    <row r="581" spans="1:11" ht="13.5" customHeight="1" x14ac:dyDescent="0.15">
      <c r="A581" s="4">
        <v>36951</v>
      </c>
      <c r="B581" s="6">
        <v>6</v>
      </c>
      <c r="C581" s="5">
        <v>70.5</v>
      </c>
      <c r="D581" s="5">
        <v>74.599999999999994</v>
      </c>
      <c r="E581" s="5">
        <v>67.8</v>
      </c>
      <c r="F581" s="5">
        <v>73.7</v>
      </c>
      <c r="G581" s="6">
        <v>21</v>
      </c>
      <c r="H581" s="7">
        <v>373286</v>
      </c>
      <c r="I581" s="7">
        <f t="shared" si="9"/>
        <v>17775.523809523809</v>
      </c>
      <c r="J581" s="7">
        <v>146747</v>
      </c>
      <c r="K581" s="7">
        <v>3492</v>
      </c>
    </row>
    <row r="582" spans="1:11" ht="13.5" customHeight="1" x14ac:dyDescent="0.15">
      <c r="A582" s="4">
        <v>36982</v>
      </c>
      <c r="B582" s="6">
        <v>6</v>
      </c>
      <c r="C582" s="5">
        <v>74.3</v>
      </c>
      <c r="D582" s="5">
        <v>77.5</v>
      </c>
      <c r="E582" s="5">
        <v>73.599999999999994</v>
      </c>
      <c r="F582" s="5">
        <v>76.7</v>
      </c>
      <c r="G582" s="6">
        <v>20</v>
      </c>
      <c r="H582" s="7">
        <v>244159</v>
      </c>
      <c r="I582" s="7">
        <f t="shared" si="9"/>
        <v>12207.95</v>
      </c>
      <c r="J582" s="7">
        <v>120219</v>
      </c>
      <c r="K582" s="7">
        <v>679</v>
      </c>
    </row>
    <row r="583" spans="1:11" ht="13.5" customHeight="1" x14ac:dyDescent="0.15">
      <c r="A583" s="4">
        <v>37012</v>
      </c>
      <c r="B583" s="6">
        <v>6</v>
      </c>
      <c r="C583" s="5">
        <v>76.7</v>
      </c>
      <c r="D583" s="5">
        <v>85.7</v>
      </c>
      <c r="E583" s="5">
        <v>75.599999999999994</v>
      </c>
      <c r="F583" s="5">
        <v>83.8</v>
      </c>
      <c r="G583" s="6">
        <v>21</v>
      </c>
      <c r="H583" s="7">
        <v>329044</v>
      </c>
      <c r="I583" s="7">
        <f t="shared" si="9"/>
        <v>15668.761904761905</v>
      </c>
      <c r="J583" s="7">
        <v>107290</v>
      </c>
      <c r="K583" s="7">
        <v>1124</v>
      </c>
    </row>
    <row r="584" spans="1:11" ht="13.5" customHeight="1" x14ac:dyDescent="0.15">
      <c r="A584" s="4">
        <v>37043</v>
      </c>
      <c r="B584" s="6">
        <v>6</v>
      </c>
      <c r="C584" s="5">
        <v>83.4</v>
      </c>
      <c r="D584" s="5">
        <v>86</v>
      </c>
      <c r="E584" s="5">
        <v>77.900000000000006</v>
      </c>
      <c r="F584" s="5">
        <v>82.2</v>
      </c>
      <c r="G584" s="6">
        <v>21</v>
      </c>
      <c r="H584" s="7">
        <v>281211</v>
      </c>
      <c r="I584" s="7">
        <f t="shared" si="9"/>
        <v>13391</v>
      </c>
      <c r="J584" s="7">
        <v>99304</v>
      </c>
      <c r="K584" s="7">
        <v>445</v>
      </c>
    </row>
    <row r="585" spans="1:11" ht="13.5" customHeight="1" x14ac:dyDescent="0.15">
      <c r="A585" s="4">
        <v>37073</v>
      </c>
      <c r="B585" s="6">
        <v>6</v>
      </c>
      <c r="C585" s="5">
        <v>82.6</v>
      </c>
      <c r="D585" s="5">
        <v>83.5</v>
      </c>
      <c r="E585" s="5">
        <v>77.400000000000006</v>
      </c>
      <c r="F585" s="5">
        <v>77.7</v>
      </c>
      <c r="G585" s="6">
        <v>21</v>
      </c>
      <c r="H585" s="7">
        <v>199514</v>
      </c>
      <c r="I585" s="7">
        <f t="shared" si="9"/>
        <v>9500.6666666666661</v>
      </c>
      <c r="J585" s="7">
        <v>93962</v>
      </c>
      <c r="K585" s="7">
        <v>192</v>
      </c>
    </row>
    <row r="586" spans="1:11" ht="13.5" customHeight="1" x14ac:dyDescent="0.15">
      <c r="A586" s="4">
        <v>37104</v>
      </c>
      <c r="B586" s="6">
        <v>6</v>
      </c>
      <c r="C586" s="5">
        <v>77.900000000000006</v>
      </c>
      <c r="D586" s="5">
        <v>78.599999999999994</v>
      </c>
      <c r="E586" s="5">
        <v>70.900000000000006</v>
      </c>
      <c r="F586" s="5">
        <v>71</v>
      </c>
      <c r="G586" s="6">
        <v>23</v>
      </c>
      <c r="H586" s="7">
        <v>251014</v>
      </c>
      <c r="I586" s="7">
        <f t="shared" si="9"/>
        <v>10913.652173913044</v>
      </c>
      <c r="J586" s="7">
        <v>86119</v>
      </c>
      <c r="K586" s="7">
        <v>301</v>
      </c>
    </row>
    <row r="587" spans="1:11" ht="13.5" customHeight="1" x14ac:dyDescent="0.15">
      <c r="A587" s="4">
        <v>37135</v>
      </c>
      <c r="B587" s="6">
        <v>6</v>
      </c>
      <c r="C587" s="5">
        <v>71.599999999999994</v>
      </c>
      <c r="D587" s="5">
        <v>72.3</v>
      </c>
      <c r="E587" s="5">
        <v>64.900000000000006</v>
      </c>
      <c r="F587" s="5">
        <v>65.5</v>
      </c>
      <c r="G587" s="6">
        <v>19</v>
      </c>
      <c r="H587" s="7">
        <v>209440</v>
      </c>
      <c r="I587" s="7">
        <f t="shared" si="9"/>
        <v>11023.157894736842</v>
      </c>
      <c r="J587" s="7">
        <v>80504</v>
      </c>
      <c r="K587" s="7">
        <v>604</v>
      </c>
    </row>
    <row r="588" spans="1:11" ht="13.5" customHeight="1" x14ac:dyDescent="0.15">
      <c r="A588" s="4">
        <v>37165</v>
      </c>
      <c r="B588" s="6">
        <v>6</v>
      </c>
      <c r="C588" s="5">
        <v>65.900000000000006</v>
      </c>
      <c r="D588" s="5">
        <v>70</v>
      </c>
      <c r="E588" s="5">
        <v>64</v>
      </c>
      <c r="F588" s="5">
        <v>68.7</v>
      </c>
      <c r="G588" s="6">
        <v>22</v>
      </c>
      <c r="H588" s="7">
        <v>179228</v>
      </c>
      <c r="I588" s="7">
        <f t="shared" si="9"/>
        <v>8146.727272727273</v>
      </c>
      <c r="J588" s="7">
        <v>78875</v>
      </c>
      <c r="K588" s="7">
        <v>830</v>
      </c>
    </row>
    <row r="589" spans="1:11" ht="13.5" customHeight="1" x14ac:dyDescent="0.15">
      <c r="A589" s="4">
        <v>37196</v>
      </c>
      <c r="B589" s="6">
        <v>6</v>
      </c>
      <c r="C589" s="5">
        <v>68.7</v>
      </c>
      <c r="D589" s="5">
        <v>69.2</v>
      </c>
      <c r="E589" s="5">
        <v>62</v>
      </c>
      <c r="F589" s="5">
        <v>63.2</v>
      </c>
      <c r="G589" s="6">
        <v>21</v>
      </c>
      <c r="H589" s="7">
        <v>189252</v>
      </c>
      <c r="I589" s="7">
        <f t="shared" si="9"/>
        <v>9012</v>
      </c>
      <c r="J589" s="7">
        <v>78215</v>
      </c>
      <c r="K589" s="7">
        <v>302</v>
      </c>
    </row>
    <row r="590" spans="1:11" ht="13.5" customHeight="1" x14ac:dyDescent="0.15">
      <c r="A590" s="4">
        <v>37226</v>
      </c>
      <c r="B590" s="6">
        <v>6</v>
      </c>
      <c r="C590" s="5">
        <v>63.4</v>
      </c>
      <c r="D590" s="5">
        <v>79.5</v>
      </c>
      <c r="E590" s="5">
        <v>62.3</v>
      </c>
      <c r="F590" s="5">
        <v>79</v>
      </c>
      <c r="G590" s="6">
        <v>19</v>
      </c>
      <c r="H590" s="7">
        <v>258249</v>
      </c>
      <c r="I590" s="7">
        <f t="shared" si="9"/>
        <v>13592.052631578947</v>
      </c>
      <c r="J590" s="7">
        <v>95076</v>
      </c>
      <c r="K590" s="7">
        <v>537</v>
      </c>
    </row>
    <row r="591" spans="1:11" ht="13.5" customHeight="1" x14ac:dyDescent="0.15">
      <c r="A591" s="4">
        <v>37257</v>
      </c>
      <c r="B591" s="6">
        <v>6</v>
      </c>
      <c r="C591" s="5">
        <v>76.7</v>
      </c>
      <c r="D591" s="5">
        <v>92</v>
      </c>
      <c r="E591" s="5">
        <v>76.2</v>
      </c>
      <c r="F591" s="5">
        <v>84.8</v>
      </c>
      <c r="G591" s="6">
        <v>19</v>
      </c>
      <c r="H591" s="7">
        <v>526149</v>
      </c>
      <c r="I591" s="7">
        <f t="shared" si="9"/>
        <v>27692.052631578947</v>
      </c>
      <c r="J591" s="7">
        <v>124509</v>
      </c>
      <c r="K591" s="7">
        <v>289</v>
      </c>
    </row>
    <row r="592" spans="1:11" ht="13.5" customHeight="1" x14ac:dyDescent="0.15">
      <c r="A592" s="4">
        <v>37288</v>
      </c>
      <c r="B592" s="6">
        <v>6</v>
      </c>
      <c r="C592" s="5">
        <v>85.8</v>
      </c>
      <c r="D592" s="5">
        <v>95.8</v>
      </c>
      <c r="E592" s="5">
        <v>84.8</v>
      </c>
      <c r="F592" s="5">
        <v>92.1</v>
      </c>
      <c r="G592" s="6">
        <v>19</v>
      </c>
      <c r="H592" s="7">
        <v>413249</v>
      </c>
      <c r="I592" s="7">
        <f t="shared" si="9"/>
        <v>21749.947368421053</v>
      </c>
      <c r="J592" s="7">
        <v>145162</v>
      </c>
      <c r="K592" s="7">
        <v>180</v>
      </c>
    </row>
    <row r="593" spans="1:12" ht="13.5" customHeight="1" x14ac:dyDescent="0.15">
      <c r="A593" s="4">
        <v>37316</v>
      </c>
      <c r="B593" s="6">
        <v>6</v>
      </c>
      <c r="C593" s="5">
        <v>91.2</v>
      </c>
      <c r="D593" s="5">
        <v>103.8</v>
      </c>
      <c r="E593" s="5">
        <v>91.2</v>
      </c>
      <c r="F593" s="5">
        <v>93.1</v>
      </c>
      <c r="G593" s="6">
        <v>20</v>
      </c>
      <c r="H593" s="7">
        <v>540087</v>
      </c>
      <c r="I593" s="7">
        <f t="shared" si="9"/>
        <v>27004.35</v>
      </c>
      <c r="J593" s="7">
        <v>155783</v>
      </c>
      <c r="K593" s="7">
        <v>286</v>
      </c>
    </row>
    <row r="594" spans="1:12" ht="13.5" customHeight="1" x14ac:dyDescent="0.15">
      <c r="A594" s="4">
        <v>37347</v>
      </c>
      <c r="B594" s="6">
        <v>6</v>
      </c>
      <c r="C594" s="5">
        <v>92.9</v>
      </c>
      <c r="D594" s="5">
        <v>101.4</v>
      </c>
      <c r="E594" s="5">
        <v>91.1</v>
      </c>
      <c r="F594" s="5">
        <v>91.9</v>
      </c>
      <c r="G594" s="6">
        <v>21</v>
      </c>
      <c r="H594" s="7">
        <v>429214</v>
      </c>
      <c r="I594" s="7">
        <f t="shared" si="9"/>
        <v>20438.761904761905</v>
      </c>
      <c r="J594" s="7">
        <v>162219</v>
      </c>
      <c r="K594" s="7">
        <v>274</v>
      </c>
    </row>
    <row r="595" spans="1:12" ht="13.5" customHeight="1" x14ac:dyDescent="0.15">
      <c r="A595" s="4">
        <v>37377</v>
      </c>
      <c r="B595" s="6">
        <v>6</v>
      </c>
      <c r="C595" s="5">
        <v>92.8</v>
      </c>
      <c r="D595" s="5">
        <v>104.3</v>
      </c>
      <c r="E595" s="5">
        <v>91.5</v>
      </c>
      <c r="F595" s="5">
        <v>102.6</v>
      </c>
      <c r="G595" s="6">
        <v>21</v>
      </c>
      <c r="H595" s="7">
        <v>361729</v>
      </c>
      <c r="I595" s="7">
        <f t="shared" si="9"/>
        <v>17225.190476190477</v>
      </c>
      <c r="J595" s="7">
        <v>164601</v>
      </c>
      <c r="K595" s="7">
        <v>264</v>
      </c>
      <c r="L595" s="13" t="s">
        <v>18</v>
      </c>
    </row>
    <row r="596" spans="1:12" ht="13.5" customHeight="1" x14ac:dyDescent="0.15">
      <c r="A596" s="4">
        <v>37408</v>
      </c>
      <c r="B596" s="6">
        <v>6</v>
      </c>
      <c r="C596" s="5">
        <v>102.5</v>
      </c>
      <c r="D596" s="5">
        <v>125.6</v>
      </c>
      <c r="E596" s="5">
        <v>99.9</v>
      </c>
      <c r="F596" s="5">
        <v>114.5</v>
      </c>
      <c r="G596" s="6">
        <v>20</v>
      </c>
      <c r="H596" s="7">
        <v>937566</v>
      </c>
      <c r="I596" s="7">
        <f t="shared" si="9"/>
        <v>46878.3</v>
      </c>
      <c r="J596" s="7">
        <v>195239</v>
      </c>
      <c r="K596" s="7">
        <v>424</v>
      </c>
    </row>
    <row r="597" spans="1:12" ht="13.5" customHeight="1" x14ac:dyDescent="0.15">
      <c r="A597" s="4">
        <v>37438</v>
      </c>
      <c r="B597" s="6">
        <v>6</v>
      </c>
      <c r="C597" s="5">
        <v>112.8</v>
      </c>
      <c r="D597" s="5">
        <v>117.8</v>
      </c>
      <c r="E597" s="5">
        <v>96.8</v>
      </c>
      <c r="F597" s="5">
        <v>99</v>
      </c>
      <c r="G597" s="6">
        <v>23</v>
      </c>
      <c r="H597" s="7">
        <v>744338</v>
      </c>
      <c r="I597" s="7">
        <f t="shared" si="9"/>
        <v>32362.521739130436</v>
      </c>
      <c r="J597" s="7">
        <v>152450</v>
      </c>
      <c r="K597" s="7">
        <v>362</v>
      </c>
    </row>
    <row r="598" spans="1:12" ht="13.5" customHeight="1" x14ac:dyDescent="0.15">
      <c r="A598" s="4">
        <v>37469</v>
      </c>
      <c r="B598" s="6">
        <v>6</v>
      </c>
      <c r="C598" s="5">
        <v>99.5</v>
      </c>
      <c r="D598" s="5">
        <v>117.9</v>
      </c>
      <c r="E598" s="5">
        <v>98.9</v>
      </c>
      <c r="F598" s="5">
        <v>115.7</v>
      </c>
      <c r="G598" s="6">
        <v>22</v>
      </c>
      <c r="H598" s="7">
        <v>482065</v>
      </c>
      <c r="I598" s="7">
        <f t="shared" si="9"/>
        <v>21912.045454545456</v>
      </c>
      <c r="J598" s="7">
        <v>132965</v>
      </c>
      <c r="K598" s="7">
        <v>609</v>
      </c>
    </row>
    <row r="599" spans="1:12" ht="13.5" customHeight="1" x14ac:dyDescent="0.15">
      <c r="A599" s="4">
        <v>37500</v>
      </c>
      <c r="B599" s="6">
        <v>6</v>
      </c>
      <c r="C599" s="5">
        <v>117</v>
      </c>
      <c r="D599" s="5">
        <v>122.9</v>
      </c>
      <c r="E599" s="5">
        <v>111.1</v>
      </c>
      <c r="F599" s="5">
        <v>115.7</v>
      </c>
      <c r="G599" s="6">
        <v>19</v>
      </c>
      <c r="H599" s="7">
        <v>387540</v>
      </c>
      <c r="I599" s="7">
        <f t="shared" si="9"/>
        <v>20396.842105263157</v>
      </c>
      <c r="J599" s="7">
        <v>114668</v>
      </c>
      <c r="K599" s="7">
        <v>354</v>
      </c>
    </row>
    <row r="600" spans="1:12" ht="13.5" customHeight="1" x14ac:dyDescent="0.15">
      <c r="A600" s="4">
        <v>37530</v>
      </c>
      <c r="B600" s="6">
        <v>6</v>
      </c>
      <c r="C600" s="5">
        <v>114.2</v>
      </c>
      <c r="D600" s="5">
        <v>115.8</v>
      </c>
      <c r="E600" s="5">
        <v>106.1</v>
      </c>
      <c r="F600" s="5">
        <v>113</v>
      </c>
      <c r="G600" s="6">
        <v>22</v>
      </c>
      <c r="H600" s="7">
        <v>353207</v>
      </c>
      <c r="I600" s="7">
        <f t="shared" si="9"/>
        <v>16054.863636363636</v>
      </c>
      <c r="J600" s="7">
        <v>97827</v>
      </c>
      <c r="K600" s="7">
        <v>169</v>
      </c>
    </row>
    <row r="601" spans="1:12" ht="13.5" customHeight="1" x14ac:dyDescent="0.15">
      <c r="A601" s="4">
        <v>37561</v>
      </c>
      <c r="B601" s="6">
        <v>6</v>
      </c>
      <c r="C601" s="5">
        <v>113.6</v>
      </c>
      <c r="D601" s="5">
        <v>115.6</v>
      </c>
      <c r="E601" s="5">
        <v>107.4</v>
      </c>
      <c r="F601" s="5">
        <v>112.5</v>
      </c>
      <c r="G601" s="6">
        <v>20</v>
      </c>
      <c r="H601" s="7">
        <v>241580</v>
      </c>
      <c r="I601" s="7">
        <f t="shared" si="9"/>
        <v>12079</v>
      </c>
      <c r="J601" s="7">
        <v>80913</v>
      </c>
      <c r="K601" s="7">
        <v>181</v>
      </c>
    </row>
    <row r="602" spans="1:12" ht="13.5" customHeight="1" x14ac:dyDescent="0.15">
      <c r="A602" s="4">
        <v>37591</v>
      </c>
      <c r="B602" s="6">
        <v>6</v>
      </c>
      <c r="C602" s="5">
        <v>112.5</v>
      </c>
      <c r="D602" s="5">
        <v>118.7</v>
      </c>
      <c r="E602" s="5">
        <v>110.9</v>
      </c>
      <c r="F602" s="5">
        <v>118.5</v>
      </c>
      <c r="G602" s="6">
        <v>19</v>
      </c>
      <c r="H602" s="7">
        <v>135113</v>
      </c>
      <c r="I602" s="7">
        <f t="shared" si="9"/>
        <v>7111.2105263157891</v>
      </c>
      <c r="J602" s="7">
        <v>67013</v>
      </c>
      <c r="K602" s="7">
        <v>110</v>
      </c>
    </row>
    <row r="603" spans="1:12" ht="13.5" customHeight="1" x14ac:dyDescent="0.15">
      <c r="A603" s="4">
        <v>37622</v>
      </c>
      <c r="B603" s="6">
        <v>6</v>
      </c>
      <c r="C603" s="5">
        <v>121.7</v>
      </c>
      <c r="D603" s="5">
        <v>122.9</v>
      </c>
      <c r="E603" s="5">
        <v>116.5</v>
      </c>
      <c r="F603" s="5">
        <v>122.5</v>
      </c>
      <c r="G603" s="6">
        <v>19</v>
      </c>
      <c r="H603" s="7">
        <v>204452</v>
      </c>
      <c r="I603" s="7">
        <f t="shared" si="9"/>
        <v>10760.631578947368</v>
      </c>
      <c r="J603" s="7">
        <v>72006</v>
      </c>
      <c r="K603" s="7">
        <v>109</v>
      </c>
    </row>
    <row r="604" spans="1:12" ht="13.5" customHeight="1" x14ac:dyDescent="0.15">
      <c r="A604" s="4">
        <v>37653</v>
      </c>
      <c r="B604" s="6">
        <v>6</v>
      </c>
      <c r="C604" s="5">
        <v>123.3</v>
      </c>
      <c r="D604" s="5">
        <v>137</v>
      </c>
      <c r="E604" s="5">
        <v>123.3</v>
      </c>
      <c r="F604" s="5">
        <v>129.1</v>
      </c>
      <c r="G604" s="6">
        <v>19</v>
      </c>
      <c r="H604" s="7">
        <v>323619</v>
      </c>
      <c r="I604" s="7">
        <f t="shared" si="9"/>
        <v>17032.57894736842</v>
      </c>
      <c r="J604" s="7">
        <v>68692</v>
      </c>
      <c r="K604" s="7">
        <v>335</v>
      </c>
    </row>
    <row r="605" spans="1:12" ht="13.5" customHeight="1" x14ac:dyDescent="0.15">
      <c r="A605" s="4">
        <v>37681</v>
      </c>
      <c r="B605" s="6">
        <v>6</v>
      </c>
      <c r="C605" s="5">
        <v>130.4</v>
      </c>
      <c r="D605" s="5">
        <v>134.5</v>
      </c>
      <c r="E605" s="5">
        <v>126.5</v>
      </c>
      <c r="F605" s="5">
        <v>126.5</v>
      </c>
      <c r="G605" s="6">
        <v>20</v>
      </c>
      <c r="H605" s="7">
        <v>206517</v>
      </c>
      <c r="I605" s="7">
        <f t="shared" si="9"/>
        <v>10325.85</v>
      </c>
      <c r="J605" s="7">
        <v>56237</v>
      </c>
      <c r="K605" s="7">
        <v>238</v>
      </c>
    </row>
    <row r="606" spans="1:12" ht="13.5" customHeight="1" x14ac:dyDescent="0.15">
      <c r="A606" s="4">
        <v>37712</v>
      </c>
      <c r="B606" s="6">
        <v>6</v>
      </c>
      <c r="C606" s="5">
        <v>124.9</v>
      </c>
      <c r="D606" s="5">
        <v>125.8</v>
      </c>
      <c r="E606" s="5">
        <v>107.9</v>
      </c>
      <c r="F606" s="5">
        <v>109.2</v>
      </c>
      <c r="G606" s="6">
        <v>21</v>
      </c>
      <c r="H606" s="7">
        <v>221401</v>
      </c>
      <c r="I606" s="7">
        <f t="shared" si="9"/>
        <v>10542.904761904761</v>
      </c>
      <c r="J606" s="7">
        <v>54267</v>
      </c>
      <c r="K606" s="7">
        <v>345</v>
      </c>
    </row>
    <row r="607" spans="1:12" ht="13.5" customHeight="1" x14ac:dyDescent="0.15">
      <c r="A607" s="4">
        <v>37742</v>
      </c>
      <c r="B607" s="6">
        <v>6</v>
      </c>
      <c r="C607" s="5">
        <v>110.9</v>
      </c>
      <c r="D607" s="5">
        <v>116.8</v>
      </c>
      <c r="E607" s="5">
        <v>102.7</v>
      </c>
      <c r="F607" s="5">
        <v>116.6</v>
      </c>
      <c r="G607" s="6">
        <v>21</v>
      </c>
      <c r="H607" s="7">
        <v>335001</v>
      </c>
      <c r="I607" s="7">
        <f t="shared" si="9"/>
        <v>15952.428571428571</v>
      </c>
      <c r="J607" s="7">
        <v>64043</v>
      </c>
      <c r="K607" s="7">
        <v>256</v>
      </c>
    </row>
    <row r="608" spans="1:12" ht="13.5" customHeight="1" x14ac:dyDescent="0.15">
      <c r="A608" s="4">
        <v>37773</v>
      </c>
      <c r="B608" s="6">
        <v>6</v>
      </c>
      <c r="C608" s="5">
        <v>118.7</v>
      </c>
      <c r="D608" s="5">
        <v>121.1</v>
      </c>
      <c r="E608" s="5">
        <v>108.3</v>
      </c>
      <c r="F608" s="5">
        <v>108.9</v>
      </c>
      <c r="G608" s="6">
        <v>21</v>
      </c>
      <c r="H608" s="7">
        <v>389780</v>
      </c>
      <c r="I608" s="7">
        <f t="shared" si="9"/>
        <v>18560.952380952382</v>
      </c>
      <c r="J608" s="7">
        <v>69159</v>
      </c>
      <c r="K608" s="7">
        <v>142</v>
      </c>
    </row>
    <row r="609" spans="1:11" ht="13.5" customHeight="1" x14ac:dyDescent="0.15">
      <c r="A609" s="4">
        <v>37803</v>
      </c>
      <c r="B609" s="6">
        <v>6</v>
      </c>
      <c r="C609" s="5">
        <v>109.9</v>
      </c>
      <c r="D609" s="5">
        <v>122.5</v>
      </c>
      <c r="E609" s="5">
        <v>109.5</v>
      </c>
      <c r="F609" s="5">
        <v>121.8</v>
      </c>
      <c r="G609" s="6">
        <v>22</v>
      </c>
      <c r="H609" s="7">
        <v>226266</v>
      </c>
      <c r="I609" s="7">
        <f t="shared" si="9"/>
        <v>10284.818181818182</v>
      </c>
      <c r="J609" s="7">
        <v>51906</v>
      </c>
      <c r="K609" s="7">
        <v>155</v>
      </c>
    </row>
    <row r="610" spans="1:11" ht="13.5" customHeight="1" x14ac:dyDescent="0.15">
      <c r="A610" s="4">
        <v>37834</v>
      </c>
      <c r="B610" s="6">
        <v>6</v>
      </c>
      <c r="C610" s="5">
        <v>121.4</v>
      </c>
      <c r="D610" s="5">
        <v>131.9</v>
      </c>
      <c r="E610" s="5">
        <v>121.4</v>
      </c>
      <c r="F610" s="5">
        <v>130.69999999999999</v>
      </c>
      <c r="G610" s="6">
        <v>21</v>
      </c>
      <c r="H610" s="7">
        <v>265475</v>
      </c>
      <c r="I610" s="7">
        <f t="shared" si="9"/>
        <v>12641.666666666666</v>
      </c>
      <c r="J610" s="7">
        <v>64973</v>
      </c>
      <c r="K610" s="7">
        <v>163</v>
      </c>
    </row>
    <row r="611" spans="1:11" ht="13.5" customHeight="1" x14ac:dyDescent="0.15">
      <c r="A611" s="4">
        <v>37865</v>
      </c>
      <c r="B611" s="6">
        <v>6</v>
      </c>
      <c r="C611" s="5">
        <v>130.80000000000001</v>
      </c>
      <c r="D611" s="5">
        <v>136.5</v>
      </c>
      <c r="E611" s="5">
        <v>128.1</v>
      </c>
      <c r="F611" s="5">
        <v>132.4</v>
      </c>
      <c r="G611" s="6">
        <v>20</v>
      </c>
      <c r="H611" s="7">
        <v>262482</v>
      </c>
      <c r="I611" s="7">
        <f t="shared" si="9"/>
        <v>13124.1</v>
      </c>
      <c r="J611" s="7">
        <v>73651</v>
      </c>
      <c r="K611" s="7">
        <v>518</v>
      </c>
    </row>
    <row r="612" spans="1:11" ht="13.5" customHeight="1" x14ac:dyDescent="0.15">
      <c r="A612" s="4">
        <v>37895</v>
      </c>
      <c r="B612" s="6">
        <v>6</v>
      </c>
      <c r="C612" s="5">
        <v>132.6</v>
      </c>
      <c r="D612" s="5">
        <v>155.4</v>
      </c>
      <c r="E612" s="5">
        <v>127.6</v>
      </c>
      <c r="F612" s="5">
        <v>155.4</v>
      </c>
      <c r="G612" s="6">
        <v>22</v>
      </c>
      <c r="H612" s="7">
        <v>478069</v>
      </c>
      <c r="I612" s="7">
        <f t="shared" si="9"/>
        <v>21730.409090909092</v>
      </c>
      <c r="J612" s="7">
        <v>89238</v>
      </c>
      <c r="K612" s="7">
        <v>146</v>
      </c>
    </row>
    <row r="613" spans="1:11" ht="13.5" customHeight="1" x14ac:dyDescent="0.15">
      <c r="A613" s="4">
        <v>37926</v>
      </c>
      <c r="B613" s="6">
        <v>6</v>
      </c>
      <c r="C613" s="5">
        <v>160</v>
      </c>
      <c r="D613" s="5">
        <v>161.80000000000001</v>
      </c>
      <c r="E613" s="5">
        <v>134</v>
      </c>
      <c r="F613" s="5">
        <v>136</v>
      </c>
      <c r="G613" s="6">
        <v>18</v>
      </c>
      <c r="H613" s="7">
        <v>383797</v>
      </c>
      <c r="I613" s="7">
        <f t="shared" si="9"/>
        <v>21322.055555555555</v>
      </c>
      <c r="J613" s="7">
        <v>75851</v>
      </c>
      <c r="K613" s="7">
        <v>250</v>
      </c>
    </row>
    <row r="614" spans="1:11" ht="13.5" customHeight="1" x14ac:dyDescent="0.15">
      <c r="A614" s="4">
        <v>37956</v>
      </c>
      <c r="B614" s="6">
        <v>6</v>
      </c>
      <c r="C614" s="5">
        <v>135.4</v>
      </c>
      <c r="D614" s="5">
        <v>151</v>
      </c>
      <c r="E614" s="5">
        <v>132.19999999999999</v>
      </c>
      <c r="F614" s="5">
        <v>147.9</v>
      </c>
      <c r="G614" s="6">
        <v>19</v>
      </c>
      <c r="H614" s="7">
        <v>272070</v>
      </c>
      <c r="I614" s="7">
        <f t="shared" si="9"/>
        <v>14319.473684210527</v>
      </c>
      <c r="J614" s="7">
        <v>65467</v>
      </c>
      <c r="K614" s="7">
        <v>79</v>
      </c>
    </row>
    <row r="615" spans="1:11" ht="13.5" customHeight="1" x14ac:dyDescent="0.15">
      <c r="A615" s="4">
        <v>37987</v>
      </c>
      <c r="B615" s="6">
        <v>6</v>
      </c>
      <c r="C615" s="5">
        <v>146.6</v>
      </c>
      <c r="D615" s="5">
        <v>147.4</v>
      </c>
      <c r="E615" s="5">
        <v>139.30000000000001</v>
      </c>
      <c r="F615" s="5">
        <v>145.69999999999999</v>
      </c>
      <c r="G615" s="6">
        <v>19</v>
      </c>
      <c r="H615" s="7">
        <v>166385</v>
      </c>
      <c r="I615" s="7">
        <f t="shared" si="9"/>
        <v>8757.105263157895</v>
      </c>
      <c r="J615" s="7">
        <v>60257</v>
      </c>
      <c r="K615" s="7">
        <v>130</v>
      </c>
    </row>
    <row r="616" spans="1:11" ht="13.5" customHeight="1" x14ac:dyDescent="0.15">
      <c r="A616" s="4">
        <v>38018</v>
      </c>
      <c r="B616" s="6">
        <v>6</v>
      </c>
      <c r="C616" s="5">
        <v>145.69999999999999</v>
      </c>
      <c r="D616" s="5">
        <v>160.5</v>
      </c>
      <c r="E616" s="5">
        <v>139.9</v>
      </c>
      <c r="F616" s="5">
        <v>157.4</v>
      </c>
      <c r="G616" s="6">
        <v>19</v>
      </c>
      <c r="H616" s="7">
        <v>179461</v>
      </c>
      <c r="I616" s="7">
        <f t="shared" si="9"/>
        <v>9445.3157894736851</v>
      </c>
      <c r="J616" s="7">
        <v>56417</v>
      </c>
      <c r="K616" s="7">
        <v>253</v>
      </c>
    </row>
    <row r="617" spans="1:11" ht="13.5" customHeight="1" x14ac:dyDescent="0.15">
      <c r="A617" s="4">
        <v>38047</v>
      </c>
      <c r="B617" s="6">
        <v>6</v>
      </c>
      <c r="C617" s="5">
        <v>160.30000000000001</v>
      </c>
      <c r="D617" s="5">
        <v>166.3</v>
      </c>
      <c r="E617" s="5">
        <v>150.30000000000001</v>
      </c>
      <c r="F617" s="5">
        <v>152.80000000000001</v>
      </c>
      <c r="G617" s="6">
        <v>23</v>
      </c>
      <c r="H617" s="7">
        <v>238095</v>
      </c>
      <c r="I617" s="7">
        <f t="shared" si="9"/>
        <v>10351.95652173913</v>
      </c>
      <c r="J617" s="7">
        <v>48354</v>
      </c>
      <c r="K617" s="7">
        <v>300</v>
      </c>
    </row>
    <row r="618" spans="1:11" ht="13.5" customHeight="1" x14ac:dyDescent="0.15">
      <c r="A618" s="4">
        <v>38078</v>
      </c>
      <c r="B618" s="6">
        <v>6</v>
      </c>
      <c r="C618" s="5">
        <v>154.6</v>
      </c>
      <c r="D618" s="5">
        <v>164.9</v>
      </c>
      <c r="E618" s="5">
        <v>148.69999999999999</v>
      </c>
      <c r="F618" s="5">
        <v>152</v>
      </c>
      <c r="G618" s="6">
        <v>21</v>
      </c>
      <c r="H618" s="7">
        <v>169301</v>
      </c>
      <c r="I618" s="7">
        <f t="shared" si="9"/>
        <v>8061.9523809523807</v>
      </c>
      <c r="J618" s="7">
        <v>42336</v>
      </c>
      <c r="K618" s="7">
        <v>344</v>
      </c>
    </row>
    <row r="619" spans="1:11" ht="13.5" customHeight="1" x14ac:dyDescent="0.15">
      <c r="A619" s="4">
        <v>38108</v>
      </c>
      <c r="B619" s="6">
        <v>6</v>
      </c>
      <c r="C619" s="5">
        <v>152.5</v>
      </c>
      <c r="D619" s="5">
        <v>159</v>
      </c>
      <c r="E619" s="5">
        <v>146.4</v>
      </c>
      <c r="F619" s="5">
        <v>152</v>
      </c>
      <c r="G619" s="6">
        <v>18</v>
      </c>
      <c r="H619" s="7">
        <v>132653</v>
      </c>
      <c r="I619" s="7">
        <f t="shared" si="9"/>
        <v>7369.6111111111113</v>
      </c>
      <c r="J619" s="7">
        <v>33590</v>
      </c>
      <c r="K619" s="7">
        <v>300</v>
      </c>
    </row>
    <row r="620" spans="1:11" ht="13.5" customHeight="1" x14ac:dyDescent="0.15">
      <c r="A620" s="4">
        <v>38139</v>
      </c>
      <c r="B620" s="6">
        <v>6</v>
      </c>
      <c r="C620" s="5">
        <v>152.5</v>
      </c>
      <c r="D620" s="5">
        <v>154.80000000000001</v>
      </c>
      <c r="E620" s="5">
        <v>147.19999999999999</v>
      </c>
      <c r="F620" s="5">
        <v>147.69999999999999</v>
      </c>
      <c r="G620" s="6">
        <v>22</v>
      </c>
      <c r="H620" s="7">
        <v>121575</v>
      </c>
      <c r="I620" s="7">
        <f t="shared" si="9"/>
        <v>5526.136363636364</v>
      </c>
      <c r="J620" s="7">
        <v>34969</v>
      </c>
      <c r="K620" s="7">
        <v>281</v>
      </c>
    </row>
    <row r="621" spans="1:11" ht="13.5" customHeight="1" x14ac:dyDescent="0.15">
      <c r="A621" s="4">
        <v>38169</v>
      </c>
      <c r="B621" s="6">
        <v>6</v>
      </c>
      <c r="C621" s="5">
        <v>147.1</v>
      </c>
      <c r="D621" s="5">
        <v>147.1</v>
      </c>
      <c r="E621" s="5">
        <v>132.1</v>
      </c>
      <c r="F621" s="5">
        <v>141.1</v>
      </c>
      <c r="G621" s="6">
        <v>21</v>
      </c>
      <c r="H621" s="7">
        <v>160042</v>
      </c>
      <c r="I621" s="7">
        <f t="shared" si="9"/>
        <v>7621.0476190476193</v>
      </c>
      <c r="J621" s="7">
        <v>36543</v>
      </c>
      <c r="K621" s="7">
        <v>361</v>
      </c>
    </row>
    <row r="622" spans="1:11" ht="13.5" customHeight="1" x14ac:dyDescent="0.15">
      <c r="A622" s="4">
        <v>38200</v>
      </c>
      <c r="B622" s="6">
        <v>6</v>
      </c>
      <c r="C622" s="5">
        <v>140</v>
      </c>
      <c r="D622" s="5">
        <v>145.69999999999999</v>
      </c>
      <c r="E622" s="5">
        <v>134.9</v>
      </c>
      <c r="F622" s="5">
        <v>138.4</v>
      </c>
      <c r="G622" s="6">
        <v>22</v>
      </c>
      <c r="H622" s="7">
        <v>107624</v>
      </c>
      <c r="I622" s="7">
        <f t="shared" si="9"/>
        <v>4892</v>
      </c>
      <c r="J622" s="7">
        <v>35841</v>
      </c>
      <c r="K622" s="7">
        <v>120</v>
      </c>
    </row>
    <row r="623" spans="1:11" ht="13.5" customHeight="1" x14ac:dyDescent="0.15">
      <c r="A623" s="4">
        <v>38231</v>
      </c>
      <c r="B623" s="6">
        <v>6</v>
      </c>
      <c r="C623" s="5">
        <v>139</v>
      </c>
      <c r="D623" s="5">
        <v>145.69999999999999</v>
      </c>
      <c r="E623" s="5">
        <v>135</v>
      </c>
      <c r="F623" s="5">
        <v>145.4</v>
      </c>
      <c r="G623" s="6">
        <v>20</v>
      </c>
      <c r="H623" s="7">
        <v>101455</v>
      </c>
      <c r="I623" s="7">
        <f t="shared" si="9"/>
        <v>5072.75</v>
      </c>
      <c r="J623" s="7">
        <v>29956</v>
      </c>
      <c r="K623" s="7">
        <v>100</v>
      </c>
    </row>
    <row r="624" spans="1:11" ht="13.5" customHeight="1" x14ac:dyDescent="0.15">
      <c r="A624" s="4">
        <v>38261</v>
      </c>
      <c r="B624" s="6">
        <v>6</v>
      </c>
      <c r="C624" s="5">
        <v>144</v>
      </c>
      <c r="D624" s="5">
        <v>147.9</v>
      </c>
      <c r="E624" s="5">
        <v>137.6</v>
      </c>
      <c r="F624" s="5">
        <v>139</v>
      </c>
      <c r="G624" s="16">
        <v>20</v>
      </c>
      <c r="H624" s="7">
        <v>104979</v>
      </c>
      <c r="I624" s="7">
        <f t="shared" si="9"/>
        <v>5248.95</v>
      </c>
      <c r="J624" s="7">
        <v>28668</v>
      </c>
      <c r="K624" s="7">
        <v>195</v>
      </c>
    </row>
    <row r="625" spans="1:12" ht="13.5" customHeight="1" x14ac:dyDescent="0.15">
      <c r="A625" s="4">
        <v>38292</v>
      </c>
      <c r="B625" s="6">
        <v>6</v>
      </c>
      <c r="C625" s="5">
        <v>138.80000000000001</v>
      </c>
      <c r="D625" s="5">
        <v>139.6</v>
      </c>
      <c r="E625" s="5">
        <v>116.8</v>
      </c>
      <c r="F625" s="5">
        <v>124.4</v>
      </c>
      <c r="G625" s="16">
        <v>20</v>
      </c>
      <c r="H625" s="7">
        <v>124694</v>
      </c>
      <c r="I625" s="7">
        <f t="shared" si="9"/>
        <v>6234.7</v>
      </c>
      <c r="J625" s="7">
        <v>35683</v>
      </c>
      <c r="K625" s="7">
        <v>175</v>
      </c>
    </row>
    <row r="626" spans="1:12" ht="13.5" customHeight="1" x14ac:dyDescent="0.15">
      <c r="A626" s="4">
        <v>38322</v>
      </c>
      <c r="B626" s="6">
        <v>6</v>
      </c>
      <c r="C626" s="5">
        <v>124.6</v>
      </c>
      <c r="D626" s="5">
        <v>134.1</v>
      </c>
      <c r="E626" s="5">
        <v>118.7</v>
      </c>
      <c r="F626" s="5">
        <v>131</v>
      </c>
      <c r="G626" s="16">
        <v>19</v>
      </c>
      <c r="H626" s="7">
        <v>126381</v>
      </c>
      <c r="I626" s="7">
        <f t="shared" si="9"/>
        <v>6651.6315789473683</v>
      </c>
      <c r="J626" s="7">
        <v>35299</v>
      </c>
      <c r="K626" s="7">
        <v>26</v>
      </c>
    </row>
    <row r="627" spans="1:12" ht="13.5" customHeight="1" x14ac:dyDescent="0.15">
      <c r="A627" s="4">
        <v>38353</v>
      </c>
      <c r="B627" s="6">
        <v>6</v>
      </c>
      <c r="C627" s="5">
        <v>127.7</v>
      </c>
      <c r="D627" s="5">
        <v>135.4</v>
      </c>
      <c r="E627" s="5">
        <v>118.3</v>
      </c>
      <c r="F627" s="5">
        <v>134.1</v>
      </c>
      <c r="G627" s="16">
        <v>19</v>
      </c>
      <c r="H627" s="7">
        <v>218578</v>
      </c>
      <c r="I627" s="7">
        <f t="shared" si="9"/>
        <v>11504.105263157895</v>
      </c>
      <c r="J627" s="7">
        <v>41815</v>
      </c>
      <c r="K627" s="7">
        <v>156</v>
      </c>
      <c r="L627" s="13" t="s">
        <v>29</v>
      </c>
    </row>
    <row r="628" spans="1:12" ht="13.5" customHeight="1" x14ac:dyDescent="0.15">
      <c r="A628" s="4">
        <v>38384</v>
      </c>
      <c r="B628" s="6">
        <v>6</v>
      </c>
      <c r="C628" s="5">
        <v>134</v>
      </c>
      <c r="D628" s="5">
        <v>146.9</v>
      </c>
      <c r="E628" s="5">
        <v>132.5</v>
      </c>
      <c r="F628" s="5">
        <v>142.9</v>
      </c>
      <c r="G628" s="16">
        <v>19</v>
      </c>
      <c r="H628" s="7">
        <v>451437</v>
      </c>
      <c r="I628" s="7">
        <f t="shared" si="9"/>
        <v>23759.842105263157</v>
      </c>
      <c r="J628" s="7">
        <v>53285</v>
      </c>
      <c r="K628" s="7">
        <v>204</v>
      </c>
    </row>
    <row r="629" spans="1:12" ht="13.5" customHeight="1" x14ac:dyDescent="0.15">
      <c r="A629" s="4">
        <v>38412</v>
      </c>
      <c r="B629" s="6">
        <v>6</v>
      </c>
      <c r="C629" s="5">
        <v>142.1</v>
      </c>
      <c r="D629" s="5">
        <v>150</v>
      </c>
      <c r="E629" s="5">
        <v>138.30000000000001</v>
      </c>
      <c r="F629" s="5">
        <v>149.19999999999999</v>
      </c>
      <c r="G629" s="16">
        <v>22</v>
      </c>
      <c r="H629" s="7">
        <v>343609</v>
      </c>
      <c r="I629" s="7">
        <f t="shared" si="9"/>
        <v>15618.59090909091</v>
      </c>
      <c r="J629" s="7">
        <v>63115</v>
      </c>
      <c r="K629" s="7">
        <v>149</v>
      </c>
    </row>
    <row r="630" spans="1:12" ht="13.5" customHeight="1" x14ac:dyDescent="0.15">
      <c r="A630" s="4">
        <v>38443</v>
      </c>
      <c r="B630" s="6">
        <v>6</v>
      </c>
      <c r="C630" s="5">
        <v>148.6</v>
      </c>
      <c r="D630" s="5">
        <v>151.9</v>
      </c>
      <c r="E630" s="5">
        <v>136.5</v>
      </c>
      <c r="F630" s="5">
        <v>138.30000000000001</v>
      </c>
      <c r="G630" s="16">
        <v>20</v>
      </c>
      <c r="H630" s="7">
        <v>458788</v>
      </c>
      <c r="I630" s="7">
        <f t="shared" si="9"/>
        <v>22939.4</v>
      </c>
      <c r="J630" s="7">
        <v>64619</v>
      </c>
      <c r="K630" s="7">
        <v>205</v>
      </c>
    </row>
    <row r="631" spans="1:12" ht="13.5" customHeight="1" x14ac:dyDescent="0.15">
      <c r="A631" s="4">
        <v>38473</v>
      </c>
      <c r="B631" s="6">
        <v>6</v>
      </c>
      <c r="C631" s="5">
        <v>136.19999999999999</v>
      </c>
      <c r="D631" s="5">
        <v>149.9</v>
      </c>
      <c r="E631" s="5">
        <v>135.6</v>
      </c>
      <c r="F631" s="5">
        <v>148.19999999999999</v>
      </c>
      <c r="G631" s="16">
        <v>19</v>
      </c>
      <c r="H631" s="7">
        <v>353460</v>
      </c>
      <c r="I631" s="7">
        <f t="shared" si="9"/>
        <v>18603.157894736843</v>
      </c>
      <c r="J631" s="7">
        <v>63371</v>
      </c>
      <c r="K631" s="7">
        <v>117</v>
      </c>
    </row>
    <row r="632" spans="1:12" ht="13.5" customHeight="1" x14ac:dyDescent="0.15">
      <c r="A632" s="4">
        <v>38504</v>
      </c>
      <c r="B632" s="6">
        <v>6</v>
      </c>
      <c r="C632" s="5">
        <v>147.69999999999999</v>
      </c>
      <c r="D632" s="5">
        <v>164.4</v>
      </c>
      <c r="E632" s="5">
        <v>147.19999999999999</v>
      </c>
      <c r="F632" s="5">
        <v>162.1</v>
      </c>
      <c r="G632" s="16">
        <v>22</v>
      </c>
      <c r="H632" s="7">
        <v>470822</v>
      </c>
      <c r="I632" s="7">
        <f t="shared" si="9"/>
        <v>21401</v>
      </c>
      <c r="J632" s="7">
        <v>70169</v>
      </c>
      <c r="K632" s="7">
        <v>22</v>
      </c>
    </row>
    <row r="633" spans="1:12" ht="13.5" customHeight="1" x14ac:dyDescent="0.15">
      <c r="A633" s="4">
        <v>38534</v>
      </c>
      <c r="B633" s="6">
        <v>6</v>
      </c>
      <c r="C633" s="5">
        <v>162.4</v>
      </c>
      <c r="D633" s="5">
        <v>192.2</v>
      </c>
      <c r="E633" s="5">
        <v>158.19999999999999</v>
      </c>
      <c r="F633" s="5">
        <v>188.4</v>
      </c>
      <c r="G633" s="16">
        <v>20</v>
      </c>
      <c r="H633" s="7">
        <v>1014655</v>
      </c>
      <c r="I633" s="7">
        <f t="shared" si="9"/>
        <v>50732.75</v>
      </c>
      <c r="J633" s="7">
        <v>104137</v>
      </c>
      <c r="K633" s="7">
        <v>20</v>
      </c>
    </row>
    <row r="634" spans="1:12" ht="13.5" customHeight="1" x14ac:dyDescent="0.15">
      <c r="A634" s="4">
        <v>38565</v>
      </c>
      <c r="B634" s="6">
        <v>6</v>
      </c>
      <c r="C634" s="5">
        <v>190.4</v>
      </c>
      <c r="D634" s="5">
        <v>191.9</v>
      </c>
      <c r="E634" s="5">
        <v>159.4</v>
      </c>
      <c r="F634" s="5">
        <v>179.5</v>
      </c>
      <c r="G634" s="16">
        <v>23</v>
      </c>
      <c r="H634" s="7">
        <v>1059311</v>
      </c>
      <c r="I634" s="7">
        <f t="shared" si="9"/>
        <v>46057</v>
      </c>
      <c r="J634" s="7">
        <v>87412</v>
      </c>
      <c r="K634" s="7">
        <v>62</v>
      </c>
    </row>
    <row r="635" spans="1:12" ht="13.5" customHeight="1" x14ac:dyDescent="0.15">
      <c r="A635" s="4">
        <v>38596</v>
      </c>
      <c r="B635" s="6">
        <v>6</v>
      </c>
      <c r="C635" s="5">
        <v>179.5</v>
      </c>
      <c r="D635" s="5">
        <v>192.5</v>
      </c>
      <c r="E635" s="5">
        <v>177</v>
      </c>
      <c r="F635" s="5">
        <v>190.3</v>
      </c>
      <c r="G635" s="16">
        <v>20</v>
      </c>
      <c r="H635" s="7">
        <v>669308</v>
      </c>
      <c r="I635" s="7">
        <f t="shared" si="9"/>
        <v>33465.4</v>
      </c>
      <c r="J635" s="7">
        <v>94645</v>
      </c>
      <c r="K635" s="7">
        <v>338</v>
      </c>
      <c r="L635" s="13" t="s">
        <v>19</v>
      </c>
    </row>
    <row r="636" spans="1:12" ht="13.5" customHeight="1" x14ac:dyDescent="0.15">
      <c r="A636" s="4">
        <v>38626</v>
      </c>
      <c r="B636" s="6">
        <v>6</v>
      </c>
      <c r="C636" s="5">
        <v>190.5</v>
      </c>
      <c r="D636" s="5">
        <v>206.6</v>
      </c>
      <c r="E636" s="5">
        <v>187.7</v>
      </c>
      <c r="F636" s="5">
        <v>188.9</v>
      </c>
      <c r="G636" s="16">
        <v>20</v>
      </c>
      <c r="H636" s="7">
        <v>785803</v>
      </c>
      <c r="I636" s="7">
        <f t="shared" si="9"/>
        <v>39290.15</v>
      </c>
      <c r="J636" s="7">
        <v>97377</v>
      </c>
      <c r="K636" s="7">
        <v>176</v>
      </c>
    </row>
    <row r="637" spans="1:12" ht="13.5" customHeight="1" x14ac:dyDescent="0.15">
      <c r="A637" s="4">
        <v>38657</v>
      </c>
      <c r="B637" s="6">
        <v>6</v>
      </c>
      <c r="C637" s="5">
        <v>188.1</v>
      </c>
      <c r="D637" s="5">
        <v>207.4</v>
      </c>
      <c r="E637" s="5">
        <v>184.8</v>
      </c>
      <c r="F637" s="5">
        <v>201.6</v>
      </c>
      <c r="G637" s="16">
        <v>20</v>
      </c>
      <c r="H637" s="7">
        <v>610378</v>
      </c>
      <c r="I637" s="7">
        <f t="shared" si="9"/>
        <v>30518.9</v>
      </c>
      <c r="J637" s="7">
        <v>95374</v>
      </c>
      <c r="K637" s="7">
        <v>306</v>
      </c>
    </row>
    <row r="638" spans="1:12" ht="13.5" customHeight="1" x14ac:dyDescent="0.15">
      <c r="A638" s="4">
        <v>38687</v>
      </c>
      <c r="B638" s="6">
        <v>6</v>
      </c>
      <c r="C638" s="5">
        <v>201.4</v>
      </c>
      <c r="D638" s="5">
        <v>227.6</v>
      </c>
      <c r="E638" s="5">
        <v>198.9</v>
      </c>
      <c r="F638" s="5">
        <v>221.5</v>
      </c>
      <c r="G638" s="16">
        <v>21</v>
      </c>
      <c r="H638" s="7">
        <v>720076</v>
      </c>
      <c r="I638" s="7">
        <f t="shared" si="9"/>
        <v>34289.333333333336</v>
      </c>
      <c r="J638" s="7">
        <v>81683</v>
      </c>
      <c r="K638" s="7">
        <v>182</v>
      </c>
    </row>
    <row r="639" spans="1:12" ht="13.5" customHeight="1" x14ac:dyDescent="0.15">
      <c r="A639" s="4">
        <v>38718</v>
      </c>
      <c r="B639" s="6">
        <v>6</v>
      </c>
      <c r="C639" s="5">
        <v>224.1</v>
      </c>
      <c r="D639" s="5">
        <v>259</v>
      </c>
      <c r="E639" s="5">
        <v>212.8</v>
      </c>
      <c r="F639" s="5">
        <v>257.2</v>
      </c>
      <c r="G639" s="16">
        <v>19</v>
      </c>
      <c r="H639" s="7">
        <v>799465</v>
      </c>
      <c r="I639" s="7">
        <f t="shared" si="9"/>
        <v>42077.105263157893</v>
      </c>
      <c r="J639" s="7">
        <v>94029</v>
      </c>
      <c r="K639" s="7">
        <v>156</v>
      </c>
    </row>
    <row r="640" spans="1:12" ht="13.5" customHeight="1" x14ac:dyDescent="0.15">
      <c r="A640" s="4">
        <v>38749</v>
      </c>
      <c r="B640" s="6">
        <v>6</v>
      </c>
      <c r="C640" s="5">
        <v>256.5</v>
      </c>
      <c r="D640" s="5">
        <v>274.89999999999998</v>
      </c>
      <c r="E640" s="5">
        <v>239.7</v>
      </c>
      <c r="F640" s="5">
        <v>260.10000000000002</v>
      </c>
      <c r="G640" s="16">
        <v>20</v>
      </c>
      <c r="H640" s="7">
        <v>1049677</v>
      </c>
      <c r="I640" s="7">
        <f t="shared" si="9"/>
        <v>52483.85</v>
      </c>
      <c r="J640" s="7">
        <v>82700</v>
      </c>
      <c r="K640" s="7">
        <v>166</v>
      </c>
    </row>
    <row r="641" spans="1:11" ht="13.5" customHeight="1" x14ac:dyDescent="0.15">
      <c r="A641" s="4">
        <v>38777</v>
      </c>
      <c r="B641" s="6">
        <v>6</v>
      </c>
      <c r="C641" s="5">
        <v>263</v>
      </c>
      <c r="D641" s="5">
        <v>267.5</v>
      </c>
      <c r="E641" s="5">
        <v>238.9</v>
      </c>
      <c r="F641" s="5">
        <v>261.7</v>
      </c>
      <c r="G641" s="16">
        <v>22</v>
      </c>
      <c r="H641" s="7">
        <v>742443</v>
      </c>
      <c r="I641" s="7">
        <f t="shared" si="9"/>
        <v>33747.409090909088</v>
      </c>
      <c r="J641" s="7">
        <v>80155</v>
      </c>
      <c r="K641" s="7">
        <v>718</v>
      </c>
    </row>
    <row r="642" spans="1:11" ht="13.5" customHeight="1" x14ac:dyDescent="0.15">
      <c r="A642" s="4">
        <v>38808</v>
      </c>
      <c r="B642" s="6">
        <v>6</v>
      </c>
      <c r="C642" s="5">
        <v>260</v>
      </c>
      <c r="D642" s="5">
        <v>267.39999999999998</v>
      </c>
      <c r="E642" s="5">
        <v>250.4</v>
      </c>
      <c r="F642" s="5">
        <v>254.9</v>
      </c>
      <c r="G642" s="16">
        <v>20</v>
      </c>
      <c r="H642" s="7">
        <v>543428</v>
      </c>
      <c r="I642" s="7">
        <f t="shared" si="9"/>
        <v>27171.4</v>
      </c>
      <c r="J642" s="7">
        <v>64854</v>
      </c>
      <c r="K642" s="7">
        <v>562</v>
      </c>
    </row>
    <row r="643" spans="1:11" ht="13.5" customHeight="1" x14ac:dyDescent="0.15">
      <c r="A643" s="4">
        <v>38838</v>
      </c>
      <c r="B643" s="6">
        <v>6</v>
      </c>
      <c r="C643" s="5">
        <v>257</v>
      </c>
      <c r="D643" s="5">
        <v>319.60000000000002</v>
      </c>
      <c r="E643" s="5">
        <v>256.10000000000002</v>
      </c>
      <c r="F643" s="5">
        <v>304.39999999999998</v>
      </c>
      <c r="G643" s="16">
        <v>20</v>
      </c>
      <c r="H643" s="7">
        <v>909052</v>
      </c>
      <c r="I643" s="7">
        <f t="shared" ref="I643:I706" si="10">H643/G643</f>
        <v>45452.6</v>
      </c>
      <c r="J643" s="7">
        <v>76383</v>
      </c>
      <c r="K643" s="7">
        <v>632</v>
      </c>
    </row>
    <row r="644" spans="1:11" ht="13.5" customHeight="1" x14ac:dyDescent="0.15">
      <c r="A644" s="4">
        <v>38869</v>
      </c>
      <c r="B644" s="6">
        <v>6</v>
      </c>
      <c r="C644" s="5">
        <v>301</v>
      </c>
      <c r="D644" s="5">
        <v>324.5</v>
      </c>
      <c r="E644" s="5">
        <v>280.39999999999998</v>
      </c>
      <c r="F644" s="5">
        <v>309.39999999999998</v>
      </c>
      <c r="G644" s="16">
        <v>22</v>
      </c>
      <c r="H644" s="7">
        <v>1099210</v>
      </c>
      <c r="I644" s="7">
        <f t="shared" si="10"/>
        <v>49964.090909090912</v>
      </c>
      <c r="J644" s="7">
        <v>64768</v>
      </c>
      <c r="K644" s="7">
        <v>506</v>
      </c>
    </row>
    <row r="645" spans="1:11" ht="13.5" customHeight="1" x14ac:dyDescent="0.15">
      <c r="A645" s="4">
        <v>38899</v>
      </c>
      <c r="B645" s="6">
        <v>6</v>
      </c>
      <c r="C645" s="5">
        <v>312</v>
      </c>
      <c r="D645" s="5">
        <v>314</v>
      </c>
      <c r="E645" s="5">
        <v>260.89999999999998</v>
      </c>
      <c r="F645" s="5">
        <v>277.39999999999998</v>
      </c>
      <c r="G645" s="16">
        <v>20</v>
      </c>
      <c r="H645" s="7">
        <v>822106</v>
      </c>
      <c r="I645" s="7">
        <f t="shared" si="10"/>
        <v>41105.300000000003</v>
      </c>
      <c r="J645" s="7">
        <v>54548</v>
      </c>
      <c r="K645" s="7">
        <v>426</v>
      </c>
    </row>
    <row r="646" spans="1:11" ht="13.5" customHeight="1" x14ac:dyDescent="0.15">
      <c r="A646" s="4">
        <v>38930</v>
      </c>
      <c r="B646" s="6">
        <v>6</v>
      </c>
      <c r="C646" s="5">
        <v>278</v>
      </c>
      <c r="D646" s="5">
        <v>283.3</v>
      </c>
      <c r="E646" s="5">
        <v>239.7</v>
      </c>
      <c r="F646" s="5">
        <v>241.3</v>
      </c>
      <c r="G646" s="16">
        <v>23</v>
      </c>
      <c r="H646" s="7">
        <v>738174</v>
      </c>
      <c r="I646" s="7">
        <f t="shared" si="10"/>
        <v>32094.521739130436</v>
      </c>
      <c r="J646" s="7">
        <v>53082</v>
      </c>
      <c r="K646" s="7">
        <v>72</v>
      </c>
    </row>
    <row r="647" spans="1:11" ht="13.5" customHeight="1" x14ac:dyDescent="0.15">
      <c r="A647" s="4">
        <v>38961</v>
      </c>
      <c r="B647" s="6">
        <v>6</v>
      </c>
      <c r="C647" s="5">
        <v>242.4</v>
      </c>
      <c r="D647" s="5">
        <v>243.3</v>
      </c>
      <c r="E647" s="5">
        <v>200.6</v>
      </c>
      <c r="F647" s="5">
        <v>216.2</v>
      </c>
      <c r="G647" s="16">
        <v>20</v>
      </c>
      <c r="H647" s="7">
        <v>867923</v>
      </c>
      <c r="I647" s="7">
        <f t="shared" si="10"/>
        <v>43396.15</v>
      </c>
      <c r="J647" s="7">
        <v>48345</v>
      </c>
      <c r="K647" s="7">
        <v>156</v>
      </c>
    </row>
    <row r="648" spans="1:11" ht="13.5" customHeight="1" x14ac:dyDescent="0.15">
      <c r="A648" s="4">
        <v>38991</v>
      </c>
      <c r="B648" s="6">
        <v>6</v>
      </c>
      <c r="C648" s="5">
        <v>219.3</v>
      </c>
      <c r="D648" s="5">
        <v>239.5</v>
      </c>
      <c r="E648" s="5">
        <v>214.6</v>
      </c>
      <c r="F648" s="5">
        <v>217.4</v>
      </c>
      <c r="G648" s="16">
        <v>21</v>
      </c>
      <c r="H648" s="7">
        <v>777801</v>
      </c>
      <c r="I648" s="7">
        <f t="shared" si="10"/>
        <v>37038.142857142855</v>
      </c>
      <c r="J648" s="7">
        <v>49847</v>
      </c>
      <c r="K648" s="7">
        <v>130</v>
      </c>
    </row>
    <row r="649" spans="1:11" ht="13.5" customHeight="1" x14ac:dyDescent="0.15">
      <c r="A649" s="4">
        <v>39022</v>
      </c>
      <c r="B649" s="6">
        <v>6</v>
      </c>
      <c r="C649" s="5">
        <v>217.4</v>
      </c>
      <c r="D649" s="5">
        <v>222</v>
      </c>
      <c r="E649" s="5">
        <v>285.5</v>
      </c>
      <c r="F649" s="5">
        <v>202</v>
      </c>
      <c r="G649" s="16">
        <v>20</v>
      </c>
      <c r="H649" s="7">
        <v>536706</v>
      </c>
      <c r="I649" s="7">
        <f t="shared" si="10"/>
        <v>26835.3</v>
      </c>
      <c r="J649" s="7">
        <v>49663</v>
      </c>
      <c r="K649" s="7">
        <v>172</v>
      </c>
    </row>
    <row r="650" spans="1:11" ht="13.5" customHeight="1" x14ac:dyDescent="0.15">
      <c r="A650" s="4">
        <v>39052</v>
      </c>
      <c r="B650" s="6">
        <v>6</v>
      </c>
      <c r="C650" s="5">
        <v>203.7</v>
      </c>
      <c r="D650" s="5">
        <v>255.5</v>
      </c>
      <c r="E650" s="5">
        <v>190.5</v>
      </c>
      <c r="F650" s="5">
        <v>252</v>
      </c>
      <c r="G650" s="16">
        <v>21</v>
      </c>
      <c r="H650" s="7">
        <v>775403</v>
      </c>
      <c r="I650" s="7">
        <f t="shared" si="10"/>
        <v>36923.952380952382</v>
      </c>
      <c r="J650" s="7">
        <v>52821</v>
      </c>
      <c r="K650" s="7">
        <v>452</v>
      </c>
    </row>
    <row r="651" spans="1:11" ht="13.5" customHeight="1" x14ac:dyDescent="0.15">
      <c r="A651" s="4">
        <v>39083</v>
      </c>
      <c r="B651" s="6">
        <v>6</v>
      </c>
      <c r="C651" s="5">
        <v>245.1</v>
      </c>
      <c r="D651" s="5">
        <v>290.60000000000002</v>
      </c>
      <c r="E651" s="5">
        <v>235.8</v>
      </c>
      <c r="F651" s="5">
        <v>285.60000000000002</v>
      </c>
      <c r="G651" s="16">
        <v>19</v>
      </c>
      <c r="H651" s="7">
        <v>779974</v>
      </c>
      <c r="I651" s="7">
        <f t="shared" si="10"/>
        <v>41051.26315789474</v>
      </c>
      <c r="J651" s="7">
        <v>55921</v>
      </c>
      <c r="K651" s="7">
        <v>516</v>
      </c>
    </row>
    <row r="652" spans="1:11" ht="13.5" customHeight="1" x14ac:dyDescent="0.15">
      <c r="A652" s="4">
        <v>39114</v>
      </c>
      <c r="B652" s="6">
        <v>6</v>
      </c>
      <c r="C652" s="5">
        <v>286</v>
      </c>
      <c r="D652" s="5">
        <v>298.7</v>
      </c>
      <c r="E652" s="5">
        <v>267.10000000000002</v>
      </c>
      <c r="F652" s="5">
        <v>277.10000000000002</v>
      </c>
      <c r="G652" s="16">
        <v>19</v>
      </c>
      <c r="H652" s="7">
        <v>791502</v>
      </c>
      <c r="I652" s="7">
        <f t="shared" si="10"/>
        <v>41658</v>
      </c>
      <c r="J652" s="7">
        <v>55797</v>
      </c>
      <c r="K652" s="7">
        <v>334</v>
      </c>
    </row>
    <row r="653" spans="1:11" ht="13.5" customHeight="1" x14ac:dyDescent="0.15">
      <c r="A653" s="4">
        <v>39142</v>
      </c>
      <c r="B653" s="6">
        <v>6</v>
      </c>
      <c r="C653" s="5">
        <v>281.39999999999998</v>
      </c>
      <c r="D653" s="5">
        <v>285.8</v>
      </c>
      <c r="E653" s="5">
        <v>256.2</v>
      </c>
      <c r="F653" s="5">
        <v>284.2</v>
      </c>
      <c r="G653" s="16">
        <v>21</v>
      </c>
      <c r="H653" s="7">
        <v>774072</v>
      </c>
      <c r="I653" s="7">
        <f t="shared" si="10"/>
        <v>36860.571428571428</v>
      </c>
      <c r="J653" s="7">
        <v>51731</v>
      </c>
      <c r="K653" s="7">
        <v>446</v>
      </c>
    </row>
    <row r="654" spans="1:11" ht="13.5" customHeight="1" x14ac:dyDescent="0.15">
      <c r="A654" s="4">
        <v>39173</v>
      </c>
      <c r="B654" s="6">
        <v>6</v>
      </c>
      <c r="C654" s="5">
        <v>283.3</v>
      </c>
      <c r="D654" s="5">
        <v>299.5</v>
      </c>
      <c r="E654" s="5">
        <v>272</v>
      </c>
      <c r="F654" s="5">
        <v>277.2</v>
      </c>
      <c r="G654" s="16">
        <v>20</v>
      </c>
      <c r="H654" s="7">
        <v>625055</v>
      </c>
      <c r="I654" s="7">
        <f t="shared" si="10"/>
        <v>31252.75</v>
      </c>
      <c r="J654" s="7">
        <v>48276</v>
      </c>
      <c r="K654" s="7">
        <v>192</v>
      </c>
    </row>
    <row r="655" spans="1:11" ht="13.5" customHeight="1" x14ac:dyDescent="0.15">
      <c r="A655" s="4">
        <v>39203</v>
      </c>
      <c r="B655" s="6">
        <v>6</v>
      </c>
      <c r="C655" s="5">
        <v>278</v>
      </c>
      <c r="D655" s="5">
        <v>298.5</v>
      </c>
      <c r="E655" s="5">
        <v>267.8</v>
      </c>
      <c r="F655" s="5">
        <v>280.8</v>
      </c>
      <c r="G655" s="16">
        <v>21</v>
      </c>
      <c r="H655" s="7">
        <v>675562</v>
      </c>
      <c r="I655" s="7">
        <f t="shared" si="10"/>
        <v>32169.619047619046</v>
      </c>
      <c r="J655" s="7">
        <v>53906</v>
      </c>
      <c r="K655" s="7">
        <v>198</v>
      </c>
    </row>
    <row r="656" spans="1:11" ht="13.5" customHeight="1" x14ac:dyDescent="0.15">
      <c r="A656" s="4">
        <v>39234</v>
      </c>
      <c r="B656" s="6">
        <v>6</v>
      </c>
      <c r="C656" s="5">
        <v>282.60000000000002</v>
      </c>
      <c r="D656" s="5">
        <v>287</v>
      </c>
      <c r="E656" s="5">
        <v>249.4</v>
      </c>
      <c r="F656" s="5">
        <v>251.6</v>
      </c>
      <c r="G656" s="16">
        <v>21</v>
      </c>
      <c r="H656" s="7">
        <v>695399</v>
      </c>
      <c r="I656" s="7">
        <f t="shared" si="10"/>
        <v>33114.238095238092</v>
      </c>
      <c r="J656" s="7">
        <v>48428</v>
      </c>
      <c r="K656" s="7">
        <v>402</v>
      </c>
    </row>
    <row r="657" spans="1:11" ht="13.5" customHeight="1" x14ac:dyDescent="0.15">
      <c r="A657" s="4">
        <v>39264</v>
      </c>
      <c r="B657" s="6">
        <v>6</v>
      </c>
      <c r="C657" s="5">
        <v>252</v>
      </c>
      <c r="D657" s="5">
        <v>267.5</v>
      </c>
      <c r="E657" s="5">
        <v>242.8</v>
      </c>
      <c r="F657" s="5">
        <v>263.89999999999998</v>
      </c>
      <c r="G657" s="16">
        <v>21</v>
      </c>
      <c r="H657" s="7">
        <v>708690</v>
      </c>
      <c r="I657" s="7">
        <f t="shared" si="10"/>
        <v>33747.142857142855</v>
      </c>
      <c r="J657" s="7">
        <v>54142</v>
      </c>
      <c r="K657" s="7">
        <v>244</v>
      </c>
    </row>
    <row r="658" spans="1:11" ht="13.5" customHeight="1" x14ac:dyDescent="0.15">
      <c r="A658" s="4">
        <v>39295</v>
      </c>
      <c r="B658" s="6">
        <v>6</v>
      </c>
      <c r="C658" s="5">
        <v>265.60000000000002</v>
      </c>
      <c r="D658" s="5">
        <v>266.2</v>
      </c>
      <c r="E658" s="5">
        <v>232.5</v>
      </c>
      <c r="F658" s="5">
        <v>249</v>
      </c>
      <c r="G658" s="16">
        <v>23</v>
      </c>
      <c r="H658" s="7">
        <v>497703</v>
      </c>
      <c r="I658" s="7">
        <f t="shared" si="10"/>
        <v>21639.260869565216</v>
      </c>
      <c r="J658" s="7">
        <v>46338</v>
      </c>
      <c r="K658" s="7">
        <v>286</v>
      </c>
    </row>
    <row r="659" spans="1:11" ht="13.5" customHeight="1" x14ac:dyDescent="0.15">
      <c r="A659" s="4">
        <v>39326</v>
      </c>
      <c r="B659" s="6">
        <v>6</v>
      </c>
      <c r="C659" s="5">
        <v>249.1</v>
      </c>
      <c r="D659" s="5">
        <v>262.39999999999998</v>
      </c>
      <c r="E659" s="5">
        <v>242.1</v>
      </c>
      <c r="F659" s="5">
        <v>261.3</v>
      </c>
      <c r="G659" s="16">
        <v>18</v>
      </c>
      <c r="H659" s="7">
        <v>346079</v>
      </c>
      <c r="I659" s="7">
        <f t="shared" si="10"/>
        <v>19226.611111111109</v>
      </c>
      <c r="J659" s="7">
        <v>44312</v>
      </c>
      <c r="K659" s="7">
        <v>78</v>
      </c>
    </row>
    <row r="660" spans="1:11" ht="13.5" customHeight="1" x14ac:dyDescent="0.15">
      <c r="A660" s="4">
        <v>39356</v>
      </c>
      <c r="B660" s="6">
        <v>6</v>
      </c>
      <c r="C660" s="5">
        <v>261</v>
      </c>
      <c r="D660" s="5">
        <v>300</v>
      </c>
      <c r="E660" s="5">
        <v>256.3</v>
      </c>
      <c r="F660" s="5">
        <v>295.7</v>
      </c>
      <c r="G660" s="16">
        <v>22</v>
      </c>
      <c r="H660" s="7">
        <v>382386</v>
      </c>
      <c r="I660" s="7">
        <f t="shared" si="10"/>
        <v>17381.18181818182</v>
      </c>
      <c r="J660" s="7">
        <v>47570</v>
      </c>
      <c r="K660" s="7">
        <v>110</v>
      </c>
    </row>
    <row r="661" spans="1:11" ht="13.5" customHeight="1" x14ac:dyDescent="0.15">
      <c r="A661" s="4">
        <v>39387</v>
      </c>
      <c r="B661" s="6">
        <v>6</v>
      </c>
      <c r="C661" s="5">
        <v>302.39999999999998</v>
      </c>
      <c r="D661" s="5">
        <v>312.2</v>
      </c>
      <c r="E661" s="5">
        <v>263</v>
      </c>
      <c r="F661" s="5">
        <v>273.89999999999998</v>
      </c>
      <c r="G661" s="16">
        <v>21</v>
      </c>
      <c r="H661" s="7">
        <v>461500</v>
      </c>
      <c r="I661" s="7">
        <f t="shared" si="10"/>
        <v>21976.190476190477</v>
      </c>
      <c r="J661" s="7">
        <v>36574</v>
      </c>
      <c r="K661" s="7">
        <v>188</v>
      </c>
    </row>
    <row r="662" spans="1:11" ht="13.5" customHeight="1" x14ac:dyDescent="0.15">
      <c r="A662" s="4">
        <v>39417</v>
      </c>
      <c r="B662" s="6">
        <v>6</v>
      </c>
      <c r="C662" s="5">
        <v>271</v>
      </c>
      <c r="D662" s="5">
        <v>313.3</v>
      </c>
      <c r="E662" s="5">
        <v>261.60000000000002</v>
      </c>
      <c r="F662" s="5">
        <v>309</v>
      </c>
      <c r="G662" s="16">
        <v>19</v>
      </c>
      <c r="H662" s="7">
        <v>324330</v>
      </c>
      <c r="I662" s="7">
        <f t="shared" si="10"/>
        <v>17070</v>
      </c>
      <c r="J662" s="7">
        <v>38147</v>
      </c>
      <c r="K662" s="7">
        <v>222</v>
      </c>
    </row>
    <row r="663" spans="1:11" ht="13.5" customHeight="1" x14ac:dyDescent="0.15">
      <c r="A663" s="4">
        <v>39448</v>
      </c>
      <c r="B663" s="6">
        <v>6</v>
      </c>
      <c r="C663" s="5">
        <v>312.10000000000002</v>
      </c>
      <c r="D663" s="5">
        <v>312.3</v>
      </c>
      <c r="E663" s="5">
        <v>274.7</v>
      </c>
      <c r="F663" s="5">
        <v>293</v>
      </c>
      <c r="G663" s="16">
        <v>19</v>
      </c>
      <c r="H663" s="7">
        <v>382654</v>
      </c>
      <c r="I663" s="7">
        <f t="shared" si="10"/>
        <v>20139.684210526317</v>
      </c>
      <c r="J663" s="7">
        <v>33820</v>
      </c>
      <c r="K663" s="7">
        <v>148</v>
      </c>
    </row>
    <row r="664" spans="1:11" ht="13.5" customHeight="1" x14ac:dyDescent="0.15">
      <c r="A664" s="4">
        <v>39479</v>
      </c>
      <c r="B664" s="6">
        <v>6</v>
      </c>
      <c r="C664" s="5">
        <v>294.2</v>
      </c>
      <c r="D664" s="5">
        <v>324.3</v>
      </c>
      <c r="E664" s="5">
        <v>282.2</v>
      </c>
      <c r="F664" s="5">
        <v>306.3</v>
      </c>
      <c r="G664" s="16">
        <v>20</v>
      </c>
      <c r="H664" s="7">
        <v>569865</v>
      </c>
      <c r="I664" s="7">
        <f t="shared" si="10"/>
        <v>28493.25</v>
      </c>
      <c r="J664" s="7">
        <v>50406</v>
      </c>
      <c r="K664" s="7">
        <v>322</v>
      </c>
    </row>
    <row r="665" spans="1:11" ht="13.5" customHeight="1" x14ac:dyDescent="0.15">
      <c r="A665" s="4">
        <v>39508</v>
      </c>
      <c r="B665" s="6">
        <v>6</v>
      </c>
      <c r="C665" s="5">
        <v>301.10000000000002</v>
      </c>
      <c r="D665" s="5">
        <v>314</v>
      </c>
      <c r="E665" s="5">
        <v>266.10000000000002</v>
      </c>
      <c r="F665" s="5">
        <v>288.5</v>
      </c>
      <c r="G665" s="16">
        <v>20</v>
      </c>
      <c r="H665" s="7">
        <v>530638</v>
      </c>
      <c r="I665" s="7">
        <f t="shared" si="10"/>
        <v>26531.9</v>
      </c>
      <c r="J665" s="7">
        <v>38788</v>
      </c>
      <c r="K665" s="7">
        <v>334</v>
      </c>
    </row>
    <row r="666" spans="1:11" ht="13.5" customHeight="1" x14ac:dyDescent="0.15">
      <c r="A666" s="4">
        <v>39539</v>
      </c>
      <c r="B666" s="6">
        <v>6</v>
      </c>
      <c r="C666" s="5">
        <v>285.7</v>
      </c>
      <c r="D666" s="5">
        <v>301.5</v>
      </c>
      <c r="E666" s="5">
        <v>277.60000000000002</v>
      </c>
      <c r="F666" s="5">
        <v>299.10000000000002</v>
      </c>
      <c r="G666" s="16">
        <v>21</v>
      </c>
      <c r="H666" s="7">
        <v>446345</v>
      </c>
      <c r="I666" s="7">
        <f t="shared" si="10"/>
        <v>21254.523809523809</v>
      </c>
      <c r="J666" s="7">
        <v>43769</v>
      </c>
      <c r="K666" s="7">
        <v>102</v>
      </c>
    </row>
    <row r="667" spans="1:11" ht="13.5" customHeight="1" x14ac:dyDescent="0.15">
      <c r="A667" s="4">
        <v>39569</v>
      </c>
      <c r="B667" s="6">
        <v>6</v>
      </c>
      <c r="C667" s="5">
        <v>299</v>
      </c>
      <c r="D667" s="5">
        <v>345.9</v>
      </c>
      <c r="E667" s="5">
        <v>297.10000000000002</v>
      </c>
      <c r="F667" s="5">
        <v>317.89999999999998</v>
      </c>
      <c r="G667" s="16">
        <v>20</v>
      </c>
      <c r="H667" s="7">
        <v>506404</v>
      </c>
      <c r="I667" s="7">
        <f t="shared" si="10"/>
        <v>25320.2</v>
      </c>
      <c r="J667" s="7">
        <v>47365</v>
      </c>
      <c r="K667" s="7">
        <v>72</v>
      </c>
    </row>
    <row r="668" spans="1:11" ht="13.5" customHeight="1" x14ac:dyDescent="0.15">
      <c r="A668" s="4">
        <v>39600</v>
      </c>
      <c r="B668" s="6">
        <v>6</v>
      </c>
      <c r="C668" s="5">
        <v>318.60000000000002</v>
      </c>
      <c r="D668" s="5">
        <v>356.9</v>
      </c>
      <c r="E668" s="5">
        <v>313.39999999999998</v>
      </c>
      <c r="F668" s="5">
        <v>345.7</v>
      </c>
      <c r="G668" s="16">
        <v>21</v>
      </c>
      <c r="H668" s="7">
        <v>662304</v>
      </c>
      <c r="I668" s="7">
        <f t="shared" si="10"/>
        <v>31538.285714285714</v>
      </c>
      <c r="J668" s="7">
        <v>51635</v>
      </c>
      <c r="K668" s="7">
        <v>394</v>
      </c>
    </row>
    <row r="669" spans="1:11" ht="13.5" customHeight="1" x14ac:dyDescent="0.15">
      <c r="A669" s="4">
        <v>39630</v>
      </c>
      <c r="B669" s="6">
        <v>6</v>
      </c>
      <c r="C669" s="5">
        <v>346.2</v>
      </c>
      <c r="D669" s="5">
        <v>353.6</v>
      </c>
      <c r="E669" s="5">
        <v>323.10000000000002</v>
      </c>
      <c r="F669" s="5">
        <v>332.5</v>
      </c>
      <c r="G669" s="16">
        <v>22</v>
      </c>
      <c r="H669" s="7">
        <v>514950</v>
      </c>
      <c r="I669" s="7">
        <f t="shared" si="10"/>
        <v>23406.81818181818</v>
      </c>
      <c r="J669" s="7">
        <v>46373</v>
      </c>
      <c r="K669" s="7">
        <v>116</v>
      </c>
    </row>
    <row r="670" spans="1:11" ht="13.5" customHeight="1" x14ac:dyDescent="0.15">
      <c r="A670" s="4">
        <v>39661</v>
      </c>
      <c r="B670" s="6">
        <v>6</v>
      </c>
      <c r="C670" s="5">
        <v>331.5</v>
      </c>
      <c r="D670" s="5">
        <v>331.9</v>
      </c>
      <c r="E670" s="5">
        <v>295.7</v>
      </c>
      <c r="F670" s="5">
        <v>320.7</v>
      </c>
      <c r="G670" s="16">
        <v>21</v>
      </c>
      <c r="H670" s="7">
        <v>446630</v>
      </c>
      <c r="I670" s="7">
        <f t="shared" si="10"/>
        <v>21268.095238095237</v>
      </c>
      <c r="J670" s="7">
        <v>40613</v>
      </c>
      <c r="K670" s="7">
        <v>212</v>
      </c>
    </row>
    <row r="671" spans="1:11" ht="13.5" customHeight="1" x14ac:dyDescent="0.15">
      <c r="A671" s="4">
        <v>39692</v>
      </c>
      <c r="B671" s="6">
        <v>6</v>
      </c>
      <c r="C671" s="5">
        <v>324</v>
      </c>
      <c r="D671" s="5">
        <v>324.89999999999998</v>
      </c>
      <c r="E671" s="5">
        <v>250.9</v>
      </c>
      <c r="F671" s="5">
        <v>250.9</v>
      </c>
      <c r="G671" s="16">
        <v>20</v>
      </c>
      <c r="H671" s="7">
        <v>408249</v>
      </c>
      <c r="I671" s="7">
        <f t="shared" si="10"/>
        <v>20412.45</v>
      </c>
      <c r="J671" s="7">
        <v>41041</v>
      </c>
      <c r="K671" s="7">
        <v>6</v>
      </c>
    </row>
    <row r="672" spans="1:11" ht="13.5" customHeight="1" x14ac:dyDescent="0.15">
      <c r="A672" s="4">
        <v>39722</v>
      </c>
      <c r="B672" s="6">
        <v>6</v>
      </c>
      <c r="C672" s="5">
        <v>253.5</v>
      </c>
      <c r="D672" s="5">
        <v>261.8</v>
      </c>
      <c r="E672" s="5">
        <v>153.4</v>
      </c>
      <c r="F672" s="5">
        <v>182.5</v>
      </c>
      <c r="G672" s="16">
        <v>22</v>
      </c>
      <c r="H672" s="7">
        <v>586974</v>
      </c>
      <c r="I672" s="7">
        <f t="shared" si="10"/>
        <v>26680.636363636364</v>
      </c>
      <c r="J672" s="7">
        <v>32350</v>
      </c>
      <c r="K672" s="7">
        <v>80</v>
      </c>
    </row>
    <row r="673" spans="1:12" ht="13.5" customHeight="1" x14ac:dyDescent="0.15">
      <c r="A673" s="4">
        <v>39753</v>
      </c>
      <c r="B673" s="6">
        <v>6</v>
      </c>
      <c r="C673" s="5">
        <v>189</v>
      </c>
      <c r="D673" s="5">
        <v>208.8</v>
      </c>
      <c r="E673" s="5">
        <v>127.6</v>
      </c>
      <c r="F673" s="5">
        <v>137.6</v>
      </c>
      <c r="G673" s="16">
        <v>18</v>
      </c>
      <c r="H673" s="7">
        <v>409664</v>
      </c>
      <c r="I673" s="7">
        <f t="shared" si="10"/>
        <v>22759.111111111109</v>
      </c>
      <c r="J673" s="7">
        <v>30824</v>
      </c>
      <c r="K673" s="7">
        <v>132</v>
      </c>
    </row>
    <row r="674" spans="1:12" ht="13.5" customHeight="1" x14ac:dyDescent="0.15">
      <c r="A674" s="4">
        <v>39783</v>
      </c>
      <c r="B674" s="6">
        <v>6</v>
      </c>
      <c r="C674" s="5">
        <v>135</v>
      </c>
      <c r="D674" s="5">
        <v>139.5</v>
      </c>
      <c r="E674" s="5">
        <v>99.8</v>
      </c>
      <c r="F674" s="5">
        <v>136.1</v>
      </c>
      <c r="G674" s="16">
        <v>21</v>
      </c>
      <c r="H674" s="7">
        <v>450070</v>
      </c>
      <c r="I674" s="7">
        <f t="shared" si="10"/>
        <v>21431.904761904763</v>
      </c>
      <c r="J674" s="7">
        <v>34574</v>
      </c>
      <c r="K674" s="7">
        <v>424</v>
      </c>
    </row>
    <row r="675" spans="1:12" ht="13.5" customHeight="1" x14ac:dyDescent="0.15">
      <c r="A675" s="4">
        <v>39814</v>
      </c>
      <c r="B675" s="6">
        <v>6</v>
      </c>
      <c r="C675" s="5">
        <v>148.5</v>
      </c>
      <c r="D675" s="5">
        <v>156.30000000000001</v>
      </c>
      <c r="E675" s="5">
        <v>134.80000000000001</v>
      </c>
      <c r="F675" s="5">
        <v>138.19999999999999</v>
      </c>
      <c r="G675" s="16">
        <v>19</v>
      </c>
      <c r="H675" s="7">
        <v>399897</v>
      </c>
      <c r="I675" s="7">
        <f t="shared" si="10"/>
        <v>21047.21052631579</v>
      </c>
      <c r="J675" s="7">
        <v>28088</v>
      </c>
      <c r="K675" s="7">
        <v>242</v>
      </c>
    </row>
    <row r="676" spans="1:12" ht="13.5" customHeight="1" x14ac:dyDescent="0.15">
      <c r="A676" s="4">
        <v>39845</v>
      </c>
      <c r="B676" s="6">
        <v>6</v>
      </c>
      <c r="C676" s="5">
        <v>137</v>
      </c>
      <c r="D676" s="5">
        <v>146.5</v>
      </c>
      <c r="E676" s="5">
        <v>130.4</v>
      </c>
      <c r="F676" s="5">
        <v>140.19999999999999</v>
      </c>
      <c r="G676" s="16">
        <v>19</v>
      </c>
      <c r="H676" s="7">
        <v>309711</v>
      </c>
      <c r="I676" s="7">
        <f t="shared" si="10"/>
        <v>16300.578947368422</v>
      </c>
      <c r="J676" s="7">
        <v>29503</v>
      </c>
      <c r="K676" s="7">
        <v>128</v>
      </c>
    </row>
    <row r="677" spans="1:12" ht="13.5" customHeight="1" x14ac:dyDescent="0.15">
      <c r="A677" s="4">
        <v>39873</v>
      </c>
      <c r="B677" s="6">
        <v>6</v>
      </c>
      <c r="C677" s="5">
        <v>139</v>
      </c>
      <c r="D677" s="5">
        <v>159</v>
      </c>
      <c r="E677" s="5">
        <v>127.8</v>
      </c>
      <c r="F677" s="5">
        <v>153.6</v>
      </c>
      <c r="G677" s="16">
        <v>21</v>
      </c>
      <c r="H677" s="7">
        <v>258931</v>
      </c>
      <c r="I677" s="7">
        <f t="shared" si="10"/>
        <v>12330.047619047618</v>
      </c>
      <c r="J677" s="7">
        <v>28267</v>
      </c>
      <c r="K677" s="7">
        <v>142</v>
      </c>
    </row>
    <row r="678" spans="1:12" ht="13.5" customHeight="1" x14ac:dyDescent="0.15">
      <c r="A678" s="4">
        <v>39904</v>
      </c>
      <c r="B678" s="6">
        <v>6</v>
      </c>
      <c r="C678" s="5">
        <v>151.9</v>
      </c>
      <c r="D678" s="5">
        <v>179.7</v>
      </c>
      <c r="E678" s="5">
        <v>151.9</v>
      </c>
      <c r="F678" s="5">
        <v>164.3</v>
      </c>
      <c r="G678" s="16">
        <v>21</v>
      </c>
      <c r="H678" s="7">
        <v>362953</v>
      </c>
      <c r="I678" s="7">
        <f t="shared" si="10"/>
        <v>17283.476190476191</v>
      </c>
      <c r="J678" s="7">
        <v>31001</v>
      </c>
      <c r="K678" s="7">
        <v>66</v>
      </c>
    </row>
    <row r="679" spans="1:12" ht="13.5" customHeight="1" x14ac:dyDescent="0.15">
      <c r="A679" s="4">
        <v>39934</v>
      </c>
      <c r="B679" s="6">
        <v>6</v>
      </c>
      <c r="C679" s="5">
        <v>163.4</v>
      </c>
      <c r="D679" s="5">
        <v>179</v>
      </c>
      <c r="E679" s="5">
        <v>156.4</v>
      </c>
      <c r="F679" s="5">
        <v>169.4</v>
      </c>
      <c r="G679" s="16">
        <v>18</v>
      </c>
      <c r="H679" s="7">
        <v>205373</v>
      </c>
      <c r="I679" s="7">
        <f t="shared" si="10"/>
        <v>11409.611111111111</v>
      </c>
      <c r="J679" s="7">
        <v>27910</v>
      </c>
      <c r="K679" s="7">
        <v>148</v>
      </c>
      <c r="L679" s="13" t="s">
        <v>38</v>
      </c>
    </row>
    <row r="680" spans="1:12" ht="13.5" customHeight="1" x14ac:dyDescent="0.15">
      <c r="A680" s="4">
        <v>39965</v>
      </c>
      <c r="B680" s="6">
        <v>6</v>
      </c>
      <c r="C680" s="5">
        <v>169.7</v>
      </c>
      <c r="D680" s="5">
        <v>176.2</v>
      </c>
      <c r="E680" s="5">
        <v>150.5</v>
      </c>
      <c r="F680" s="5">
        <v>162.1</v>
      </c>
      <c r="G680" s="16">
        <v>22</v>
      </c>
      <c r="H680" s="7">
        <v>233822</v>
      </c>
      <c r="I680" s="7">
        <f t="shared" si="10"/>
        <v>10628.272727272728</v>
      </c>
      <c r="J680" s="7">
        <v>30202</v>
      </c>
      <c r="K680" s="7">
        <v>86</v>
      </c>
    </row>
    <row r="681" spans="1:12" ht="13.5" customHeight="1" x14ac:dyDescent="0.15">
      <c r="A681" s="4">
        <v>39995</v>
      </c>
      <c r="B681" s="6">
        <v>6</v>
      </c>
      <c r="C681" s="5">
        <v>161.4</v>
      </c>
      <c r="D681" s="5">
        <v>196.5</v>
      </c>
      <c r="E681" s="5">
        <v>152.19999999999999</v>
      </c>
      <c r="F681" s="5">
        <v>195.8</v>
      </c>
      <c r="G681" s="16">
        <v>22</v>
      </c>
      <c r="H681" s="7">
        <v>251921</v>
      </c>
      <c r="I681" s="7">
        <f t="shared" si="10"/>
        <v>11450.954545454546</v>
      </c>
      <c r="J681" s="7">
        <v>37403</v>
      </c>
      <c r="K681" s="7">
        <v>460</v>
      </c>
    </row>
    <row r="682" spans="1:12" ht="13.5" customHeight="1" x14ac:dyDescent="0.15">
      <c r="A682" s="4">
        <v>40026</v>
      </c>
      <c r="B682" s="6">
        <v>6</v>
      </c>
      <c r="C682" s="5">
        <v>195.5</v>
      </c>
      <c r="D682" s="5">
        <v>214.5</v>
      </c>
      <c r="E682" s="5">
        <v>190.6</v>
      </c>
      <c r="F682" s="5">
        <v>203</v>
      </c>
      <c r="G682" s="16">
        <v>21</v>
      </c>
      <c r="H682" s="7">
        <v>304649</v>
      </c>
      <c r="I682" s="7">
        <f t="shared" si="10"/>
        <v>14507.095238095239</v>
      </c>
      <c r="J682" s="7">
        <v>38805</v>
      </c>
      <c r="K682" s="7">
        <v>164</v>
      </c>
    </row>
    <row r="683" spans="1:12" ht="13.5" customHeight="1" x14ac:dyDescent="0.15">
      <c r="A683" s="4">
        <v>40057</v>
      </c>
      <c r="B683" s="6">
        <v>6</v>
      </c>
      <c r="C683" s="5">
        <v>203.2</v>
      </c>
      <c r="D683" s="5">
        <v>218.4</v>
      </c>
      <c r="E683" s="5">
        <v>189.2</v>
      </c>
      <c r="F683" s="5">
        <v>196.8</v>
      </c>
      <c r="G683" s="16">
        <v>19</v>
      </c>
      <c r="H683" s="7">
        <v>301134</v>
      </c>
      <c r="I683" s="7">
        <f t="shared" si="10"/>
        <v>15849.157894736842</v>
      </c>
      <c r="J683" s="7">
        <v>31047</v>
      </c>
      <c r="K683" s="7">
        <v>124</v>
      </c>
    </row>
    <row r="684" spans="1:12" ht="13.5" customHeight="1" x14ac:dyDescent="0.15">
      <c r="A684" s="4">
        <v>40087</v>
      </c>
      <c r="B684" s="6">
        <v>6</v>
      </c>
      <c r="C684" s="5">
        <v>197.4</v>
      </c>
      <c r="D684" s="5">
        <v>235.7</v>
      </c>
      <c r="E684" s="5">
        <v>197.1</v>
      </c>
      <c r="F684" s="5">
        <v>231.2</v>
      </c>
      <c r="G684" s="16">
        <v>21</v>
      </c>
      <c r="H684" s="7">
        <v>238582</v>
      </c>
      <c r="I684" s="7">
        <f t="shared" si="10"/>
        <v>11361.047619047618</v>
      </c>
      <c r="J684" s="7">
        <v>39830</v>
      </c>
      <c r="K684" s="7">
        <v>92</v>
      </c>
    </row>
    <row r="685" spans="1:12" ht="13.5" customHeight="1" x14ac:dyDescent="0.15">
      <c r="A685" s="4">
        <v>40118</v>
      </c>
      <c r="B685" s="6">
        <v>6</v>
      </c>
      <c r="C685" s="5">
        <v>231.4</v>
      </c>
      <c r="D685" s="5">
        <v>255.3</v>
      </c>
      <c r="E685" s="5">
        <v>220.8</v>
      </c>
      <c r="F685" s="5">
        <v>246.8</v>
      </c>
      <c r="G685" s="16">
        <v>19</v>
      </c>
      <c r="H685" s="7">
        <v>190960</v>
      </c>
      <c r="I685" s="7">
        <f t="shared" si="10"/>
        <v>10050.526315789473</v>
      </c>
      <c r="J685" s="7">
        <v>36892</v>
      </c>
      <c r="K685" s="7">
        <v>116</v>
      </c>
    </row>
    <row r="686" spans="1:12" ht="13.5" customHeight="1" x14ac:dyDescent="0.15">
      <c r="A686" s="4">
        <v>40148</v>
      </c>
      <c r="B686" s="6">
        <v>6</v>
      </c>
      <c r="C686" s="5">
        <v>246.6</v>
      </c>
      <c r="D686" s="5">
        <v>278.89999999999998</v>
      </c>
      <c r="E686" s="5">
        <v>241</v>
      </c>
      <c r="F686" s="5">
        <v>276.2</v>
      </c>
      <c r="G686" s="16">
        <v>21</v>
      </c>
      <c r="H686" s="7">
        <v>262155</v>
      </c>
      <c r="I686" s="7">
        <f t="shared" si="10"/>
        <v>12483.571428571429</v>
      </c>
      <c r="J686" s="7">
        <v>38154</v>
      </c>
      <c r="K686" s="7">
        <v>190</v>
      </c>
    </row>
    <row r="687" spans="1:12" ht="13.5" customHeight="1" x14ac:dyDescent="0.15">
      <c r="A687" s="4">
        <v>40179</v>
      </c>
      <c r="B687" s="6">
        <v>6</v>
      </c>
      <c r="C687" s="5">
        <v>280</v>
      </c>
      <c r="D687" s="5">
        <v>306</v>
      </c>
      <c r="E687" s="5">
        <v>269</v>
      </c>
      <c r="F687" s="5">
        <v>274.39999999999998</v>
      </c>
      <c r="G687" s="16">
        <v>19</v>
      </c>
      <c r="H687" s="7">
        <v>292927</v>
      </c>
      <c r="I687" s="7">
        <f t="shared" si="10"/>
        <v>15417.21052631579</v>
      </c>
      <c r="J687" s="7">
        <v>33766</v>
      </c>
      <c r="K687" s="7">
        <v>204</v>
      </c>
    </row>
    <row r="688" spans="1:12" ht="13.5" customHeight="1" x14ac:dyDescent="0.15">
      <c r="A688" s="4">
        <v>40210</v>
      </c>
      <c r="B688" s="6">
        <v>6</v>
      </c>
      <c r="C688" s="5">
        <v>275.39999999999998</v>
      </c>
      <c r="D688" s="5">
        <v>303.39999999999998</v>
      </c>
      <c r="E688" s="5">
        <v>265.60000000000002</v>
      </c>
      <c r="F688" s="5">
        <v>296</v>
      </c>
      <c r="G688" s="16">
        <v>19</v>
      </c>
      <c r="H688" s="7">
        <v>230119</v>
      </c>
      <c r="I688" s="7">
        <f t="shared" si="10"/>
        <v>12111.526315789473</v>
      </c>
      <c r="J688" s="7">
        <v>31765</v>
      </c>
      <c r="K688" s="7">
        <v>56</v>
      </c>
    </row>
    <row r="689" spans="1:11" ht="13.5" customHeight="1" x14ac:dyDescent="0.15">
      <c r="A689" s="4">
        <v>40238</v>
      </c>
      <c r="B689" s="6">
        <v>6</v>
      </c>
      <c r="C689" s="5">
        <v>295.3</v>
      </c>
      <c r="D689" s="5">
        <v>314</v>
      </c>
      <c r="E689" s="5">
        <v>277.2</v>
      </c>
      <c r="F689" s="5">
        <v>308.5</v>
      </c>
      <c r="G689" s="16">
        <v>22</v>
      </c>
      <c r="H689" s="7">
        <v>271904</v>
      </c>
      <c r="I689" s="7">
        <f t="shared" si="10"/>
        <v>12359.272727272728</v>
      </c>
      <c r="J689" s="7">
        <v>38670</v>
      </c>
      <c r="K689" s="7">
        <v>380</v>
      </c>
    </row>
    <row r="690" spans="1:11" ht="13.5" customHeight="1" x14ac:dyDescent="0.15">
      <c r="A690" s="4">
        <v>40269</v>
      </c>
      <c r="B690" s="6">
        <v>6</v>
      </c>
      <c r="C690" s="5">
        <v>309.7</v>
      </c>
      <c r="D690" s="5">
        <v>338.5</v>
      </c>
      <c r="E690" s="5">
        <v>265.8</v>
      </c>
      <c r="F690" s="5">
        <v>292.7</v>
      </c>
      <c r="G690" s="16">
        <v>21</v>
      </c>
      <c r="H690" s="7">
        <v>309049</v>
      </c>
      <c r="I690" s="7">
        <f t="shared" si="10"/>
        <v>14716.619047619048</v>
      </c>
      <c r="J690" s="7">
        <v>40504</v>
      </c>
      <c r="K690" s="7">
        <v>142</v>
      </c>
    </row>
    <row r="691" spans="1:11" ht="13.5" customHeight="1" x14ac:dyDescent="0.15">
      <c r="A691" s="4">
        <v>40299</v>
      </c>
      <c r="B691" s="6">
        <v>6</v>
      </c>
      <c r="C691" s="5">
        <v>295.39999999999998</v>
      </c>
      <c r="D691" s="5">
        <v>297.7</v>
      </c>
      <c r="E691" s="5">
        <v>250.9</v>
      </c>
      <c r="F691" s="5">
        <v>284.8</v>
      </c>
      <c r="G691" s="16">
        <v>18</v>
      </c>
      <c r="H691" s="7">
        <v>281894</v>
      </c>
      <c r="I691" s="7">
        <f t="shared" si="10"/>
        <v>15660.777777777777</v>
      </c>
      <c r="J691" s="7">
        <v>29076</v>
      </c>
      <c r="K691" s="7">
        <v>102</v>
      </c>
    </row>
    <row r="692" spans="1:11" ht="13.5" customHeight="1" x14ac:dyDescent="0.15">
      <c r="A692" s="4">
        <v>40330</v>
      </c>
      <c r="B692" s="6">
        <v>6</v>
      </c>
      <c r="C692" s="5">
        <v>285.3</v>
      </c>
      <c r="D692" s="5">
        <v>288.60000000000002</v>
      </c>
      <c r="E692" s="5">
        <v>253.6</v>
      </c>
      <c r="F692" s="5">
        <v>269.5</v>
      </c>
      <c r="G692" s="16">
        <v>22</v>
      </c>
      <c r="H692" s="7">
        <v>248138</v>
      </c>
      <c r="I692" s="7">
        <f t="shared" si="10"/>
        <v>11279</v>
      </c>
      <c r="J692" s="7">
        <v>27791</v>
      </c>
      <c r="K692" s="7">
        <v>132</v>
      </c>
    </row>
    <row r="693" spans="1:11" ht="13.5" customHeight="1" x14ac:dyDescent="0.15">
      <c r="A693" s="4">
        <v>40360</v>
      </c>
      <c r="B693" s="6">
        <v>6</v>
      </c>
      <c r="C693" s="5">
        <v>270.10000000000002</v>
      </c>
      <c r="D693" s="5">
        <v>278</v>
      </c>
      <c r="E693" s="5">
        <v>256.7</v>
      </c>
      <c r="F693" s="5">
        <v>272.5</v>
      </c>
      <c r="G693" s="16">
        <v>21</v>
      </c>
      <c r="H693" s="7">
        <v>186099</v>
      </c>
      <c r="I693" s="7">
        <f t="shared" si="10"/>
        <v>8861.8571428571431</v>
      </c>
      <c r="J693" s="7">
        <v>27416</v>
      </c>
      <c r="K693" s="7">
        <v>8</v>
      </c>
    </row>
    <row r="694" spans="1:11" ht="13.5" customHeight="1" x14ac:dyDescent="0.15">
      <c r="A694" s="4">
        <v>40391</v>
      </c>
      <c r="B694" s="6">
        <v>6</v>
      </c>
      <c r="C694" s="5">
        <v>272.8</v>
      </c>
      <c r="D694" s="5">
        <v>302</v>
      </c>
      <c r="E694" s="5">
        <v>270.60000000000002</v>
      </c>
      <c r="F694" s="5">
        <v>293.60000000000002</v>
      </c>
      <c r="G694" s="16">
        <v>22</v>
      </c>
      <c r="H694" s="7">
        <v>190166</v>
      </c>
      <c r="I694" s="7">
        <f t="shared" si="10"/>
        <v>8643.9090909090901</v>
      </c>
      <c r="J694" s="7">
        <v>34446</v>
      </c>
      <c r="K694" s="7">
        <v>216</v>
      </c>
    </row>
    <row r="695" spans="1:11" ht="13.5" customHeight="1" x14ac:dyDescent="0.15">
      <c r="A695" s="4">
        <v>40422</v>
      </c>
      <c r="B695" s="6">
        <v>6</v>
      </c>
      <c r="C695" s="5">
        <v>293.60000000000002</v>
      </c>
      <c r="D695" s="5">
        <v>314.7</v>
      </c>
      <c r="E695" s="5">
        <v>290.89999999999998</v>
      </c>
      <c r="F695" s="5">
        <v>311</v>
      </c>
      <c r="G695" s="16">
        <v>20</v>
      </c>
      <c r="H695" s="7">
        <v>179703</v>
      </c>
      <c r="I695" s="7">
        <f t="shared" si="10"/>
        <v>8985.15</v>
      </c>
      <c r="J695" s="7">
        <v>34694</v>
      </c>
      <c r="K695" s="7">
        <v>304</v>
      </c>
    </row>
    <row r="696" spans="1:11" ht="13.5" customHeight="1" x14ac:dyDescent="0.15">
      <c r="A696" s="4">
        <v>40452</v>
      </c>
      <c r="B696" s="6">
        <v>6</v>
      </c>
      <c r="C696" s="5">
        <v>312</v>
      </c>
      <c r="D696" s="5">
        <v>343.3</v>
      </c>
      <c r="E696" s="5">
        <v>309.89999999999998</v>
      </c>
      <c r="F696" s="5">
        <v>326.8</v>
      </c>
      <c r="G696" s="16">
        <v>20</v>
      </c>
      <c r="H696" s="7">
        <v>241870</v>
      </c>
      <c r="I696" s="7">
        <f t="shared" si="10"/>
        <v>12093.5</v>
      </c>
      <c r="J696" s="7">
        <v>33959</v>
      </c>
      <c r="K696" s="7">
        <v>286</v>
      </c>
    </row>
    <row r="697" spans="1:11" ht="13.5" customHeight="1" x14ac:dyDescent="0.15">
      <c r="A697" s="4">
        <v>40483</v>
      </c>
      <c r="B697" s="6">
        <v>6</v>
      </c>
      <c r="C697" s="5">
        <v>326</v>
      </c>
      <c r="D697" s="5">
        <v>383</v>
      </c>
      <c r="E697" s="5">
        <v>323.60000000000002</v>
      </c>
      <c r="F697" s="5">
        <v>360.4</v>
      </c>
      <c r="G697" s="16">
        <v>20</v>
      </c>
      <c r="H697" s="7">
        <v>394757</v>
      </c>
      <c r="I697" s="7">
        <f t="shared" si="10"/>
        <v>19737.849999999999</v>
      </c>
      <c r="J697" s="7">
        <v>38527</v>
      </c>
      <c r="K697" s="7">
        <v>214</v>
      </c>
    </row>
    <row r="698" spans="1:11" ht="13.5" customHeight="1" x14ac:dyDescent="0.15">
      <c r="A698" s="4">
        <v>40513</v>
      </c>
      <c r="B698" s="6">
        <v>6</v>
      </c>
      <c r="C698" s="5">
        <v>363.6</v>
      </c>
      <c r="D698" s="5">
        <v>419.3</v>
      </c>
      <c r="E698" s="5">
        <v>356.1</v>
      </c>
      <c r="F698" s="5">
        <v>414.4</v>
      </c>
      <c r="G698" s="16">
        <v>21</v>
      </c>
      <c r="H698" s="7">
        <v>303447</v>
      </c>
      <c r="I698" s="7">
        <f t="shared" si="10"/>
        <v>14449.857142857143</v>
      </c>
      <c r="J698" s="7">
        <v>36537</v>
      </c>
      <c r="K698" s="7">
        <v>150</v>
      </c>
    </row>
    <row r="699" spans="1:11" ht="13.5" customHeight="1" x14ac:dyDescent="0.15">
      <c r="A699" s="4">
        <v>40544</v>
      </c>
      <c r="B699" s="6">
        <v>6</v>
      </c>
      <c r="C699" s="5">
        <v>422</v>
      </c>
      <c r="D699" s="5">
        <v>484.9</v>
      </c>
      <c r="E699" s="5">
        <v>419.1</v>
      </c>
      <c r="F699" s="5">
        <v>465.5</v>
      </c>
      <c r="G699" s="16">
        <v>19</v>
      </c>
      <c r="H699" s="7">
        <v>364342</v>
      </c>
      <c r="I699" s="7">
        <f t="shared" si="10"/>
        <v>19175.894736842107</v>
      </c>
      <c r="J699" s="7">
        <v>38993</v>
      </c>
      <c r="K699" s="7">
        <v>314</v>
      </c>
    </row>
    <row r="700" spans="1:11" ht="13.5" customHeight="1" x14ac:dyDescent="0.15">
      <c r="A700" s="4">
        <v>40575</v>
      </c>
      <c r="B700" s="6">
        <v>6</v>
      </c>
      <c r="C700" s="5">
        <v>465</v>
      </c>
      <c r="D700" s="5">
        <v>535.70000000000005</v>
      </c>
      <c r="E700" s="5">
        <v>455</v>
      </c>
      <c r="F700" s="5">
        <v>466.3</v>
      </c>
      <c r="G700" s="16">
        <v>19</v>
      </c>
      <c r="H700" s="7">
        <v>461040</v>
      </c>
      <c r="I700" s="7">
        <f t="shared" si="10"/>
        <v>24265.263157894737</v>
      </c>
      <c r="J700" s="7">
        <v>36985</v>
      </c>
      <c r="K700" s="7">
        <v>310</v>
      </c>
    </row>
    <row r="701" spans="1:11" ht="13.5" customHeight="1" x14ac:dyDescent="0.15">
      <c r="A701" s="4">
        <v>40603</v>
      </c>
      <c r="B701" s="6">
        <v>6</v>
      </c>
      <c r="C701" s="5">
        <v>470.1</v>
      </c>
      <c r="D701" s="5">
        <v>484.8</v>
      </c>
      <c r="E701" s="5">
        <v>335</v>
      </c>
      <c r="F701" s="5">
        <v>432.5</v>
      </c>
      <c r="G701" s="16">
        <v>22</v>
      </c>
      <c r="H701" s="7">
        <v>555951</v>
      </c>
      <c r="I701" s="7">
        <f t="shared" si="10"/>
        <v>25270.5</v>
      </c>
      <c r="J701" s="7">
        <v>29532</v>
      </c>
      <c r="K701" s="7">
        <v>466</v>
      </c>
    </row>
    <row r="702" spans="1:11" ht="13.5" customHeight="1" x14ac:dyDescent="0.15">
      <c r="A702" s="4">
        <v>40634</v>
      </c>
      <c r="B702" s="6">
        <v>6</v>
      </c>
      <c r="C702" s="5">
        <v>433</v>
      </c>
      <c r="D702" s="5">
        <v>481.9</v>
      </c>
      <c r="E702" s="5">
        <v>372.2</v>
      </c>
      <c r="F702" s="5">
        <v>388.5</v>
      </c>
      <c r="G702" s="16">
        <v>20</v>
      </c>
      <c r="H702" s="7">
        <v>310114</v>
      </c>
      <c r="I702" s="7">
        <f t="shared" si="10"/>
        <v>15505.7</v>
      </c>
      <c r="J702" s="7">
        <v>27447</v>
      </c>
      <c r="K702" s="7">
        <v>305</v>
      </c>
    </row>
    <row r="703" spans="1:11" ht="13.5" customHeight="1" x14ac:dyDescent="0.15">
      <c r="A703" s="4">
        <v>40664</v>
      </c>
      <c r="B703" s="6">
        <v>6</v>
      </c>
      <c r="C703" s="5">
        <v>388.4</v>
      </c>
      <c r="D703" s="5">
        <v>393.7</v>
      </c>
      <c r="E703" s="5">
        <v>353.2</v>
      </c>
      <c r="F703" s="5">
        <v>391</v>
      </c>
      <c r="G703" s="16">
        <v>19</v>
      </c>
      <c r="H703" s="7">
        <v>236272</v>
      </c>
      <c r="I703" s="7">
        <f t="shared" si="10"/>
        <v>12435.368421052632</v>
      </c>
      <c r="J703" s="7">
        <v>28281</v>
      </c>
      <c r="K703" s="7">
        <v>241</v>
      </c>
    </row>
    <row r="704" spans="1:11" ht="13.5" customHeight="1" x14ac:dyDescent="0.15">
      <c r="A704" s="4">
        <v>40695</v>
      </c>
      <c r="B704" s="6">
        <v>6</v>
      </c>
      <c r="C704" s="5">
        <v>394</v>
      </c>
      <c r="D704" s="5">
        <v>394.9</v>
      </c>
      <c r="E704" s="5">
        <v>343.1</v>
      </c>
      <c r="F704" s="5">
        <v>364.1</v>
      </c>
      <c r="G704" s="16">
        <v>22</v>
      </c>
      <c r="H704" s="7">
        <v>216675</v>
      </c>
      <c r="I704" s="7">
        <f t="shared" si="10"/>
        <v>9848.863636363636</v>
      </c>
      <c r="J704" s="7">
        <v>25140</v>
      </c>
      <c r="K704" s="7">
        <v>146</v>
      </c>
    </row>
    <row r="705" spans="1:11" ht="13.5" customHeight="1" x14ac:dyDescent="0.15">
      <c r="A705" s="4">
        <v>40725</v>
      </c>
      <c r="B705" s="6">
        <v>6</v>
      </c>
      <c r="C705" s="5">
        <v>364.6</v>
      </c>
      <c r="D705" s="5">
        <v>396.5</v>
      </c>
      <c r="E705" s="5">
        <v>361.6</v>
      </c>
      <c r="F705" s="5">
        <v>386.5</v>
      </c>
      <c r="G705" s="16">
        <v>20</v>
      </c>
      <c r="H705" s="7">
        <v>190397</v>
      </c>
      <c r="I705" s="7">
        <f t="shared" si="10"/>
        <v>9519.85</v>
      </c>
      <c r="J705" s="7">
        <v>25648</v>
      </c>
      <c r="K705" s="7">
        <v>172</v>
      </c>
    </row>
    <row r="706" spans="1:11" ht="13.5" customHeight="1" x14ac:dyDescent="0.15">
      <c r="A706" s="4">
        <v>40756</v>
      </c>
      <c r="B706" s="6">
        <v>6</v>
      </c>
      <c r="C706" s="5">
        <v>386.9</v>
      </c>
      <c r="D706" s="5">
        <v>395</v>
      </c>
      <c r="E706" s="5">
        <v>348</v>
      </c>
      <c r="F706" s="5">
        <v>375.5</v>
      </c>
      <c r="G706" s="16">
        <v>23</v>
      </c>
      <c r="H706" s="7">
        <v>181719</v>
      </c>
      <c r="I706" s="7">
        <f t="shared" si="10"/>
        <v>7900.826086956522</v>
      </c>
      <c r="J706" s="7">
        <v>19069</v>
      </c>
      <c r="K706" s="7">
        <v>434</v>
      </c>
    </row>
    <row r="707" spans="1:11" ht="13.5" customHeight="1" x14ac:dyDescent="0.15">
      <c r="A707" s="4">
        <v>40787</v>
      </c>
      <c r="B707" s="6">
        <v>6</v>
      </c>
      <c r="C707" s="5">
        <v>376</v>
      </c>
      <c r="D707" s="5">
        <v>376.3</v>
      </c>
      <c r="E707" s="5">
        <v>289.5</v>
      </c>
      <c r="F707" s="5">
        <v>310.3</v>
      </c>
      <c r="G707" s="16">
        <v>20</v>
      </c>
      <c r="H707" s="7">
        <v>161757</v>
      </c>
      <c r="I707" s="7">
        <f t="shared" ref="I707:I770" si="11">H707/G707</f>
        <v>8087.85</v>
      </c>
      <c r="J707" s="7">
        <v>22824</v>
      </c>
      <c r="K707" s="7">
        <v>214</v>
      </c>
    </row>
    <row r="708" spans="1:11" ht="13.5" customHeight="1" x14ac:dyDescent="0.15">
      <c r="A708" s="4">
        <v>40817</v>
      </c>
      <c r="B708" s="6">
        <v>6</v>
      </c>
      <c r="C708" s="5">
        <v>314.39999999999998</v>
      </c>
      <c r="D708" s="5">
        <v>327.9</v>
      </c>
      <c r="E708" s="5">
        <v>275.2</v>
      </c>
      <c r="F708" s="5">
        <v>307.39999999999998</v>
      </c>
      <c r="G708" s="16">
        <v>20</v>
      </c>
      <c r="H708" s="7">
        <v>191060</v>
      </c>
      <c r="I708" s="7">
        <f t="shared" si="11"/>
        <v>9553</v>
      </c>
      <c r="J708" s="7">
        <v>22582</v>
      </c>
      <c r="K708" s="7">
        <v>324</v>
      </c>
    </row>
    <row r="709" spans="1:11" ht="13.5" customHeight="1" x14ac:dyDescent="0.15">
      <c r="A709" s="4">
        <v>40848</v>
      </c>
      <c r="B709" s="6">
        <v>6</v>
      </c>
      <c r="C709" s="5">
        <v>306</v>
      </c>
      <c r="D709" s="5">
        <v>307</v>
      </c>
      <c r="E709" s="5">
        <v>248.6</v>
      </c>
      <c r="F709" s="5">
        <v>267.10000000000002</v>
      </c>
      <c r="G709" s="16">
        <v>20</v>
      </c>
      <c r="H709" s="7">
        <v>232746</v>
      </c>
      <c r="I709" s="7">
        <f t="shared" si="11"/>
        <v>11637.3</v>
      </c>
      <c r="J709" s="7">
        <v>22338</v>
      </c>
      <c r="K709" s="7">
        <v>229</v>
      </c>
    </row>
    <row r="710" spans="1:11" ht="13.5" customHeight="1" x14ac:dyDescent="0.15">
      <c r="A710" s="4">
        <v>40878</v>
      </c>
      <c r="B710" s="6">
        <v>6</v>
      </c>
      <c r="C710" s="5">
        <v>267</v>
      </c>
      <c r="D710" s="5">
        <v>294</v>
      </c>
      <c r="E710" s="5">
        <v>262.89999999999998</v>
      </c>
      <c r="F710" s="5">
        <v>263.2</v>
      </c>
      <c r="G710" s="16">
        <v>21</v>
      </c>
      <c r="H710" s="7">
        <v>157911</v>
      </c>
      <c r="I710" s="7">
        <f t="shared" si="11"/>
        <v>7519.5714285714284</v>
      </c>
      <c r="J710" s="7">
        <v>25142</v>
      </c>
      <c r="K710" s="7">
        <v>253</v>
      </c>
    </row>
    <row r="711" spans="1:11" ht="13.5" customHeight="1" x14ac:dyDescent="0.15">
      <c r="A711" s="4">
        <v>40909</v>
      </c>
      <c r="B711" s="6">
        <v>6</v>
      </c>
      <c r="C711" s="5">
        <v>270</v>
      </c>
      <c r="D711" s="5">
        <v>324.60000000000002</v>
      </c>
      <c r="E711" s="5">
        <v>258.7</v>
      </c>
      <c r="F711" s="5">
        <v>314.5</v>
      </c>
      <c r="G711" s="16">
        <v>19</v>
      </c>
      <c r="H711" s="7">
        <v>180265</v>
      </c>
      <c r="I711" s="7">
        <f t="shared" si="11"/>
        <v>9487.6315789473683</v>
      </c>
      <c r="J711" s="7">
        <v>25589</v>
      </c>
      <c r="K711" s="7">
        <v>200</v>
      </c>
    </row>
    <row r="712" spans="1:11" ht="13.5" customHeight="1" x14ac:dyDescent="0.15">
      <c r="A712" s="4">
        <v>40940</v>
      </c>
      <c r="B712" s="6">
        <v>6</v>
      </c>
      <c r="C712" s="5">
        <v>314.8</v>
      </c>
      <c r="D712" s="5">
        <v>344.4</v>
      </c>
      <c r="E712" s="5">
        <v>308.60000000000002</v>
      </c>
      <c r="F712" s="5">
        <v>336</v>
      </c>
      <c r="G712" s="16">
        <v>21</v>
      </c>
      <c r="H712" s="7">
        <v>207096</v>
      </c>
      <c r="I712" s="7">
        <f t="shared" si="11"/>
        <v>9861.7142857142862</v>
      </c>
      <c r="J712" s="7">
        <v>25836</v>
      </c>
      <c r="K712" s="7">
        <v>276</v>
      </c>
    </row>
    <row r="713" spans="1:11" ht="13.5" customHeight="1" x14ac:dyDescent="0.15">
      <c r="A713" s="4">
        <v>40969</v>
      </c>
      <c r="B713" s="6">
        <v>6</v>
      </c>
      <c r="C713" s="5">
        <v>336.2</v>
      </c>
      <c r="D713" s="5">
        <v>343.6</v>
      </c>
      <c r="E713" s="5">
        <v>320.39999999999998</v>
      </c>
      <c r="F713" s="5">
        <v>326.39999999999998</v>
      </c>
      <c r="G713" s="16">
        <v>21</v>
      </c>
      <c r="H713" s="7">
        <v>173969</v>
      </c>
      <c r="I713" s="7">
        <f t="shared" si="11"/>
        <v>8284.2380952380954</v>
      </c>
      <c r="J713" s="7">
        <v>26295</v>
      </c>
      <c r="K713" s="7">
        <v>528</v>
      </c>
    </row>
    <row r="714" spans="1:11" ht="13.5" customHeight="1" x14ac:dyDescent="0.15">
      <c r="A714" s="4">
        <v>41000</v>
      </c>
      <c r="B714" s="6">
        <v>6</v>
      </c>
      <c r="C714" s="5">
        <v>327.10000000000002</v>
      </c>
      <c r="D714" s="5">
        <v>332</v>
      </c>
      <c r="E714" s="5">
        <v>301.8</v>
      </c>
      <c r="F714" s="5">
        <v>313.2</v>
      </c>
      <c r="G714" s="16">
        <v>20</v>
      </c>
      <c r="H714" s="7">
        <v>151109</v>
      </c>
      <c r="I714" s="7">
        <f t="shared" si="11"/>
        <v>7555.45</v>
      </c>
      <c r="J714" s="7">
        <v>26920</v>
      </c>
      <c r="K714" s="7">
        <v>244</v>
      </c>
    </row>
    <row r="715" spans="1:11" ht="13.5" customHeight="1" x14ac:dyDescent="0.15">
      <c r="A715" s="4">
        <v>41030</v>
      </c>
      <c r="B715" s="6">
        <v>6</v>
      </c>
      <c r="C715" s="5">
        <v>313</v>
      </c>
      <c r="D715" s="5">
        <v>317.8</v>
      </c>
      <c r="E715" s="5">
        <v>257.89999999999998</v>
      </c>
      <c r="F715" s="5">
        <v>262.60000000000002</v>
      </c>
      <c r="G715" s="16">
        <v>21</v>
      </c>
      <c r="H715" s="7">
        <v>207453</v>
      </c>
      <c r="I715" s="7">
        <f t="shared" si="11"/>
        <v>9878.7142857142862</v>
      </c>
      <c r="J715" s="7">
        <v>23022</v>
      </c>
      <c r="K715" s="7">
        <v>269</v>
      </c>
    </row>
    <row r="716" spans="1:11" ht="13.5" customHeight="1" x14ac:dyDescent="0.15">
      <c r="A716" s="4">
        <v>41061</v>
      </c>
      <c r="B716" s="6">
        <v>6</v>
      </c>
      <c r="C716" s="5">
        <v>263</v>
      </c>
      <c r="D716" s="5">
        <v>264.3</v>
      </c>
      <c r="E716" s="5">
        <v>227.8</v>
      </c>
      <c r="F716" s="5">
        <v>240.5</v>
      </c>
      <c r="G716" s="16">
        <v>21</v>
      </c>
      <c r="H716" s="7">
        <v>188257</v>
      </c>
      <c r="I716" s="7">
        <f t="shared" si="11"/>
        <v>8964.6190476190477</v>
      </c>
      <c r="J716" s="7">
        <v>21241</v>
      </c>
      <c r="K716" s="7">
        <v>262</v>
      </c>
    </row>
    <row r="717" spans="1:11" ht="13.5" customHeight="1" x14ac:dyDescent="0.15">
      <c r="A717" s="4">
        <v>41091</v>
      </c>
      <c r="B717" s="6">
        <v>6</v>
      </c>
      <c r="C717" s="5">
        <v>241.1</v>
      </c>
      <c r="D717" s="5">
        <v>259.60000000000002</v>
      </c>
      <c r="E717" s="5">
        <v>222.4</v>
      </c>
      <c r="F717" s="5">
        <v>230</v>
      </c>
      <c r="G717" s="16">
        <v>21</v>
      </c>
      <c r="H717" s="7">
        <v>170962</v>
      </c>
      <c r="I717" s="7">
        <f t="shared" si="11"/>
        <v>8141.0476190476193</v>
      </c>
      <c r="J717" s="7">
        <v>20875</v>
      </c>
      <c r="K717" s="7">
        <v>238</v>
      </c>
    </row>
    <row r="718" spans="1:11" ht="13.5" customHeight="1" x14ac:dyDescent="0.15">
      <c r="A718" s="4">
        <v>41122</v>
      </c>
      <c r="B718" s="6">
        <v>6</v>
      </c>
      <c r="C718" s="5">
        <v>229.6</v>
      </c>
      <c r="D718" s="5">
        <v>233.8</v>
      </c>
      <c r="E718" s="5">
        <v>205.6</v>
      </c>
      <c r="F718" s="5">
        <v>217.5</v>
      </c>
      <c r="G718" s="16">
        <v>23</v>
      </c>
      <c r="H718" s="7">
        <v>169906</v>
      </c>
      <c r="I718" s="7">
        <f t="shared" si="11"/>
        <v>7387.217391304348</v>
      </c>
      <c r="J718" s="7">
        <v>23668</v>
      </c>
      <c r="K718" s="7">
        <v>185</v>
      </c>
    </row>
    <row r="719" spans="1:11" ht="13.5" customHeight="1" x14ac:dyDescent="0.15">
      <c r="A719" s="4">
        <v>41153</v>
      </c>
      <c r="B719" s="6">
        <v>6</v>
      </c>
      <c r="C719" s="5">
        <v>218</v>
      </c>
      <c r="D719" s="5">
        <v>263.60000000000002</v>
      </c>
      <c r="E719" s="5">
        <v>216.5</v>
      </c>
      <c r="F719" s="5">
        <v>259.89999999999998</v>
      </c>
      <c r="G719" s="16">
        <v>19</v>
      </c>
      <c r="H719" s="7">
        <v>219216</v>
      </c>
      <c r="I719" s="7">
        <f t="shared" si="11"/>
        <v>11537.684210526315</v>
      </c>
      <c r="J719" s="7">
        <v>24175</v>
      </c>
      <c r="K719" s="7">
        <v>277</v>
      </c>
    </row>
    <row r="720" spans="1:11" ht="13.5" customHeight="1" x14ac:dyDescent="0.15">
      <c r="A720" s="4">
        <v>41183</v>
      </c>
      <c r="B720" s="6">
        <v>6</v>
      </c>
      <c r="C720" s="5">
        <v>262.8</v>
      </c>
      <c r="D720" s="5">
        <v>275.5</v>
      </c>
      <c r="E720" s="5">
        <v>247</v>
      </c>
      <c r="F720" s="5">
        <v>255.3</v>
      </c>
      <c r="G720" s="16">
        <v>22</v>
      </c>
      <c r="H720" s="7">
        <v>224994</v>
      </c>
      <c r="I720" s="7">
        <f t="shared" si="11"/>
        <v>10227</v>
      </c>
      <c r="J720" s="7">
        <v>24534</v>
      </c>
      <c r="K720" s="7">
        <v>67</v>
      </c>
    </row>
    <row r="721" spans="1:12" ht="13.5" customHeight="1" x14ac:dyDescent="0.15">
      <c r="A721" s="4">
        <v>41214</v>
      </c>
      <c r="B721" s="6">
        <v>6</v>
      </c>
      <c r="C721" s="5">
        <v>256.39999999999998</v>
      </c>
      <c r="D721" s="5">
        <v>263</v>
      </c>
      <c r="E721" s="5">
        <v>241.8</v>
      </c>
      <c r="F721" s="5">
        <v>259.3</v>
      </c>
      <c r="G721" s="16">
        <v>21</v>
      </c>
      <c r="H721" s="7">
        <v>184095</v>
      </c>
      <c r="I721" s="7">
        <f t="shared" si="11"/>
        <v>8766.4285714285706</v>
      </c>
      <c r="J721" s="7">
        <v>27114</v>
      </c>
      <c r="K721" s="7">
        <v>149</v>
      </c>
    </row>
    <row r="722" spans="1:12" ht="13.5" customHeight="1" x14ac:dyDescent="0.15">
      <c r="A722" s="4">
        <v>41244</v>
      </c>
      <c r="B722" s="6">
        <v>6</v>
      </c>
      <c r="C722" s="5">
        <v>260.39999999999998</v>
      </c>
      <c r="D722" s="5">
        <v>304</v>
      </c>
      <c r="E722" s="5">
        <v>259.2</v>
      </c>
      <c r="F722" s="5">
        <v>302.89999999999998</v>
      </c>
      <c r="G722" s="16">
        <v>19</v>
      </c>
      <c r="H722" s="7">
        <v>174495</v>
      </c>
      <c r="I722" s="7">
        <f t="shared" si="11"/>
        <v>9183.9473684210534</v>
      </c>
      <c r="J722" s="7">
        <v>31064</v>
      </c>
      <c r="K722" s="7">
        <v>288</v>
      </c>
    </row>
    <row r="723" spans="1:12" ht="13.5" customHeight="1" x14ac:dyDescent="0.15">
      <c r="A723" s="4">
        <v>41275</v>
      </c>
      <c r="B723" s="6">
        <v>6</v>
      </c>
      <c r="C723" s="5">
        <v>312.39999999999998</v>
      </c>
      <c r="D723" s="5">
        <v>321</v>
      </c>
      <c r="E723" s="5">
        <v>301</v>
      </c>
      <c r="F723" s="5">
        <v>315.2</v>
      </c>
      <c r="G723" s="16">
        <v>19</v>
      </c>
      <c r="H723" s="7">
        <v>208856</v>
      </c>
      <c r="I723" s="7">
        <f t="shared" si="11"/>
        <v>10992.421052631578</v>
      </c>
      <c r="J723" s="7">
        <v>32414</v>
      </c>
      <c r="K723" s="7">
        <v>124</v>
      </c>
    </row>
    <row r="724" spans="1:12" ht="13.5" customHeight="1" x14ac:dyDescent="0.15">
      <c r="A724" s="4">
        <v>41306</v>
      </c>
      <c r="B724" s="6">
        <v>6</v>
      </c>
      <c r="C724" s="5">
        <v>315.5</v>
      </c>
      <c r="D724" s="5">
        <v>337.8</v>
      </c>
      <c r="E724" s="5">
        <v>284.8</v>
      </c>
      <c r="F724" s="5">
        <v>293.5</v>
      </c>
      <c r="G724" s="16">
        <v>19</v>
      </c>
      <c r="H724" s="7">
        <v>201788</v>
      </c>
      <c r="I724" s="7">
        <f t="shared" si="11"/>
        <v>10620.421052631578</v>
      </c>
      <c r="J724" s="7">
        <v>24636</v>
      </c>
      <c r="K724" s="7">
        <v>511</v>
      </c>
      <c r="L724" s="13" t="s">
        <v>30</v>
      </c>
    </row>
    <row r="725" spans="1:12" ht="13.5" customHeight="1" x14ac:dyDescent="0.15">
      <c r="A725" s="4">
        <v>41334</v>
      </c>
      <c r="B725" s="6">
        <v>6</v>
      </c>
      <c r="C725" s="5">
        <v>292.10000000000002</v>
      </c>
      <c r="D725" s="5">
        <v>303.3</v>
      </c>
      <c r="E725" s="5">
        <v>269.5</v>
      </c>
      <c r="F725" s="5">
        <v>274.8</v>
      </c>
      <c r="G725" s="16">
        <v>20</v>
      </c>
      <c r="H725" s="7">
        <v>213499</v>
      </c>
      <c r="I725" s="7">
        <f t="shared" si="11"/>
        <v>10674.95</v>
      </c>
      <c r="J725" s="7">
        <v>22517</v>
      </c>
      <c r="K725" s="7">
        <v>406</v>
      </c>
    </row>
    <row r="726" spans="1:12" ht="13.5" customHeight="1" x14ac:dyDescent="0.15">
      <c r="A726" s="4">
        <v>41365</v>
      </c>
      <c r="B726" s="6">
        <v>6</v>
      </c>
      <c r="C726" s="5">
        <v>274.5</v>
      </c>
      <c r="D726" s="5">
        <v>280.8</v>
      </c>
      <c r="E726" s="5">
        <v>242.6</v>
      </c>
      <c r="F726" s="5">
        <v>262.8</v>
      </c>
      <c r="G726" s="16">
        <v>21</v>
      </c>
      <c r="H726" s="7">
        <v>218165</v>
      </c>
      <c r="I726" s="7">
        <f t="shared" si="11"/>
        <v>10388.809523809523</v>
      </c>
      <c r="J726" s="7">
        <v>19180</v>
      </c>
      <c r="K726" s="7">
        <v>503</v>
      </c>
    </row>
    <row r="727" spans="1:12" ht="13.5" customHeight="1" x14ac:dyDescent="0.15">
      <c r="A727" s="4">
        <v>41395</v>
      </c>
      <c r="B727" s="6">
        <v>6</v>
      </c>
      <c r="C727" s="5">
        <v>264.3</v>
      </c>
      <c r="D727" s="5">
        <v>299</v>
      </c>
      <c r="E727" s="5">
        <v>250.8</v>
      </c>
      <c r="F727" s="5">
        <v>258.89999999999998</v>
      </c>
      <c r="G727" s="16">
        <v>21</v>
      </c>
      <c r="H727" s="7">
        <v>216853</v>
      </c>
      <c r="I727" s="7">
        <f t="shared" si="11"/>
        <v>10326.333333333334</v>
      </c>
      <c r="J727" s="7">
        <v>16784</v>
      </c>
      <c r="K727" s="7">
        <v>395</v>
      </c>
    </row>
    <row r="728" spans="1:12" ht="13.5" customHeight="1" x14ac:dyDescent="0.15">
      <c r="A728" s="4">
        <v>41426</v>
      </c>
      <c r="B728" s="6">
        <v>6</v>
      </c>
      <c r="C728" s="5">
        <v>256.60000000000002</v>
      </c>
      <c r="D728" s="5">
        <v>262.3</v>
      </c>
      <c r="E728" s="5">
        <v>225</v>
      </c>
      <c r="F728" s="5">
        <v>236.5</v>
      </c>
      <c r="G728" s="16">
        <v>20</v>
      </c>
      <c r="H728" s="7">
        <v>200822</v>
      </c>
      <c r="I728" s="7">
        <f t="shared" si="11"/>
        <v>10041.1</v>
      </c>
      <c r="J728" s="7">
        <v>18060</v>
      </c>
      <c r="K728" s="7">
        <v>471</v>
      </c>
    </row>
    <row r="729" spans="1:12" ht="13.5" customHeight="1" x14ac:dyDescent="0.15">
      <c r="A729" s="4">
        <v>41456</v>
      </c>
      <c r="B729" s="6">
        <v>6</v>
      </c>
      <c r="C729" s="5">
        <v>237.5</v>
      </c>
      <c r="D729" s="5">
        <v>262</v>
      </c>
      <c r="E729" s="5">
        <v>231.5</v>
      </c>
      <c r="F729" s="5">
        <v>240.8</v>
      </c>
      <c r="G729" s="16">
        <v>22</v>
      </c>
      <c r="H729" s="7">
        <v>207643</v>
      </c>
      <c r="I729" s="7">
        <f t="shared" si="11"/>
        <v>9438.318181818182</v>
      </c>
      <c r="J729" s="7">
        <v>19499</v>
      </c>
      <c r="K729" s="7">
        <v>565</v>
      </c>
    </row>
    <row r="730" spans="1:12" ht="13.5" customHeight="1" x14ac:dyDescent="0.15">
      <c r="A730" s="4">
        <v>41487</v>
      </c>
      <c r="B730" s="6">
        <v>6</v>
      </c>
      <c r="C730" s="5">
        <v>243</v>
      </c>
      <c r="D730" s="5">
        <v>279.60000000000002</v>
      </c>
      <c r="E730" s="5">
        <v>241.1</v>
      </c>
      <c r="F730" s="5">
        <v>268.5</v>
      </c>
      <c r="G730" s="16">
        <v>22</v>
      </c>
      <c r="H730" s="7">
        <v>197759</v>
      </c>
      <c r="I730" s="7">
        <f t="shared" si="11"/>
        <v>8989.045454545454</v>
      </c>
      <c r="J730" s="7">
        <v>26060</v>
      </c>
      <c r="K730" s="7">
        <v>126</v>
      </c>
    </row>
    <row r="731" spans="1:12" ht="13.5" customHeight="1" x14ac:dyDescent="0.15">
      <c r="A731" s="4">
        <v>41518</v>
      </c>
      <c r="B731" s="6">
        <v>6</v>
      </c>
      <c r="C731" s="5">
        <v>268</v>
      </c>
      <c r="D731" s="5">
        <v>290.3</v>
      </c>
      <c r="E731" s="5">
        <v>264.10000000000002</v>
      </c>
      <c r="F731" s="5">
        <v>265.89999999999998</v>
      </c>
      <c r="G731" s="16">
        <v>19</v>
      </c>
      <c r="H731" s="7">
        <v>158009</v>
      </c>
      <c r="I731" s="7">
        <f t="shared" si="11"/>
        <v>8316.2631578947367</v>
      </c>
      <c r="J731" s="7">
        <v>25492</v>
      </c>
      <c r="K731" s="7">
        <v>62</v>
      </c>
    </row>
    <row r="732" spans="1:12" ht="13.5" customHeight="1" x14ac:dyDescent="0.15">
      <c r="A732" s="4">
        <v>41548</v>
      </c>
      <c r="B732" s="6">
        <v>6</v>
      </c>
      <c r="C732" s="5">
        <v>264.89999999999998</v>
      </c>
      <c r="D732" s="5">
        <v>276</v>
      </c>
      <c r="E732" s="5">
        <v>253.8</v>
      </c>
      <c r="F732" s="5">
        <v>261.89999999999998</v>
      </c>
      <c r="G732" s="16">
        <v>22</v>
      </c>
      <c r="H732" s="7">
        <v>161996</v>
      </c>
      <c r="I732" s="7">
        <f t="shared" si="11"/>
        <v>7363.454545454545</v>
      </c>
      <c r="J732" s="7">
        <v>27940</v>
      </c>
      <c r="K732" s="7">
        <v>219</v>
      </c>
    </row>
    <row r="733" spans="1:12" ht="13.5" customHeight="1" x14ac:dyDescent="0.15">
      <c r="A733" s="4">
        <v>41579</v>
      </c>
      <c r="B733" s="6">
        <v>6</v>
      </c>
      <c r="C733" s="5">
        <v>260.8</v>
      </c>
      <c r="D733" s="5">
        <v>271.89999999999998</v>
      </c>
      <c r="E733" s="5">
        <v>253.5</v>
      </c>
      <c r="F733" s="5">
        <v>271.8</v>
      </c>
      <c r="G733" s="16">
        <v>20</v>
      </c>
      <c r="H733" s="7">
        <v>162313</v>
      </c>
      <c r="I733" s="7">
        <f t="shared" si="11"/>
        <v>8115.65</v>
      </c>
      <c r="J733" s="7">
        <v>25384</v>
      </c>
      <c r="K733" s="7">
        <v>286</v>
      </c>
    </row>
    <row r="734" spans="1:12" ht="13.5" customHeight="1" x14ac:dyDescent="0.15">
      <c r="A734" s="4">
        <v>41609</v>
      </c>
      <c r="B734" s="6">
        <v>6</v>
      </c>
      <c r="C734" s="5">
        <v>271.3</v>
      </c>
      <c r="D734" s="5">
        <v>287.89999999999998</v>
      </c>
      <c r="E734" s="5">
        <v>268.5</v>
      </c>
      <c r="F734" s="5">
        <v>274.60000000000002</v>
      </c>
      <c r="G734" s="16">
        <v>20</v>
      </c>
      <c r="H734" s="7">
        <v>181711</v>
      </c>
      <c r="I734" s="7">
        <f t="shared" si="11"/>
        <v>9085.5499999999993</v>
      </c>
      <c r="J734" s="7">
        <v>26331</v>
      </c>
      <c r="K734" s="7">
        <v>807</v>
      </c>
    </row>
    <row r="735" spans="1:12" ht="13.5" customHeight="1" x14ac:dyDescent="0.15">
      <c r="A735" s="4">
        <v>41640</v>
      </c>
      <c r="B735" s="6">
        <v>6</v>
      </c>
      <c r="C735" s="5">
        <v>266.3</v>
      </c>
      <c r="D735" s="5">
        <v>266.3</v>
      </c>
      <c r="E735" s="5">
        <v>225.5</v>
      </c>
      <c r="F735" s="5">
        <v>227.7</v>
      </c>
      <c r="G735" s="16">
        <v>19</v>
      </c>
      <c r="H735" s="7">
        <v>190015</v>
      </c>
      <c r="I735" s="7">
        <f t="shared" si="11"/>
        <v>10000.78947368421</v>
      </c>
      <c r="J735" s="7">
        <v>28576</v>
      </c>
      <c r="K735" s="7">
        <v>1180</v>
      </c>
    </row>
    <row r="736" spans="1:12" ht="13.5" customHeight="1" x14ac:dyDescent="0.15">
      <c r="A736" s="4">
        <v>41671</v>
      </c>
      <c r="B736" s="6">
        <v>6</v>
      </c>
      <c r="C736" s="5">
        <v>227.9</v>
      </c>
      <c r="D736" s="5">
        <v>237.4</v>
      </c>
      <c r="E736" s="5">
        <v>210</v>
      </c>
      <c r="F736" s="5">
        <v>225.2</v>
      </c>
      <c r="G736" s="16">
        <v>19</v>
      </c>
      <c r="H736" s="7">
        <v>232265</v>
      </c>
      <c r="I736" s="7">
        <f t="shared" si="11"/>
        <v>12224.473684210527</v>
      </c>
      <c r="J736" s="7">
        <v>33155</v>
      </c>
      <c r="K736" s="7">
        <v>870</v>
      </c>
    </row>
    <row r="737" spans="1:11" ht="13.5" customHeight="1" x14ac:dyDescent="0.15">
      <c r="A737" s="4">
        <v>41699</v>
      </c>
      <c r="B737" s="6">
        <v>6</v>
      </c>
      <c r="C737" s="5">
        <v>225</v>
      </c>
      <c r="D737" s="5">
        <v>244.8</v>
      </c>
      <c r="E737" s="5">
        <v>221.5</v>
      </c>
      <c r="F737" s="5">
        <v>233.9</v>
      </c>
      <c r="G737" s="16">
        <v>20</v>
      </c>
      <c r="H737" s="7">
        <v>236758</v>
      </c>
      <c r="I737" s="7">
        <f t="shared" si="11"/>
        <v>11837.9</v>
      </c>
      <c r="J737" s="7">
        <v>26924</v>
      </c>
      <c r="K737" s="7">
        <v>851</v>
      </c>
    </row>
    <row r="738" spans="1:11" ht="13.5" customHeight="1" x14ac:dyDescent="0.15">
      <c r="A738" s="4">
        <v>41730</v>
      </c>
      <c r="B738" s="6">
        <v>6</v>
      </c>
      <c r="C738" s="5">
        <v>234.1</v>
      </c>
      <c r="D738" s="5">
        <v>236.4</v>
      </c>
      <c r="E738" s="5">
        <v>196.7</v>
      </c>
      <c r="F738" s="5">
        <v>205.3</v>
      </c>
      <c r="G738" s="16">
        <v>21</v>
      </c>
      <c r="H738" s="7">
        <v>216278</v>
      </c>
      <c r="I738" s="7">
        <f t="shared" si="11"/>
        <v>10298.952380952382</v>
      </c>
      <c r="J738" s="7">
        <v>30108</v>
      </c>
      <c r="K738" s="7">
        <v>345</v>
      </c>
    </row>
    <row r="739" spans="1:11" ht="13.5" customHeight="1" x14ac:dyDescent="0.15">
      <c r="A739" s="4">
        <v>41760</v>
      </c>
      <c r="B739" s="6">
        <v>6</v>
      </c>
      <c r="C739" s="5">
        <v>205.2</v>
      </c>
      <c r="D739" s="5">
        <v>208.8</v>
      </c>
      <c r="E739" s="5">
        <v>197</v>
      </c>
      <c r="F739" s="5">
        <v>198.4</v>
      </c>
      <c r="G739" s="16">
        <v>20</v>
      </c>
      <c r="H739" s="7">
        <v>189652</v>
      </c>
      <c r="I739" s="7">
        <f t="shared" si="11"/>
        <v>9482.6</v>
      </c>
      <c r="J739" s="7">
        <v>33210</v>
      </c>
      <c r="K739" s="7">
        <v>270</v>
      </c>
    </row>
    <row r="740" spans="1:11" ht="13.5" customHeight="1" x14ac:dyDescent="0.15">
      <c r="A740" s="4">
        <v>41791</v>
      </c>
      <c r="B740" s="6">
        <v>6</v>
      </c>
      <c r="C740" s="5">
        <v>198.1</v>
      </c>
      <c r="D740" s="5">
        <v>220</v>
      </c>
      <c r="E740" s="5">
        <v>190.3</v>
      </c>
      <c r="F740" s="5">
        <v>210.9</v>
      </c>
      <c r="G740" s="16">
        <v>21</v>
      </c>
      <c r="H740" s="7">
        <v>226505</v>
      </c>
      <c r="I740" s="7">
        <f t="shared" si="11"/>
        <v>10785.952380952382</v>
      </c>
      <c r="J740" s="7">
        <v>28815</v>
      </c>
      <c r="K740" s="7">
        <v>878</v>
      </c>
    </row>
    <row r="741" spans="1:11" ht="13.5" customHeight="1" x14ac:dyDescent="0.15">
      <c r="A741" s="4">
        <v>41821</v>
      </c>
      <c r="B741" s="6">
        <v>6</v>
      </c>
      <c r="C741" s="5">
        <v>210.8</v>
      </c>
      <c r="D741" s="5">
        <v>216.5</v>
      </c>
      <c r="E741" s="5">
        <v>196.2</v>
      </c>
      <c r="F741" s="5">
        <v>212.3</v>
      </c>
      <c r="G741" s="16">
        <v>22</v>
      </c>
      <c r="H741" s="7">
        <v>182893</v>
      </c>
      <c r="I741" s="7">
        <f t="shared" si="11"/>
        <v>8313.318181818182</v>
      </c>
      <c r="J741" s="7">
        <v>26839</v>
      </c>
      <c r="K741" s="7">
        <v>737</v>
      </c>
    </row>
    <row r="742" spans="1:11" ht="13.5" customHeight="1" x14ac:dyDescent="0.15">
      <c r="A742" s="4">
        <v>41852</v>
      </c>
      <c r="B742" s="6">
        <v>6</v>
      </c>
      <c r="C742" s="5">
        <v>212.5</v>
      </c>
      <c r="D742" s="5">
        <v>212.9</v>
      </c>
      <c r="E742" s="5">
        <v>195</v>
      </c>
      <c r="F742" s="5">
        <v>198.5</v>
      </c>
      <c r="G742" s="16">
        <v>21</v>
      </c>
      <c r="H742" s="7">
        <v>157053</v>
      </c>
      <c r="I742" s="7">
        <f t="shared" si="11"/>
        <v>7478.7142857142853</v>
      </c>
      <c r="J742" s="7">
        <v>27144</v>
      </c>
      <c r="K742" s="7">
        <v>967</v>
      </c>
    </row>
    <row r="743" spans="1:11" ht="13.5" customHeight="1" x14ac:dyDescent="0.15">
      <c r="A743" s="4">
        <v>41883</v>
      </c>
      <c r="B743" s="6">
        <v>6</v>
      </c>
      <c r="C743" s="5">
        <v>198.1</v>
      </c>
      <c r="D743" s="5">
        <v>201.6</v>
      </c>
      <c r="E743" s="5">
        <v>179</v>
      </c>
      <c r="F743" s="5">
        <v>183.2</v>
      </c>
      <c r="G743" s="16">
        <v>20</v>
      </c>
      <c r="H743" s="7">
        <v>193442</v>
      </c>
      <c r="I743" s="7">
        <f t="shared" si="11"/>
        <v>9672.1</v>
      </c>
      <c r="J743" s="7">
        <v>32559</v>
      </c>
      <c r="K743" s="7">
        <v>615</v>
      </c>
    </row>
    <row r="744" spans="1:11" ht="13.5" customHeight="1" x14ac:dyDescent="0.15">
      <c r="A744" s="4">
        <v>41913</v>
      </c>
      <c r="B744" s="6">
        <v>6</v>
      </c>
      <c r="C744" s="5">
        <v>183.6</v>
      </c>
      <c r="D744" s="5">
        <v>204.9</v>
      </c>
      <c r="E744" s="5">
        <v>173.8</v>
      </c>
      <c r="F744" s="5">
        <v>201.9</v>
      </c>
      <c r="G744" s="16">
        <v>22</v>
      </c>
      <c r="H744" s="7">
        <v>218305</v>
      </c>
      <c r="I744" s="7">
        <f t="shared" si="11"/>
        <v>9922.954545454546</v>
      </c>
      <c r="J744" s="7">
        <v>25906</v>
      </c>
      <c r="K744" s="7">
        <v>395</v>
      </c>
    </row>
    <row r="745" spans="1:11" ht="13.5" customHeight="1" x14ac:dyDescent="0.15">
      <c r="A745" s="4">
        <v>41944</v>
      </c>
      <c r="B745" s="6">
        <v>6</v>
      </c>
      <c r="C745" s="5">
        <v>201.7</v>
      </c>
      <c r="D745" s="5">
        <v>208</v>
      </c>
      <c r="E745" s="5">
        <v>191.9</v>
      </c>
      <c r="F745" s="5">
        <v>200.4</v>
      </c>
      <c r="G745" s="16">
        <v>18</v>
      </c>
      <c r="H745" s="7">
        <v>175222</v>
      </c>
      <c r="I745" s="7">
        <f t="shared" si="11"/>
        <v>9734.5555555555547</v>
      </c>
      <c r="J745" s="7">
        <v>30495</v>
      </c>
      <c r="K745" s="7">
        <v>95</v>
      </c>
    </row>
    <row r="746" spans="1:11" ht="13.5" customHeight="1" x14ac:dyDescent="0.15">
      <c r="A746" s="4">
        <v>41974</v>
      </c>
      <c r="B746" s="6">
        <v>6</v>
      </c>
      <c r="C746" s="5">
        <v>200.2</v>
      </c>
      <c r="D746" s="5">
        <v>214.3</v>
      </c>
      <c r="E746" s="5">
        <v>188</v>
      </c>
      <c r="F746" s="5">
        <v>214</v>
      </c>
      <c r="G746" s="16">
        <v>21</v>
      </c>
      <c r="H746" s="7">
        <v>222003</v>
      </c>
      <c r="I746" s="7">
        <f t="shared" si="11"/>
        <v>10571.571428571429</v>
      </c>
      <c r="J746" s="7">
        <v>29858</v>
      </c>
      <c r="K746" s="7">
        <v>217</v>
      </c>
    </row>
    <row r="747" spans="1:11" ht="13.5" customHeight="1" x14ac:dyDescent="0.15">
      <c r="A747" s="4">
        <v>42005</v>
      </c>
      <c r="B747" s="6">
        <v>6</v>
      </c>
      <c r="C747" s="5">
        <v>213.5</v>
      </c>
      <c r="D747" s="5">
        <v>215.5</v>
      </c>
      <c r="E747" s="5">
        <v>190.9</v>
      </c>
      <c r="F747" s="5">
        <v>195.9</v>
      </c>
      <c r="G747" s="16">
        <v>19</v>
      </c>
      <c r="H747" s="7">
        <v>180069</v>
      </c>
      <c r="I747" s="7">
        <f t="shared" si="11"/>
        <v>9477.3157894736851</v>
      </c>
      <c r="J747" s="7">
        <v>27646</v>
      </c>
      <c r="K747" s="7">
        <v>335</v>
      </c>
    </row>
    <row r="748" spans="1:11" ht="13.5" customHeight="1" x14ac:dyDescent="0.15">
      <c r="A748" s="4">
        <v>42036</v>
      </c>
      <c r="B748" s="6">
        <v>6</v>
      </c>
      <c r="C748" s="5">
        <v>195.6</v>
      </c>
      <c r="D748" s="5">
        <v>223.9</v>
      </c>
      <c r="E748" s="5">
        <v>194.8</v>
      </c>
      <c r="F748" s="5">
        <v>222.2</v>
      </c>
      <c r="G748" s="16">
        <v>19</v>
      </c>
      <c r="H748" s="7">
        <v>179047</v>
      </c>
      <c r="I748" s="7">
        <f t="shared" si="11"/>
        <v>9423.5263157894733</v>
      </c>
      <c r="J748" s="7">
        <v>27119</v>
      </c>
      <c r="K748" s="7">
        <v>272</v>
      </c>
    </row>
    <row r="749" spans="1:11" ht="13.5" customHeight="1" x14ac:dyDescent="0.15">
      <c r="A749" s="4">
        <v>42064</v>
      </c>
      <c r="B749" s="6">
        <v>6</v>
      </c>
      <c r="C749" s="5">
        <v>222.5</v>
      </c>
      <c r="D749" s="5">
        <v>226.7</v>
      </c>
      <c r="E749" s="5">
        <v>203.5</v>
      </c>
      <c r="F749" s="5">
        <v>205.6</v>
      </c>
      <c r="G749" s="16">
        <v>22</v>
      </c>
      <c r="H749" s="7">
        <v>187559</v>
      </c>
      <c r="I749" s="7">
        <f t="shared" si="11"/>
        <v>8525.4090909090901</v>
      </c>
      <c r="J749" s="7">
        <v>27825</v>
      </c>
      <c r="K749" s="7">
        <v>669</v>
      </c>
    </row>
    <row r="750" spans="1:11" ht="13.5" customHeight="1" x14ac:dyDescent="0.15">
      <c r="A750" s="4">
        <v>42095</v>
      </c>
      <c r="B750" s="6">
        <v>6</v>
      </c>
      <c r="C750" s="5">
        <v>205.2</v>
      </c>
      <c r="D750" s="5">
        <v>219.7</v>
      </c>
      <c r="E750" s="5">
        <v>194</v>
      </c>
      <c r="F750" s="5">
        <v>218.4</v>
      </c>
      <c r="G750" s="16">
        <v>21</v>
      </c>
      <c r="H750" s="7">
        <v>176052</v>
      </c>
      <c r="I750" s="7">
        <f t="shared" si="11"/>
        <v>8383.4285714285706</v>
      </c>
      <c r="J750" s="7">
        <v>25868</v>
      </c>
      <c r="K750" s="7">
        <v>336</v>
      </c>
    </row>
    <row r="751" spans="1:11" ht="13.5" customHeight="1" x14ac:dyDescent="0.15">
      <c r="A751" s="4">
        <v>42125</v>
      </c>
      <c r="B751" s="6">
        <v>6</v>
      </c>
      <c r="C751" s="5">
        <v>218.6</v>
      </c>
      <c r="D751" s="5">
        <v>242.9</v>
      </c>
      <c r="E751" s="5">
        <v>215.3</v>
      </c>
      <c r="F751" s="5">
        <v>241</v>
      </c>
      <c r="G751" s="16">
        <v>18</v>
      </c>
      <c r="H751" s="7">
        <v>206666</v>
      </c>
      <c r="I751" s="7">
        <f t="shared" si="11"/>
        <v>11481.444444444445</v>
      </c>
      <c r="J751" s="7">
        <v>31409</v>
      </c>
      <c r="K751" s="7">
        <v>266</v>
      </c>
    </row>
    <row r="752" spans="1:11" ht="13.5" customHeight="1" x14ac:dyDescent="0.15">
      <c r="A752" s="4">
        <v>42156</v>
      </c>
      <c r="B752" s="6">
        <v>6</v>
      </c>
      <c r="C752" s="5">
        <v>243.3</v>
      </c>
      <c r="D752" s="5">
        <v>247.9</v>
      </c>
      <c r="E752" s="5">
        <v>216.1</v>
      </c>
      <c r="F752" s="5">
        <v>217.9</v>
      </c>
      <c r="G752" s="16">
        <v>22</v>
      </c>
      <c r="H752" s="7">
        <v>235803</v>
      </c>
      <c r="I752" s="7">
        <f t="shared" si="11"/>
        <v>10718.318181818182</v>
      </c>
      <c r="J752" s="7">
        <v>25940</v>
      </c>
      <c r="K752" s="7">
        <v>1297</v>
      </c>
    </row>
    <row r="753" spans="1:11" ht="13.5" customHeight="1" x14ac:dyDescent="0.15">
      <c r="A753" s="4">
        <v>42186</v>
      </c>
      <c r="B753" s="6">
        <v>6</v>
      </c>
      <c r="C753" s="5">
        <v>217.8</v>
      </c>
      <c r="D753" s="5">
        <v>223.3</v>
      </c>
      <c r="E753" s="5">
        <v>199.4</v>
      </c>
      <c r="F753" s="5">
        <v>203.2</v>
      </c>
      <c r="G753" s="16">
        <v>22</v>
      </c>
      <c r="H753" s="7">
        <v>222614</v>
      </c>
      <c r="I753" s="7">
        <f t="shared" si="11"/>
        <v>10118.818181818182</v>
      </c>
      <c r="J753" s="7">
        <v>29144</v>
      </c>
      <c r="K753" s="7">
        <v>142</v>
      </c>
    </row>
    <row r="754" spans="1:11" ht="13.5" customHeight="1" x14ac:dyDescent="0.15">
      <c r="A754" s="4">
        <v>42217</v>
      </c>
      <c r="B754" s="6">
        <v>6</v>
      </c>
      <c r="C754" s="5">
        <v>202.5</v>
      </c>
      <c r="D754" s="5">
        <v>204</v>
      </c>
      <c r="E754" s="5">
        <v>165.1</v>
      </c>
      <c r="F754" s="5">
        <v>174.9</v>
      </c>
      <c r="G754" s="16">
        <v>21</v>
      </c>
      <c r="H754" s="7">
        <v>217619</v>
      </c>
      <c r="I754" s="7">
        <f t="shared" si="11"/>
        <v>10362.809523809523</v>
      </c>
      <c r="J754" s="7">
        <v>30517</v>
      </c>
      <c r="K754" s="7">
        <v>765</v>
      </c>
    </row>
    <row r="755" spans="1:11" ht="13.5" customHeight="1" x14ac:dyDescent="0.15">
      <c r="A755" s="4">
        <v>42248</v>
      </c>
      <c r="B755" s="6">
        <v>6</v>
      </c>
      <c r="C755" s="5">
        <v>174.1</v>
      </c>
      <c r="D755" s="5">
        <v>179.8</v>
      </c>
      <c r="E755" s="5">
        <v>162.69999999999999</v>
      </c>
      <c r="F755" s="5">
        <v>165</v>
      </c>
      <c r="G755" s="16">
        <v>19</v>
      </c>
      <c r="H755" s="7">
        <v>205687</v>
      </c>
      <c r="I755" s="7">
        <f t="shared" si="11"/>
        <v>10825.631578947368</v>
      </c>
      <c r="J755" s="7">
        <v>29081</v>
      </c>
      <c r="K755" s="7">
        <v>645</v>
      </c>
    </row>
    <row r="756" spans="1:11" ht="13.5" customHeight="1" x14ac:dyDescent="0.15">
      <c r="A756" s="4">
        <v>42278</v>
      </c>
      <c r="B756" s="6">
        <v>6</v>
      </c>
      <c r="C756" s="5">
        <v>164.9</v>
      </c>
      <c r="D756" s="5">
        <v>176</v>
      </c>
      <c r="E756" s="5">
        <v>157.1</v>
      </c>
      <c r="F756" s="5">
        <v>160.5</v>
      </c>
      <c r="G756" s="16">
        <v>21</v>
      </c>
      <c r="H756" s="7">
        <v>208883</v>
      </c>
      <c r="I756" s="7">
        <f t="shared" si="11"/>
        <v>9946.8095238095229</v>
      </c>
      <c r="J756" s="7">
        <v>28779</v>
      </c>
      <c r="K756" s="7">
        <v>101</v>
      </c>
    </row>
    <row r="757" spans="1:11" ht="13.5" customHeight="1" x14ac:dyDescent="0.15">
      <c r="A757" s="4">
        <v>42309</v>
      </c>
      <c r="B757" s="6">
        <v>6</v>
      </c>
      <c r="C757" s="5">
        <v>159.80000000000001</v>
      </c>
      <c r="D757" s="5">
        <v>166.9</v>
      </c>
      <c r="E757" s="5">
        <v>153</v>
      </c>
      <c r="F757" s="5">
        <v>162.30000000000001</v>
      </c>
      <c r="G757" s="16">
        <v>19</v>
      </c>
      <c r="H757" s="7">
        <v>195739</v>
      </c>
      <c r="I757" s="7">
        <f t="shared" si="11"/>
        <v>10302.052631578947</v>
      </c>
      <c r="J757" s="7">
        <v>30843</v>
      </c>
      <c r="K757" s="7">
        <v>224</v>
      </c>
    </row>
    <row r="758" spans="1:11" ht="13.5" customHeight="1" x14ac:dyDescent="0.15">
      <c r="A758" s="4">
        <v>42339</v>
      </c>
      <c r="B758" s="6">
        <v>6</v>
      </c>
      <c r="C758" s="5">
        <v>162.80000000000001</v>
      </c>
      <c r="D758" s="5">
        <v>174.8</v>
      </c>
      <c r="E758" s="5">
        <v>155.69999999999999</v>
      </c>
      <c r="F758" s="5">
        <v>159</v>
      </c>
      <c r="G758" s="16">
        <v>21</v>
      </c>
      <c r="H758" s="7">
        <v>195568</v>
      </c>
      <c r="I758" s="7">
        <f t="shared" si="11"/>
        <v>9312.7619047619046</v>
      </c>
      <c r="J758" s="7">
        <v>27412</v>
      </c>
      <c r="K758" s="7">
        <v>352</v>
      </c>
    </row>
    <row r="759" spans="1:11" ht="13.5" customHeight="1" x14ac:dyDescent="0.15">
      <c r="A759" s="4">
        <v>42370</v>
      </c>
      <c r="B759" s="6">
        <v>6</v>
      </c>
      <c r="C759" s="5">
        <v>158.30000000000001</v>
      </c>
      <c r="D759" s="5">
        <v>166.3</v>
      </c>
      <c r="E759" s="5">
        <v>144.5</v>
      </c>
      <c r="F759" s="5">
        <v>158.19999999999999</v>
      </c>
      <c r="G759" s="16">
        <v>19</v>
      </c>
      <c r="H759" s="7">
        <v>194420</v>
      </c>
      <c r="I759" s="7">
        <f t="shared" si="11"/>
        <v>10232.631578947368</v>
      </c>
      <c r="J759" s="7">
        <v>26243</v>
      </c>
      <c r="K759" s="7">
        <v>131</v>
      </c>
    </row>
    <row r="760" spans="1:11" ht="13.5" customHeight="1" x14ac:dyDescent="0.15">
      <c r="A760" s="4">
        <v>42401</v>
      </c>
      <c r="B760" s="6">
        <v>6</v>
      </c>
      <c r="C760" s="5">
        <v>158.1</v>
      </c>
      <c r="D760" s="5">
        <v>163.30000000000001</v>
      </c>
      <c r="E760" s="5">
        <v>144.5</v>
      </c>
      <c r="F760" s="5">
        <v>154.9</v>
      </c>
      <c r="G760" s="16">
        <v>20</v>
      </c>
      <c r="H760" s="7">
        <v>158741</v>
      </c>
      <c r="I760" s="7">
        <f t="shared" si="11"/>
        <v>7937.05</v>
      </c>
      <c r="J760" s="7">
        <v>29277</v>
      </c>
      <c r="K760" s="7">
        <v>156</v>
      </c>
    </row>
    <row r="761" spans="1:11" ht="13.5" customHeight="1" x14ac:dyDescent="0.15">
      <c r="A761" s="4">
        <v>42430</v>
      </c>
      <c r="B761" s="6">
        <v>6</v>
      </c>
      <c r="C761" s="5">
        <v>154.80000000000001</v>
      </c>
      <c r="D761" s="5">
        <v>184.6</v>
      </c>
      <c r="E761" s="5">
        <v>154.80000000000001</v>
      </c>
      <c r="F761" s="5">
        <v>176.2</v>
      </c>
      <c r="G761" s="16">
        <v>22</v>
      </c>
      <c r="H761" s="7">
        <v>237236</v>
      </c>
      <c r="I761" s="7">
        <f t="shared" si="11"/>
        <v>10783.454545454546</v>
      </c>
      <c r="J761" s="7">
        <v>21983</v>
      </c>
      <c r="K761" s="7">
        <v>91</v>
      </c>
    </row>
    <row r="762" spans="1:11" ht="13.5" customHeight="1" x14ac:dyDescent="0.15">
      <c r="A762" s="4">
        <v>42461</v>
      </c>
      <c r="B762" s="6">
        <v>6</v>
      </c>
      <c r="C762" s="5">
        <v>177.2</v>
      </c>
      <c r="D762" s="5">
        <v>205.1</v>
      </c>
      <c r="E762" s="5">
        <v>175.6</v>
      </c>
      <c r="F762" s="5">
        <v>194.8</v>
      </c>
      <c r="G762" s="16">
        <v>20</v>
      </c>
      <c r="H762" s="7">
        <v>229233</v>
      </c>
      <c r="I762" s="7">
        <f t="shared" si="11"/>
        <v>11461.65</v>
      </c>
      <c r="J762" s="7">
        <v>23431</v>
      </c>
      <c r="K762" s="7">
        <v>528</v>
      </c>
    </row>
    <row r="763" spans="1:11" ht="13.5" customHeight="1" x14ac:dyDescent="0.15">
      <c r="A763" s="4">
        <v>42491</v>
      </c>
      <c r="B763" s="6">
        <v>6</v>
      </c>
      <c r="C763" s="5">
        <v>193.9</v>
      </c>
      <c r="D763" s="5">
        <v>195.1</v>
      </c>
      <c r="E763" s="5">
        <v>154.30000000000001</v>
      </c>
      <c r="F763" s="5">
        <v>165.3</v>
      </c>
      <c r="G763" s="16">
        <v>19</v>
      </c>
      <c r="H763" s="7">
        <v>199597</v>
      </c>
      <c r="I763" s="7">
        <f t="shared" si="11"/>
        <v>10505.105263157895</v>
      </c>
      <c r="J763" s="7">
        <v>22953</v>
      </c>
      <c r="K763" s="7">
        <v>92</v>
      </c>
    </row>
    <row r="764" spans="1:11" ht="13.5" customHeight="1" x14ac:dyDescent="0.15">
      <c r="A764" s="4">
        <v>42522</v>
      </c>
      <c r="B764" s="6">
        <v>6</v>
      </c>
      <c r="C764" s="5">
        <v>164</v>
      </c>
      <c r="D764" s="5">
        <v>164.8</v>
      </c>
      <c r="E764" s="5">
        <v>146.69999999999999</v>
      </c>
      <c r="F764" s="5">
        <v>156.1</v>
      </c>
      <c r="G764" s="16">
        <v>22</v>
      </c>
      <c r="H764" s="7">
        <v>182669</v>
      </c>
      <c r="I764" s="7">
        <f t="shared" si="11"/>
        <v>8303.136363636364</v>
      </c>
      <c r="J764" s="7">
        <v>29271</v>
      </c>
      <c r="K764" s="7">
        <v>258</v>
      </c>
    </row>
    <row r="765" spans="1:11" ht="13.5" customHeight="1" x14ac:dyDescent="0.15">
      <c r="A765" s="4">
        <v>42552</v>
      </c>
      <c r="B765" s="6">
        <v>6</v>
      </c>
      <c r="C765" s="5">
        <v>156.9</v>
      </c>
      <c r="D765" s="5">
        <v>164.6</v>
      </c>
      <c r="E765" s="5">
        <v>145.9</v>
      </c>
      <c r="F765" s="5">
        <v>153.6</v>
      </c>
      <c r="G765" s="16">
        <v>20</v>
      </c>
      <c r="H765" s="7">
        <v>187708</v>
      </c>
      <c r="I765" s="7">
        <f t="shared" si="11"/>
        <v>9385.4</v>
      </c>
      <c r="J765" s="7">
        <v>26413</v>
      </c>
      <c r="K765" s="7">
        <v>136</v>
      </c>
    </row>
    <row r="766" spans="1:11" ht="13.5" customHeight="1" x14ac:dyDescent="0.15">
      <c r="A766" s="4">
        <v>42583</v>
      </c>
      <c r="B766" s="6">
        <v>6</v>
      </c>
      <c r="C766" s="5">
        <v>153.19999999999999</v>
      </c>
      <c r="D766" s="5">
        <v>160.19999999999999</v>
      </c>
      <c r="E766" s="5">
        <v>148.6</v>
      </c>
      <c r="F766" s="5">
        <v>152.1</v>
      </c>
      <c r="G766" s="16">
        <v>22</v>
      </c>
      <c r="H766" s="7">
        <v>135816</v>
      </c>
      <c r="I766" s="7">
        <f t="shared" si="11"/>
        <v>6173.454545454545</v>
      </c>
      <c r="J766" s="7">
        <v>21786</v>
      </c>
      <c r="K766" s="7">
        <v>204</v>
      </c>
    </row>
    <row r="767" spans="1:11" ht="13.5" customHeight="1" x14ac:dyDescent="0.15">
      <c r="A767" s="4">
        <v>42614</v>
      </c>
      <c r="B767" s="6">
        <v>6</v>
      </c>
      <c r="C767" s="5">
        <v>152.1</v>
      </c>
      <c r="D767" s="5">
        <v>170.9</v>
      </c>
      <c r="E767" s="5">
        <v>152.1</v>
      </c>
      <c r="F767" s="5">
        <v>163.30000000000001</v>
      </c>
      <c r="G767" s="16">
        <v>20</v>
      </c>
      <c r="H767" s="7">
        <v>131349</v>
      </c>
      <c r="I767" s="7">
        <f t="shared" si="11"/>
        <v>6567.45</v>
      </c>
      <c r="J767" s="7">
        <v>18854</v>
      </c>
      <c r="K767" s="7">
        <v>279</v>
      </c>
    </row>
    <row r="768" spans="1:11" ht="13.5" customHeight="1" x14ac:dyDescent="0.15">
      <c r="A768" s="4">
        <v>42644</v>
      </c>
      <c r="B768" s="6">
        <v>6</v>
      </c>
      <c r="C768" s="5">
        <v>163</v>
      </c>
      <c r="D768" s="5">
        <v>184.6</v>
      </c>
      <c r="E768" s="5">
        <v>162.6</v>
      </c>
      <c r="F768" s="5">
        <v>183.5</v>
      </c>
      <c r="G768" s="16">
        <v>20</v>
      </c>
      <c r="H768" s="7">
        <v>147129</v>
      </c>
      <c r="I768" s="7">
        <f t="shared" si="11"/>
        <v>7356.45</v>
      </c>
      <c r="J768" s="7">
        <v>18833</v>
      </c>
      <c r="K768" s="7">
        <v>466</v>
      </c>
    </row>
    <row r="769" spans="1:11" ht="13.5" customHeight="1" x14ac:dyDescent="0.15">
      <c r="A769" s="4">
        <v>42675</v>
      </c>
      <c r="B769" s="6">
        <v>6</v>
      </c>
      <c r="C769" s="5">
        <v>183</v>
      </c>
      <c r="D769" s="5">
        <v>245.6</v>
      </c>
      <c r="E769" s="5">
        <v>176.6</v>
      </c>
      <c r="F769" s="5">
        <v>228.1</v>
      </c>
      <c r="G769" s="16">
        <v>20</v>
      </c>
      <c r="H769" s="7">
        <v>271785</v>
      </c>
      <c r="I769" s="7">
        <f t="shared" si="11"/>
        <v>13589.25</v>
      </c>
      <c r="J769" s="7">
        <v>25353</v>
      </c>
      <c r="K769" s="7">
        <v>74</v>
      </c>
    </row>
    <row r="770" spans="1:11" ht="13.5" customHeight="1" x14ac:dyDescent="0.15">
      <c r="A770" s="4">
        <v>42705</v>
      </c>
      <c r="B770" s="6">
        <v>6</v>
      </c>
      <c r="C770" s="5">
        <v>227.6</v>
      </c>
      <c r="D770" s="5">
        <v>291.7</v>
      </c>
      <c r="E770" s="5">
        <v>224.5</v>
      </c>
      <c r="F770" s="5">
        <v>263.89999999999998</v>
      </c>
      <c r="G770" s="16">
        <v>21</v>
      </c>
      <c r="H770" s="7">
        <v>290530</v>
      </c>
      <c r="I770" s="7">
        <f t="shared" si="11"/>
        <v>13834.761904761905</v>
      </c>
      <c r="J770" s="7">
        <v>26392</v>
      </c>
      <c r="K770" s="7">
        <v>240</v>
      </c>
    </row>
    <row r="771" spans="1:11" ht="13.5" customHeight="1" x14ac:dyDescent="0.15">
      <c r="A771" s="4">
        <v>42736</v>
      </c>
      <c r="B771" s="6">
        <v>6</v>
      </c>
      <c r="C771" s="5">
        <v>263.89999999999998</v>
      </c>
      <c r="D771" s="5">
        <v>366.7</v>
      </c>
      <c r="E771" s="5">
        <v>260.8</v>
      </c>
      <c r="F771" s="5">
        <v>331.3</v>
      </c>
      <c r="G771" s="16">
        <v>19</v>
      </c>
      <c r="H771" s="7">
        <v>242865</v>
      </c>
      <c r="I771" s="7">
        <f t="shared" ref="I771:I813" si="12">H771/G771</f>
        <v>12782.368421052632</v>
      </c>
      <c r="J771" s="7">
        <v>22737</v>
      </c>
      <c r="K771" s="7">
        <v>89</v>
      </c>
    </row>
    <row r="772" spans="1:11" ht="13.5" customHeight="1" x14ac:dyDescent="0.15">
      <c r="A772" s="4">
        <v>42767</v>
      </c>
      <c r="B772" s="6">
        <v>6</v>
      </c>
      <c r="C772" s="5">
        <v>323.8</v>
      </c>
      <c r="D772" s="5">
        <v>331.6</v>
      </c>
      <c r="E772" s="5">
        <v>262</v>
      </c>
      <c r="F772" s="5">
        <v>266.39999999999998</v>
      </c>
      <c r="G772" s="16">
        <v>20</v>
      </c>
      <c r="H772" s="7">
        <v>265020</v>
      </c>
      <c r="I772" s="7">
        <f t="shared" si="12"/>
        <v>13251</v>
      </c>
      <c r="J772" s="7">
        <v>23100</v>
      </c>
      <c r="K772" s="7">
        <v>103</v>
      </c>
    </row>
    <row r="773" spans="1:11" ht="13.5" customHeight="1" x14ac:dyDescent="0.15">
      <c r="A773" s="4">
        <v>42795</v>
      </c>
      <c r="B773" s="6">
        <v>6</v>
      </c>
      <c r="C773" s="5">
        <v>266.7</v>
      </c>
      <c r="D773" s="5">
        <v>280.5</v>
      </c>
      <c r="E773" s="5">
        <v>235.3</v>
      </c>
      <c r="F773" s="5">
        <v>245</v>
      </c>
      <c r="G773" s="16">
        <v>22</v>
      </c>
      <c r="H773" s="7">
        <v>193634</v>
      </c>
      <c r="I773" s="7">
        <f t="shared" si="12"/>
        <v>8801.545454545454</v>
      </c>
      <c r="J773" s="7">
        <v>19734</v>
      </c>
      <c r="K773" s="7">
        <v>49</v>
      </c>
    </row>
    <row r="774" spans="1:11" ht="13.5" customHeight="1" x14ac:dyDescent="0.15">
      <c r="A774" s="4">
        <v>42826</v>
      </c>
      <c r="B774" s="6">
        <v>6</v>
      </c>
      <c r="C774" s="5">
        <v>245.3</v>
      </c>
      <c r="D774" s="5">
        <v>250.8</v>
      </c>
      <c r="E774" s="5">
        <v>198</v>
      </c>
      <c r="F774" s="5">
        <v>217.3</v>
      </c>
      <c r="G774" s="16">
        <v>20</v>
      </c>
      <c r="H774" s="7">
        <v>177267</v>
      </c>
      <c r="I774" s="7">
        <f t="shared" si="12"/>
        <v>8863.35</v>
      </c>
      <c r="J774" s="7">
        <v>20625</v>
      </c>
      <c r="K774" s="7">
        <v>20</v>
      </c>
    </row>
    <row r="775" spans="1:11" ht="13.5" customHeight="1" x14ac:dyDescent="0.15">
      <c r="A775" s="4">
        <v>42856</v>
      </c>
      <c r="B775" s="6">
        <v>6</v>
      </c>
      <c r="C775" s="5">
        <v>217.6</v>
      </c>
      <c r="D775" s="5">
        <v>236.7</v>
      </c>
      <c r="E775" s="5">
        <v>201.2</v>
      </c>
      <c r="F775" s="5">
        <v>202.5</v>
      </c>
      <c r="G775" s="16">
        <v>20</v>
      </c>
      <c r="H775" s="7">
        <v>176715</v>
      </c>
      <c r="I775" s="7">
        <f t="shared" si="12"/>
        <v>8835.75</v>
      </c>
      <c r="J775" s="7">
        <v>18275</v>
      </c>
      <c r="K775" s="7">
        <v>18</v>
      </c>
    </row>
    <row r="776" spans="1:11" ht="13.5" customHeight="1" x14ac:dyDescent="0.15">
      <c r="A776" s="4">
        <v>42887</v>
      </c>
      <c r="B776" s="6">
        <v>6</v>
      </c>
      <c r="C776" s="5">
        <v>200.3</v>
      </c>
      <c r="D776" s="5">
        <v>206.9</v>
      </c>
      <c r="E776" s="5">
        <v>178.8</v>
      </c>
      <c r="F776" s="5">
        <v>201</v>
      </c>
      <c r="G776" s="16">
        <v>22</v>
      </c>
      <c r="H776" s="7">
        <v>184467</v>
      </c>
      <c r="I776" s="7">
        <f t="shared" si="12"/>
        <v>8384.863636363636</v>
      </c>
      <c r="J776" s="7">
        <v>18320</v>
      </c>
      <c r="K776" s="7">
        <v>129</v>
      </c>
    </row>
    <row r="777" spans="1:11" ht="13.5" customHeight="1" x14ac:dyDescent="0.15">
      <c r="A777" s="4">
        <v>42917</v>
      </c>
      <c r="B777" s="6">
        <v>6</v>
      </c>
      <c r="C777" s="5">
        <v>200.9</v>
      </c>
      <c r="D777" s="5">
        <v>218.7</v>
      </c>
      <c r="E777" s="5">
        <v>193.5</v>
      </c>
      <c r="F777" s="5">
        <v>205.7</v>
      </c>
      <c r="G777" s="16">
        <v>20</v>
      </c>
      <c r="H777" s="7">
        <v>159134</v>
      </c>
      <c r="I777" s="7">
        <f t="shared" si="12"/>
        <v>7956.7</v>
      </c>
      <c r="J777" s="7">
        <v>18268</v>
      </c>
      <c r="K777" s="7">
        <v>125</v>
      </c>
    </row>
    <row r="778" spans="1:11" ht="13.5" customHeight="1" x14ac:dyDescent="0.15">
      <c r="A778" s="4">
        <v>42948</v>
      </c>
      <c r="B778" s="6">
        <v>6</v>
      </c>
      <c r="C778" s="5">
        <v>205.7</v>
      </c>
      <c r="D778" s="5">
        <v>220.8</v>
      </c>
      <c r="E778" s="5">
        <v>200.3</v>
      </c>
      <c r="F778" s="5">
        <v>218.6</v>
      </c>
      <c r="G778" s="16">
        <v>22</v>
      </c>
      <c r="H778" s="7">
        <v>154051</v>
      </c>
      <c r="I778" s="7">
        <f t="shared" si="12"/>
        <v>7002.318181818182</v>
      </c>
      <c r="J778" s="7">
        <v>21719</v>
      </c>
      <c r="K778" s="7">
        <v>134</v>
      </c>
    </row>
    <row r="779" spans="1:11" ht="13.5" customHeight="1" x14ac:dyDescent="0.15">
      <c r="A779" s="4">
        <v>42979</v>
      </c>
      <c r="B779" s="6">
        <v>6</v>
      </c>
      <c r="C779" s="5">
        <v>218.2</v>
      </c>
      <c r="D779" s="5">
        <v>234.7</v>
      </c>
      <c r="E779" s="5">
        <v>200.3</v>
      </c>
      <c r="F779" s="5">
        <v>201.8</v>
      </c>
      <c r="G779" s="16">
        <v>20</v>
      </c>
      <c r="H779" s="7">
        <v>165690</v>
      </c>
      <c r="I779" s="7">
        <f t="shared" si="12"/>
        <v>8284.5</v>
      </c>
      <c r="J779" s="7">
        <v>23748</v>
      </c>
      <c r="K779" s="7">
        <v>118</v>
      </c>
    </row>
    <row r="780" spans="1:11" ht="13.5" customHeight="1" x14ac:dyDescent="0.15">
      <c r="A780" s="4">
        <v>43009</v>
      </c>
      <c r="B780" s="6">
        <v>6</v>
      </c>
      <c r="C780" s="5">
        <v>203.1</v>
      </c>
      <c r="D780" s="5">
        <v>209.7</v>
      </c>
      <c r="E780" s="5">
        <v>191.1</v>
      </c>
      <c r="F780" s="5">
        <v>192.8</v>
      </c>
      <c r="G780" s="16">
        <v>21</v>
      </c>
      <c r="H780" s="7">
        <v>129641</v>
      </c>
      <c r="I780" s="7">
        <f t="shared" si="12"/>
        <v>6173.3809523809523</v>
      </c>
      <c r="J780" s="7">
        <v>25439</v>
      </c>
      <c r="K780" s="7">
        <v>207</v>
      </c>
    </row>
    <row r="781" spans="1:11" ht="13.5" customHeight="1" x14ac:dyDescent="0.15">
      <c r="A781" s="4">
        <v>43040</v>
      </c>
      <c r="B781" s="6">
        <v>6</v>
      </c>
      <c r="C781" s="5">
        <v>192.8</v>
      </c>
      <c r="D781" s="5">
        <v>207</v>
      </c>
      <c r="E781" s="5">
        <v>187.8</v>
      </c>
      <c r="F781" s="5">
        <v>198.3</v>
      </c>
      <c r="G781" s="16">
        <v>20</v>
      </c>
      <c r="H781" s="7">
        <v>145999</v>
      </c>
      <c r="I781" s="7">
        <f t="shared" si="12"/>
        <v>7299.95</v>
      </c>
      <c r="J781" s="7">
        <v>25925</v>
      </c>
      <c r="K781" s="7">
        <v>303</v>
      </c>
    </row>
    <row r="782" spans="1:11" ht="13.5" customHeight="1" x14ac:dyDescent="0.15">
      <c r="A782" s="4">
        <v>43070</v>
      </c>
      <c r="B782" s="6">
        <v>6</v>
      </c>
      <c r="C782" s="5">
        <v>196.8</v>
      </c>
      <c r="D782" s="5">
        <v>213.8</v>
      </c>
      <c r="E782" s="5">
        <v>196.6</v>
      </c>
      <c r="F782" s="5">
        <v>206.7</v>
      </c>
      <c r="G782" s="16">
        <v>21</v>
      </c>
      <c r="H782" s="7">
        <v>141771</v>
      </c>
      <c r="I782" s="7">
        <f t="shared" si="12"/>
        <v>6751</v>
      </c>
      <c r="J782" s="7">
        <v>23350</v>
      </c>
      <c r="K782" s="7">
        <v>469</v>
      </c>
    </row>
    <row r="783" spans="1:11" ht="13.5" customHeight="1" x14ac:dyDescent="0.15">
      <c r="A783" s="4">
        <v>43101</v>
      </c>
      <c r="B783" s="6">
        <v>6</v>
      </c>
      <c r="C783" s="5">
        <v>207</v>
      </c>
      <c r="D783" s="5">
        <v>216.3</v>
      </c>
      <c r="E783" s="5">
        <v>191.3</v>
      </c>
      <c r="F783" s="5">
        <v>192.9</v>
      </c>
      <c r="G783" s="6">
        <v>19</v>
      </c>
      <c r="H783" s="7">
        <v>144101</v>
      </c>
      <c r="I783" s="7">
        <f t="shared" si="12"/>
        <v>7584.2631578947367</v>
      </c>
      <c r="J783" s="7">
        <v>27010</v>
      </c>
      <c r="K783" s="7">
        <v>472</v>
      </c>
    </row>
    <row r="784" spans="1:11" ht="13.5" customHeight="1" x14ac:dyDescent="0.15">
      <c r="A784" s="4">
        <v>43132</v>
      </c>
      <c r="B784" s="6">
        <v>6</v>
      </c>
      <c r="C784" s="5">
        <v>193.4</v>
      </c>
      <c r="D784" s="5">
        <v>198</v>
      </c>
      <c r="E784" s="5">
        <v>179.2</v>
      </c>
      <c r="F784" s="5">
        <v>193.8</v>
      </c>
      <c r="G784" s="6">
        <v>19</v>
      </c>
      <c r="H784" s="7">
        <v>154979</v>
      </c>
      <c r="I784" s="7">
        <f t="shared" si="12"/>
        <v>8156.7894736842109</v>
      </c>
      <c r="J784" s="7">
        <v>31735</v>
      </c>
      <c r="K784" s="7">
        <v>285</v>
      </c>
    </row>
    <row r="785" spans="1:11" ht="13.5" customHeight="1" x14ac:dyDescent="0.15">
      <c r="A785" s="4">
        <v>43160</v>
      </c>
      <c r="B785" s="6">
        <v>6</v>
      </c>
      <c r="C785" s="5">
        <v>193.4</v>
      </c>
      <c r="D785" s="5">
        <v>195.9</v>
      </c>
      <c r="E785" s="5">
        <v>173.3</v>
      </c>
      <c r="F785" s="5">
        <v>184</v>
      </c>
      <c r="G785" s="6">
        <v>21</v>
      </c>
      <c r="H785" s="7">
        <v>160724</v>
      </c>
      <c r="I785" s="7">
        <f t="shared" si="12"/>
        <v>7653.5238095238092</v>
      </c>
      <c r="J785" s="7">
        <v>32073</v>
      </c>
      <c r="K785" s="7">
        <v>338</v>
      </c>
    </row>
    <row r="786" spans="1:11" ht="13.5" customHeight="1" x14ac:dyDescent="0.15">
      <c r="A786" s="4">
        <v>43191</v>
      </c>
      <c r="B786" s="6">
        <v>6</v>
      </c>
      <c r="C786" s="5">
        <v>184.6</v>
      </c>
      <c r="D786" s="5">
        <v>190.4</v>
      </c>
      <c r="E786" s="5">
        <v>176.1</v>
      </c>
      <c r="F786" s="5">
        <v>185.6</v>
      </c>
      <c r="G786" s="6">
        <v>20</v>
      </c>
      <c r="H786" s="7">
        <v>134174</v>
      </c>
      <c r="I786" s="7">
        <f t="shared" si="12"/>
        <v>6708.7</v>
      </c>
      <c r="J786" s="7">
        <v>30275</v>
      </c>
      <c r="K786" s="7">
        <v>338</v>
      </c>
    </row>
    <row r="787" spans="1:11" ht="13.5" customHeight="1" x14ac:dyDescent="0.15">
      <c r="A787" s="4">
        <v>43221</v>
      </c>
      <c r="B787" s="6">
        <v>6</v>
      </c>
      <c r="C787" s="5">
        <v>186.3</v>
      </c>
      <c r="D787" s="5">
        <v>202.1</v>
      </c>
      <c r="E787" s="5">
        <v>185.7</v>
      </c>
      <c r="F787" s="5">
        <v>190.9</v>
      </c>
      <c r="G787" s="6">
        <v>21</v>
      </c>
      <c r="H787" s="7">
        <v>140791</v>
      </c>
      <c r="I787" s="7">
        <f t="shared" si="12"/>
        <v>6704.333333333333</v>
      </c>
      <c r="J787" s="7">
        <v>26422</v>
      </c>
      <c r="K787" s="7">
        <v>349</v>
      </c>
    </row>
    <row r="788" spans="1:11" ht="13.5" customHeight="1" x14ac:dyDescent="0.15">
      <c r="A788" s="4">
        <v>43252</v>
      </c>
      <c r="B788" s="6">
        <v>6</v>
      </c>
      <c r="C788" s="5">
        <v>190.8</v>
      </c>
      <c r="D788" s="5">
        <v>191.7</v>
      </c>
      <c r="E788" s="5">
        <v>170.2</v>
      </c>
      <c r="F788" s="5">
        <v>176.3</v>
      </c>
      <c r="G788" s="6">
        <v>21</v>
      </c>
      <c r="H788" s="7">
        <v>136599</v>
      </c>
      <c r="I788" s="7">
        <f t="shared" si="12"/>
        <v>6504.7142857142853</v>
      </c>
      <c r="J788" s="7">
        <v>30955</v>
      </c>
      <c r="K788" s="7">
        <v>242</v>
      </c>
    </row>
    <row r="789" spans="1:11" ht="13.5" customHeight="1" x14ac:dyDescent="0.15">
      <c r="A789" s="4">
        <v>43282</v>
      </c>
      <c r="B789" s="6">
        <v>6</v>
      </c>
      <c r="C789" s="5">
        <v>176.5</v>
      </c>
      <c r="D789" s="5">
        <v>176.6</v>
      </c>
      <c r="E789" s="5">
        <v>165.1</v>
      </c>
      <c r="F789" s="5">
        <v>170.4</v>
      </c>
      <c r="G789" s="6">
        <v>21</v>
      </c>
      <c r="H789" s="7">
        <v>128965</v>
      </c>
      <c r="I789" s="7">
        <f t="shared" si="12"/>
        <v>6141.1904761904761</v>
      </c>
      <c r="J789" s="7">
        <v>35455</v>
      </c>
      <c r="K789" s="7">
        <v>319</v>
      </c>
    </row>
    <row r="790" spans="1:11" ht="13.5" customHeight="1" x14ac:dyDescent="0.15">
      <c r="A790" s="4">
        <v>43313</v>
      </c>
      <c r="B790" s="6">
        <v>6</v>
      </c>
      <c r="C790" s="5">
        <v>170.4</v>
      </c>
      <c r="D790" s="5">
        <v>180.8</v>
      </c>
      <c r="E790" s="5">
        <v>164.6</v>
      </c>
      <c r="F790" s="5">
        <v>173.7</v>
      </c>
      <c r="G790" s="6">
        <v>23</v>
      </c>
      <c r="H790" s="7">
        <v>137925</v>
      </c>
      <c r="I790" s="7">
        <f t="shared" si="12"/>
        <v>5996.739130434783</v>
      </c>
      <c r="J790" s="7">
        <v>29041</v>
      </c>
      <c r="K790" s="7">
        <v>353</v>
      </c>
    </row>
    <row r="791" spans="1:11" ht="13.5" customHeight="1" x14ac:dyDescent="0.15">
      <c r="A791" s="4">
        <v>43344</v>
      </c>
      <c r="B791" s="6">
        <v>6</v>
      </c>
      <c r="C791" s="5">
        <v>172.6</v>
      </c>
      <c r="D791" s="5">
        <v>174.8</v>
      </c>
      <c r="E791" s="5">
        <v>164.1</v>
      </c>
      <c r="F791" s="5">
        <v>168</v>
      </c>
      <c r="G791" s="6">
        <v>18</v>
      </c>
      <c r="H791" s="7">
        <v>130926</v>
      </c>
      <c r="I791" s="7">
        <f t="shared" si="12"/>
        <v>7273.666666666667</v>
      </c>
      <c r="J791" s="7">
        <v>27808</v>
      </c>
      <c r="K791" s="7">
        <v>224</v>
      </c>
    </row>
    <row r="792" spans="1:11" ht="13.5" customHeight="1" x14ac:dyDescent="0.15">
      <c r="A792" s="4">
        <v>43374</v>
      </c>
      <c r="B792" s="6">
        <v>6</v>
      </c>
      <c r="C792" s="5">
        <v>168</v>
      </c>
      <c r="D792" s="5">
        <v>174.2</v>
      </c>
      <c r="E792" s="5">
        <v>159.6</v>
      </c>
      <c r="F792" s="5">
        <v>163</v>
      </c>
      <c r="G792" s="6">
        <v>22</v>
      </c>
      <c r="H792" s="7">
        <v>128468</v>
      </c>
      <c r="I792" s="7">
        <f t="shared" si="12"/>
        <v>5839.454545454545</v>
      </c>
      <c r="J792" s="7">
        <v>24027</v>
      </c>
      <c r="K792" s="7">
        <v>220</v>
      </c>
    </row>
    <row r="793" spans="1:11" ht="13.5" customHeight="1" x14ac:dyDescent="0.15">
      <c r="A793" s="4">
        <v>43405</v>
      </c>
      <c r="B793" s="6">
        <v>6</v>
      </c>
      <c r="C793" s="5">
        <v>162.19999999999999</v>
      </c>
      <c r="D793" s="5">
        <v>164.3</v>
      </c>
      <c r="E793" s="5">
        <v>151</v>
      </c>
      <c r="F793" s="5">
        <v>161</v>
      </c>
      <c r="G793" s="6">
        <v>21</v>
      </c>
      <c r="H793" s="7">
        <v>120676</v>
      </c>
      <c r="I793" s="7">
        <f t="shared" si="12"/>
        <v>5746.4761904761908</v>
      </c>
      <c r="J793" s="7">
        <v>26050</v>
      </c>
      <c r="K793" s="7">
        <v>384</v>
      </c>
    </row>
    <row r="794" spans="1:11" ht="13.5" customHeight="1" x14ac:dyDescent="0.15">
      <c r="A794" s="4">
        <v>43435</v>
      </c>
      <c r="B794" s="6">
        <v>6</v>
      </c>
      <c r="C794" s="5">
        <v>161.9</v>
      </c>
      <c r="D794" s="5">
        <v>178.2</v>
      </c>
      <c r="E794" s="5">
        <v>158.19999999999999</v>
      </c>
      <c r="F794" s="5">
        <v>170.2</v>
      </c>
      <c r="G794" s="6">
        <v>19</v>
      </c>
      <c r="H794" s="7">
        <v>163196</v>
      </c>
      <c r="I794" s="7">
        <f t="shared" si="12"/>
        <v>8589.2631578947367</v>
      </c>
      <c r="J794" s="7">
        <v>26491</v>
      </c>
      <c r="K794" s="7">
        <v>386</v>
      </c>
    </row>
    <row r="795" spans="1:11" ht="13.5" customHeight="1" x14ac:dyDescent="0.15">
      <c r="A795" s="4">
        <v>43466</v>
      </c>
      <c r="B795" s="6">
        <v>6</v>
      </c>
      <c r="C795" s="5">
        <v>169.4</v>
      </c>
      <c r="D795" s="5">
        <v>193.4</v>
      </c>
      <c r="E795" s="5">
        <v>168.1</v>
      </c>
      <c r="F795" s="5">
        <v>177.8</v>
      </c>
      <c r="G795" s="6">
        <v>19</v>
      </c>
      <c r="H795" s="7">
        <v>145669</v>
      </c>
      <c r="I795" s="7">
        <f t="shared" si="12"/>
        <v>7666.7894736842109</v>
      </c>
      <c r="J795" s="7">
        <v>22993</v>
      </c>
      <c r="K795" s="7">
        <v>915</v>
      </c>
    </row>
    <row r="796" spans="1:11" ht="13.5" customHeight="1" x14ac:dyDescent="0.15">
      <c r="A796" s="4">
        <v>43497</v>
      </c>
      <c r="B796" s="6">
        <v>6</v>
      </c>
      <c r="C796" s="5">
        <v>177.6</v>
      </c>
      <c r="D796" s="5">
        <v>204.8</v>
      </c>
      <c r="E796" s="5">
        <v>176.8</v>
      </c>
      <c r="F796" s="5">
        <v>200.8</v>
      </c>
      <c r="G796" s="6">
        <v>19</v>
      </c>
      <c r="H796" s="7">
        <v>97621</v>
      </c>
      <c r="I796" s="7">
        <f t="shared" si="12"/>
        <v>5137.9473684210525</v>
      </c>
      <c r="J796" s="7">
        <v>18727</v>
      </c>
      <c r="K796" s="7">
        <v>399</v>
      </c>
    </row>
    <row r="797" spans="1:11" ht="13.5" customHeight="1" x14ac:dyDescent="0.15">
      <c r="A797" s="4">
        <v>43525</v>
      </c>
      <c r="B797" s="6">
        <v>6</v>
      </c>
      <c r="C797" s="5">
        <v>200.4</v>
      </c>
      <c r="D797" s="5">
        <v>209.5</v>
      </c>
      <c r="E797" s="5">
        <v>180.2</v>
      </c>
      <c r="F797" s="5">
        <v>182.2</v>
      </c>
      <c r="G797" s="6">
        <v>20</v>
      </c>
      <c r="H797" s="7">
        <v>101156</v>
      </c>
      <c r="I797" s="7">
        <f t="shared" si="12"/>
        <v>5057.8</v>
      </c>
      <c r="J797" s="7">
        <v>15760</v>
      </c>
      <c r="K797" s="7">
        <v>275</v>
      </c>
    </row>
    <row r="798" spans="1:11" ht="13.5" customHeight="1" x14ac:dyDescent="0.15">
      <c r="A798" s="4">
        <v>43556</v>
      </c>
      <c r="B798" s="6">
        <v>6</v>
      </c>
      <c r="C798" s="5">
        <v>182.9</v>
      </c>
      <c r="D798" s="5">
        <v>195.7</v>
      </c>
      <c r="E798" s="5">
        <v>181.3</v>
      </c>
      <c r="F798" s="5">
        <v>189.3</v>
      </c>
      <c r="G798" s="6">
        <v>20</v>
      </c>
      <c r="H798" s="7">
        <v>86490</v>
      </c>
      <c r="I798" s="7">
        <f t="shared" si="12"/>
        <v>4324.5</v>
      </c>
      <c r="J798" s="7">
        <v>11346</v>
      </c>
      <c r="K798" s="7">
        <v>732</v>
      </c>
    </row>
    <row r="799" spans="1:11" ht="13.5" customHeight="1" x14ac:dyDescent="0.15">
      <c r="A799" s="4">
        <v>43586</v>
      </c>
      <c r="B799" s="6">
        <v>6</v>
      </c>
      <c r="C799" s="5">
        <v>189</v>
      </c>
      <c r="D799" s="5">
        <v>196.6</v>
      </c>
      <c r="E799" s="5">
        <v>183.7</v>
      </c>
      <c r="F799" s="5">
        <v>194.2</v>
      </c>
      <c r="G799" s="6">
        <v>19</v>
      </c>
      <c r="H799" s="7">
        <v>99195</v>
      </c>
      <c r="I799" s="7">
        <f t="shared" si="12"/>
        <v>5220.7894736842109</v>
      </c>
      <c r="J799" s="7">
        <v>15347</v>
      </c>
      <c r="K799" s="7">
        <v>1010</v>
      </c>
    </row>
    <row r="800" spans="1:11" ht="13.5" customHeight="1" x14ac:dyDescent="0.15">
      <c r="A800" s="4">
        <v>43617</v>
      </c>
      <c r="B800" s="6">
        <v>6</v>
      </c>
      <c r="C800" s="5">
        <v>194.5</v>
      </c>
      <c r="D800" s="5">
        <v>207.9</v>
      </c>
      <c r="E800" s="5">
        <v>190</v>
      </c>
      <c r="F800" s="5">
        <v>193.5</v>
      </c>
      <c r="G800" s="6">
        <v>20</v>
      </c>
      <c r="H800" s="7">
        <v>100509</v>
      </c>
      <c r="I800" s="7">
        <f t="shared" si="12"/>
        <v>5025.45</v>
      </c>
      <c r="J800" s="7">
        <v>17975</v>
      </c>
      <c r="K800" s="7">
        <v>306</v>
      </c>
    </row>
    <row r="801" spans="1:11" ht="13.5" customHeight="1" x14ac:dyDescent="0.15">
      <c r="A801" s="4">
        <v>43647</v>
      </c>
      <c r="B801" s="6">
        <v>6</v>
      </c>
      <c r="C801" s="5">
        <v>194</v>
      </c>
      <c r="D801" s="5">
        <v>197</v>
      </c>
      <c r="E801" s="5">
        <v>174</v>
      </c>
      <c r="F801" s="5">
        <v>177</v>
      </c>
      <c r="G801" s="6">
        <v>22</v>
      </c>
      <c r="H801" s="7">
        <v>121280</v>
      </c>
      <c r="I801" s="7">
        <f t="shared" si="12"/>
        <v>5512.727272727273</v>
      </c>
      <c r="J801" s="7">
        <v>17027</v>
      </c>
      <c r="K801" s="7">
        <v>124</v>
      </c>
    </row>
    <row r="802" spans="1:11" ht="13.5" customHeight="1" x14ac:dyDescent="0.15">
      <c r="A802" s="4">
        <v>43678</v>
      </c>
      <c r="B802" s="6">
        <v>6</v>
      </c>
      <c r="C802" s="5">
        <v>176.9</v>
      </c>
      <c r="D802" s="5">
        <v>177.3</v>
      </c>
      <c r="E802" s="5">
        <v>155.4</v>
      </c>
      <c r="F802" s="5">
        <v>163.5</v>
      </c>
      <c r="G802" s="6">
        <v>21</v>
      </c>
      <c r="H802" s="7">
        <v>109090</v>
      </c>
      <c r="I802" s="7">
        <f t="shared" si="12"/>
        <v>5194.7619047619046</v>
      </c>
      <c r="J802" s="7">
        <v>17418</v>
      </c>
      <c r="K802" s="7">
        <v>114</v>
      </c>
    </row>
    <row r="803" spans="1:11" ht="13.5" customHeight="1" x14ac:dyDescent="0.15">
      <c r="A803" s="4">
        <v>43709</v>
      </c>
      <c r="B803" s="6">
        <v>6</v>
      </c>
      <c r="C803" s="5">
        <v>164</v>
      </c>
      <c r="D803" s="5">
        <v>173.9</v>
      </c>
      <c r="E803" s="5">
        <v>156.6</v>
      </c>
      <c r="F803" s="5">
        <v>160.5</v>
      </c>
      <c r="G803" s="6">
        <v>19</v>
      </c>
      <c r="H803" s="7">
        <v>73536</v>
      </c>
      <c r="I803" s="7">
        <f t="shared" si="12"/>
        <v>3870.3157894736842</v>
      </c>
      <c r="J803" s="7">
        <v>18130</v>
      </c>
      <c r="K803" s="7">
        <v>240</v>
      </c>
    </row>
    <row r="804" spans="1:11" ht="13.5" customHeight="1" x14ac:dyDescent="0.15">
      <c r="A804" s="4">
        <v>43739</v>
      </c>
      <c r="B804" s="6">
        <v>6</v>
      </c>
      <c r="C804" s="5">
        <v>160.1</v>
      </c>
      <c r="D804" s="5">
        <v>174.7</v>
      </c>
      <c r="E804" s="5">
        <v>154.30000000000001</v>
      </c>
      <c r="F804" s="5">
        <v>174.5</v>
      </c>
      <c r="G804" s="6">
        <v>21</v>
      </c>
      <c r="H804" s="7">
        <v>82519</v>
      </c>
      <c r="I804" s="7">
        <f t="shared" si="12"/>
        <v>3929.4761904761904</v>
      </c>
      <c r="J804" s="7">
        <v>14173</v>
      </c>
      <c r="K804" s="7">
        <v>209</v>
      </c>
    </row>
    <row r="805" spans="1:11" ht="13.5" customHeight="1" x14ac:dyDescent="0.15">
      <c r="A805" s="4">
        <v>43770</v>
      </c>
      <c r="B805" s="6">
        <v>6</v>
      </c>
      <c r="C805" s="5">
        <v>174.7</v>
      </c>
      <c r="D805" s="5">
        <v>192.5</v>
      </c>
      <c r="E805" s="5">
        <v>171.6</v>
      </c>
      <c r="F805" s="5">
        <v>187</v>
      </c>
      <c r="G805" s="6">
        <v>20</v>
      </c>
      <c r="H805" s="7">
        <v>87701</v>
      </c>
      <c r="I805" s="7">
        <f t="shared" si="12"/>
        <v>4385.05</v>
      </c>
      <c r="J805" s="7">
        <v>15315</v>
      </c>
      <c r="K805" s="7">
        <v>201</v>
      </c>
    </row>
    <row r="806" spans="1:11" ht="13.5" customHeight="1" x14ac:dyDescent="0.15">
      <c r="A806" s="4">
        <v>43800</v>
      </c>
      <c r="B806" s="6">
        <v>6</v>
      </c>
      <c r="C806" s="5">
        <v>186.5</v>
      </c>
      <c r="D806" s="5">
        <v>204.7</v>
      </c>
      <c r="E806" s="5">
        <v>186</v>
      </c>
      <c r="F806" s="5">
        <v>200.1</v>
      </c>
      <c r="G806" s="6">
        <v>21</v>
      </c>
      <c r="H806" s="7">
        <v>94023</v>
      </c>
      <c r="I806" s="7">
        <f t="shared" si="12"/>
        <v>4477.2857142857147</v>
      </c>
      <c r="J806" s="7">
        <v>16309</v>
      </c>
      <c r="K806" s="7">
        <v>240</v>
      </c>
    </row>
    <row r="807" spans="1:11" ht="13.5" customHeight="1" x14ac:dyDescent="0.15">
      <c r="A807" s="4">
        <v>43831</v>
      </c>
      <c r="B807" s="6">
        <v>6</v>
      </c>
      <c r="C807" s="5">
        <v>199.7</v>
      </c>
      <c r="D807" s="5">
        <v>208.7</v>
      </c>
      <c r="E807" s="5">
        <v>170</v>
      </c>
      <c r="F807" s="5">
        <v>181.2</v>
      </c>
      <c r="G807" s="6">
        <v>19</v>
      </c>
      <c r="H807" s="7">
        <v>94960</v>
      </c>
      <c r="I807" s="7">
        <f t="shared" si="12"/>
        <v>4997.894736842105</v>
      </c>
      <c r="J807" s="7">
        <v>14195</v>
      </c>
      <c r="K807" s="7">
        <v>327</v>
      </c>
    </row>
    <row r="808" spans="1:11" ht="13.5" customHeight="1" x14ac:dyDescent="0.15">
      <c r="A808" s="4">
        <v>43862</v>
      </c>
      <c r="B808" s="6">
        <v>6</v>
      </c>
      <c r="C808" s="5">
        <v>181</v>
      </c>
      <c r="D808" s="5">
        <v>190.4</v>
      </c>
      <c r="E808" s="5">
        <v>165.6</v>
      </c>
      <c r="F808" s="5">
        <v>172.2</v>
      </c>
      <c r="G808" s="6">
        <v>18</v>
      </c>
      <c r="H808" s="7">
        <v>87119</v>
      </c>
      <c r="I808" s="7">
        <f t="shared" si="12"/>
        <v>4839.9444444444443</v>
      </c>
      <c r="J808" s="7">
        <v>12884</v>
      </c>
      <c r="K808" s="7">
        <v>574</v>
      </c>
    </row>
    <row r="809" spans="1:11" ht="13.5" customHeight="1" x14ac:dyDescent="0.15">
      <c r="A809" s="4">
        <v>43891</v>
      </c>
      <c r="B809" s="6">
        <v>6</v>
      </c>
      <c r="C809" s="5">
        <v>172.1</v>
      </c>
      <c r="D809" s="5">
        <v>178.3</v>
      </c>
      <c r="E809" s="5">
        <v>143</v>
      </c>
      <c r="F809" s="5">
        <v>145.19999999999999</v>
      </c>
      <c r="G809" s="6">
        <v>21</v>
      </c>
      <c r="H809" s="7">
        <v>99667</v>
      </c>
      <c r="I809" s="7">
        <f t="shared" si="12"/>
        <v>4746.0476190476193</v>
      </c>
      <c r="J809" s="7">
        <v>11987</v>
      </c>
      <c r="K809" s="7">
        <v>184</v>
      </c>
    </row>
    <row r="810" spans="1:11" ht="13.5" customHeight="1" x14ac:dyDescent="0.15">
      <c r="A810" s="4">
        <v>43922</v>
      </c>
      <c r="B810" s="6">
        <v>6</v>
      </c>
      <c r="C810" s="5">
        <v>145.5</v>
      </c>
      <c r="D810" s="5">
        <v>156.9</v>
      </c>
      <c r="E810" s="5">
        <v>138.30000000000001</v>
      </c>
      <c r="F810" s="5">
        <v>150.6</v>
      </c>
      <c r="G810" s="6">
        <v>21</v>
      </c>
      <c r="H810" s="7">
        <v>65805</v>
      </c>
      <c r="I810" s="7">
        <f t="shared" si="12"/>
        <v>3133.5714285714284</v>
      </c>
      <c r="J810" s="7">
        <v>12800</v>
      </c>
      <c r="K810" s="7">
        <v>257</v>
      </c>
    </row>
    <row r="811" spans="1:11" ht="13.5" customHeight="1" x14ac:dyDescent="0.15">
      <c r="A811" s="4">
        <v>43952</v>
      </c>
      <c r="B811" s="6">
        <v>6</v>
      </c>
      <c r="C811" s="5">
        <v>150.80000000000001</v>
      </c>
      <c r="D811" s="5">
        <v>157.6</v>
      </c>
      <c r="E811" s="5">
        <v>148.30000000000001</v>
      </c>
      <c r="F811" s="5">
        <v>153.5</v>
      </c>
      <c r="G811" s="6">
        <v>18</v>
      </c>
      <c r="H811" s="7">
        <v>45657</v>
      </c>
      <c r="I811" s="7">
        <f t="shared" si="12"/>
        <v>2536.5</v>
      </c>
      <c r="J811" s="7">
        <v>12918</v>
      </c>
      <c r="K811" s="7">
        <v>489</v>
      </c>
    </row>
    <row r="812" spans="1:11" ht="13.5" customHeight="1" x14ac:dyDescent="0.15">
      <c r="A812" s="4">
        <v>43983</v>
      </c>
      <c r="B812" s="6">
        <v>6</v>
      </c>
      <c r="C812" s="5">
        <v>153.1</v>
      </c>
      <c r="D812" s="5">
        <v>167.6</v>
      </c>
      <c r="E812" s="5">
        <v>149.6</v>
      </c>
      <c r="F812" s="5">
        <v>154.5</v>
      </c>
      <c r="G812" s="6">
        <v>22</v>
      </c>
      <c r="H812" s="7">
        <v>81217</v>
      </c>
      <c r="I812" s="7">
        <f t="shared" si="12"/>
        <v>3691.681818181818</v>
      </c>
      <c r="J812" s="7">
        <v>13588</v>
      </c>
      <c r="K812" s="7">
        <v>161</v>
      </c>
    </row>
    <row r="813" spans="1:11" ht="13.5" customHeight="1" x14ac:dyDescent="0.15">
      <c r="A813" s="4">
        <v>44013</v>
      </c>
      <c r="B813" s="6">
        <v>6</v>
      </c>
      <c r="C813" s="5">
        <v>154.5</v>
      </c>
      <c r="D813" s="5">
        <v>166.1</v>
      </c>
      <c r="E813" s="5">
        <v>153.5</v>
      </c>
      <c r="F813" s="5">
        <v>163.6</v>
      </c>
      <c r="G813" s="6">
        <v>23</v>
      </c>
      <c r="H813" s="7">
        <v>65545</v>
      </c>
      <c r="I813" s="7">
        <f t="shared" si="12"/>
        <v>2849.782608695652</v>
      </c>
      <c r="J813" s="7">
        <v>14525</v>
      </c>
      <c r="K813" s="7">
        <v>314</v>
      </c>
    </row>
  </sheetData>
  <phoneticPr fontId="2"/>
  <printOptions horizontalCentered="1" verticalCentered="1"/>
  <pageMargins left="0" right="0" top="0.19685039370078741" bottom="0.19685039370078741" header="0.51181102362204722" footer="0.51181102362204722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4.125" defaultRowHeight="10.35" customHeight="1" x14ac:dyDescent="0.15"/>
  <cols>
    <col min="1" max="1" width="9.375" style="1" customWidth="1"/>
    <col min="2" max="2" width="5.375" style="6" customWidth="1"/>
    <col min="3" max="3" width="8.625" style="5" customWidth="1"/>
    <col min="4" max="4" width="8.875" style="5" customWidth="1"/>
    <col min="5" max="5" width="8.625" style="5" customWidth="1"/>
    <col min="6" max="6" width="8.875" style="5" customWidth="1"/>
    <col min="7" max="7" width="5.125" style="6" customWidth="1"/>
    <col min="8" max="9" width="8.875" style="7" customWidth="1"/>
    <col min="10" max="10" width="8.375" style="7" customWidth="1"/>
    <col min="11" max="11" width="8.875" style="7" customWidth="1"/>
    <col min="12" max="12" width="42.625" style="13" customWidth="1"/>
    <col min="13" max="16384" width="4.125" style="2"/>
  </cols>
  <sheetData>
    <row r="1" spans="1:13" s="3" customFormat="1" ht="35.25" customHeight="1" x14ac:dyDescent="0.15">
      <c r="A1" s="11" t="s">
        <v>6</v>
      </c>
      <c r="B1" s="12" t="s">
        <v>4</v>
      </c>
      <c r="C1" s="12" t="s">
        <v>2</v>
      </c>
      <c r="D1" s="12" t="s">
        <v>0</v>
      </c>
      <c r="E1" s="12" t="s">
        <v>1</v>
      </c>
      <c r="F1" s="12" t="s">
        <v>3</v>
      </c>
      <c r="G1" s="9" t="s">
        <v>9</v>
      </c>
      <c r="H1" s="9" t="s">
        <v>7</v>
      </c>
      <c r="I1" s="9" t="s">
        <v>8</v>
      </c>
      <c r="J1" s="9" t="s">
        <v>31</v>
      </c>
      <c r="K1" s="9" t="s">
        <v>32</v>
      </c>
      <c r="L1" s="13" t="s">
        <v>33</v>
      </c>
    </row>
    <row r="2" spans="1:13" s="13" customFormat="1" ht="13.5" customHeight="1" x14ac:dyDescent="0.15">
      <c r="A2" s="4">
        <v>43374</v>
      </c>
      <c r="B2" s="6">
        <v>6</v>
      </c>
      <c r="C2" s="21">
        <v>163.5</v>
      </c>
      <c r="D2" s="21">
        <v>163.5</v>
      </c>
      <c r="E2" s="21">
        <v>143.4</v>
      </c>
      <c r="F2" s="21">
        <v>146</v>
      </c>
      <c r="G2" s="6">
        <v>17</v>
      </c>
      <c r="H2" s="7">
        <v>39793</v>
      </c>
      <c r="I2" s="7">
        <f t="shared" ref="I2:I23" si="0">H2/G2</f>
        <v>2340.7647058823532</v>
      </c>
      <c r="J2" s="7">
        <v>1914</v>
      </c>
      <c r="K2" s="20" t="s">
        <v>34</v>
      </c>
      <c r="L2" s="13" t="s">
        <v>37</v>
      </c>
      <c r="M2" s="2"/>
    </row>
    <row r="3" spans="1:13" s="13" customFormat="1" ht="13.5" customHeight="1" x14ac:dyDescent="0.15">
      <c r="A3" s="4">
        <v>43405</v>
      </c>
      <c r="B3" s="6">
        <v>6</v>
      </c>
      <c r="C3" s="21">
        <v>147</v>
      </c>
      <c r="D3" s="21">
        <v>148.4</v>
      </c>
      <c r="E3" s="21">
        <v>146.1</v>
      </c>
      <c r="F3" s="21">
        <v>147</v>
      </c>
      <c r="G3" s="6">
        <v>21</v>
      </c>
      <c r="H3" s="7">
        <v>47899</v>
      </c>
      <c r="I3" s="7">
        <f t="shared" si="0"/>
        <v>2280.9047619047619</v>
      </c>
      <c r="J3" s="7">
        <v>2540</v>
      </c>
      <c r="K3" s="7">
        <v>0</v>
      </c>
      <c r="M3" s="2"/>
    </row>
    <row r="4" spans="1:13" s="13" customFormat="1" ht="13.5" customHeight="1" x14ac:dyDescent="0.15">
      <c r="A4" s="4">
        <v>43435</v>
      </c>
      <c r="B4" s="6">
        <v>6</v>
      </c>
      <c r="C4" s="21">
        <v>147</v>
      </c>
      <c r="D4" s="21">
        <v>152.69999999999999</v>
      </c>
      <c r="E4" s="21">
        <v>142</v>
      </c>
      <c r="F4" s="21">
        <v>147.5</v>
      </c>
      <c r="G4" s="6">
        <v>19</v>
      </c>
      <c r="H4" s="7">
        <v>49125</v>
      </c>
      <c r="I4" s="7">
        <f t="shared" si="0"/>
        <v>2585.5263157894738</v>
      </c>
      <c r="J4" s="7">
        <v>2015</v>
      </c>
      <c r="K4" s="7">
        <v>0</v>
      </c>
      <c r="M4" s="2"/>
    </row>
    <row r="5" spans="1:13" s="13" customFormat="1" ht="13.5" customHeight="1" x14ac:dyDescent="0.15">
      <c r="A5" s="4">
        <v>43466</v>
      </c>
      <c r="B5" s="6">
        <v>6</v>
      </c>
      <c r="C5" s="21">
        <v>149.80000000000001</v>
      </c>
      <c r="D5" s="21">
        <v>159</v>
      </c>
      <c r="E5" s="21">
        <v>147.4</v>
      </c>
      <c r="F5" s="21">
        <v>148.30000000000001</v>
      </c>
      <c r="G5" s="6">
        <v>19</v>
      </c>
      <c r="H5" s="7">
        <v>42858</v>
      </c>
      <c r="I5" s="7">
        <f t="shared" si="0"/>
        <v>2255.6842105263158</v>
      </c>
      <c r="J5" s="7">
        <v>1601</v>
      </c>
      <c r="K5" s="7">
        <v>0</v>
      </c>
      <c r="M5" s="2"/>
    </row>
    <row r="6" spans="1:13" s="13" customFormat="1" ht="13.5" customHeight="1" x14ac:dyDescent="0.15">
      <c r="A6" s="4">
        <v>43497</v>
      </c>
      <c r="B6" s="6">
        <v>6</v>
      </c>
      <c r="C6" s="21">
        <v>146.9</v>
      </c>
      <c r="D6" s="21">
        <v>172.1</v>
      </c>
      <c r="E6" s="21">
        <v>146.9</v>
      </c>
      <c r="F6" s="21">
        <v>170.1</v>
      </c>
      <c r="G6" s="6">
        <v>19</v>
      </c>
      <c r="H6" s="7">
        <v>42382</v>
      </c>
      <c r="I6" s="7">
        <f t="shared" si="0"/>
        <v>2230.6315789473683</v>
      </c>
      <c r="J6" s="7">
        <v>1448</v>
      </c>
      <c r="K6" s="7">
        <v>40</v>
      </c>
      <c r="M6" s="2"/>
    </row>
    <row r="7" spans="1:13" s="13" customFormat="1" ht="13.5" customHeight="1" x14ac:dyDescent="0.15">
      <c r="A7" s="4">
        <v>43525</v>
      </c>
      <c r="B7" s="6">
        <v>6</v>
      </c>
      <c r="C7" s="21">
        <v>172</v>
      </c>
      <c r="D7" s="21">
        <v>176.8</v>
      </c>
      <c r="E7" s="21">
        <v>160.4</v>
      </c>
      <c r="F7" s="21">
        <v>161.5</v>
      </c>
      <c r="G7" s="6">
        <v>20</v>
      </c>
      <c r="H7" s="7">
        <v>44506</v>
      </c>
      <c r="I7" s="7">
        <f t="shared" si="0"/>
        <v>2225.3000000000002</v>
      </c>
      <c r="J7" s="7">
        <v>1429</v>
      </c>
      <c r="K7" s="7">
        <v>0</v>
      </c>
      <c r="M7" s="2"/>
    </row>
    <row r="8" spans="1:13" s="13" customFormat="1" ht="13.5" customHeight="1" x14ac:dyDescent="0.15">
      <c r="A8" s="4">
        <v>43556</v>
      </c>
      <c r="B8" s="6">
        <v>6</v>
      </c>
      <c r="C8" s="21">
        <v>162.69999999999999</v>
      </c>
      <c r="D8" s="21">
        <v>176.3</v>
      </c>
      <c r="E8" s="21">
        <v>162.69999999999999</v>
      </c>
      <c r="F8" s="21">
        <v>167.8</v>
      </c>
      <c r="G8" s="6">
        <v>20</v>
      </c>
      <c r="H8" s="7">
        <v>41982</v>
      </c>
      <c r="I8" s="7">
        <f t="shared" si="0"/>
        <v>2099.1</v>
      </c>
      <c r="J8" s="7">
        <v>1817</v>
      </c>
      <c r="K8" s="7">
        <v>120</v>
      </c>
      <c r="M8" s="2"/>
    </row>
    <row r="9" spans="1:13" s="13" customFormat="1" ht="13.5" customHeight="1" x14ac:dyDescent="0.15">
      <c r="A9" s="4">
        <v>43586</v>
      </c>
      <c r="B9" s="6">
        <v>6</v>
      </c>
      <c r="C9" s="21">
        <v>167.8</v>
      </c>
      <c r="D9" s="21">
        <v>167.8</v>
      </c>
      <c r="E9" s="21">
        <v>159.1</v>
      </c>
      <c r="F9" s="21">
        <v>163.80000000000001</v>
      </c>
      <c r="G9" s="6">
        <v>19</v>
      </c>
      <c r="H9" s="7">
        <v>39221</v>
      </c>
      <c r="I9" s="7">
        <f t="shared" si="0"/>
        <v>2064.2631578947367</v>
      </c>
      <c r="J9" s="7">
        <v>1347</v>
      </c>
      <c r="K9" s="7">
        <v>1328</v>
      </c>
      <c r="M9" s="2"/>
    </row>
    <row r="10" spans="1:13" s="13" customFormat="1" ht="13.5" customHeight="1" x14ac:dyDescent="0.15">
      <c r="A10" s="4">
        <v>43617</v>
      </c>
      <c r="B10" s="6">
        <v>6</v>
      </c>
      <c r="C10" s="21">
        <v>163.80000000000001</v>
      </c>
      <c r="D10" s="21">
        <v>168.2</v>
      </c>
      <c r="E10" s="21">
        <v>155.19999999999999</v>
      </c>
      <c r="F10" s="21">
        <v>157</v>
      </c>
      <c r="G10" s="6">
        <v>20</v>
      </c>
      <c r="H10" s="7">
        <v>31287</v>
      </c>
      <c r="I10" s="7">
        <f t="shared" si="0"/>
        <v>1564.35</v>
      </c>
      <c r="J10" s="7">
        <v>1011</v>
      </c>
      <c r="K10" s="7">
        <v>684</v>
      </c>
      <c r="M10" s="2"/>
    </row>
    <row r="11" spans="1:13" s="13" customFormat="1" ht="13.5" customHeight="1" x14ac:dyDescent="0.15">
      <c r="A11" s="4">
        <v>43647</v>
      </c>
      <c r="B11" s="6">
        <v>6</v>
      </c>
      <c r="C11" s="21">
        <v>157</v>
      </c>
      <c r="D11" s="21">
        <v>157</v>
      </c>
      <c r="E11" s="21">
        <v>150.6</v>
      </c>
      <c r="F11" s="21">
        <v>150.80000000000001</v>
      </c>
      <c r="G11" s="6">
        <v>22</v>
      </c>
      <c r="H11" s="7">
        <v>20657</v>
      </c>
      <c r="I11" s="7">
        <f t="shared" si="0"/>
        <v>938.9545454545455</v>
      </c>
      <c r="J11" s="7">
        <v>829</v>
      </c>
      <c r="K11" s="7">
        <v>312</v>
      </c>
      <c r="M11" s="2"/>
    </row>
    <row r="12" spans="1:13" s="13" customFormat="1" ht="13.5" customHeight="1" x14ac:dyDescent="0.15">
      <c r="A12" s="4">
        <v>43678</v>
      </c>
      <c r="B12" s="6">
        <v>6</v>
      </c>
      <c r="C12" s="21">
        <v>148.19999999999999</v>
      </c>
      <c r="D12" s="21">
        <v>155.6</v>
      </c>
      <c r="E12" s="21">
        <v>138.1</v>
      </c>
      <c r="F12" s="21">
        <v>141</v>
      </c>
      <c r="G12" s="6">
        <v>21</v>
      </c>
      <c r="H12" s="7">
        <v>20513</v>
      </c>
      <c r="I12" s="7">
        <f t="shared" si="0"/>
        <v>976.80952380952385</v>
      </c>
      <c r="J12" s="7">
        <v>486</v>
      </c>
      <c r="K12" s="7">
        <v>160</v>
      </c>
      <c r="M12" s="2"/>
    </row>
    <row r="13" spans="1:13" s="13" customFormat="1" ht="13.5" customHeight="1" x14ac:dyDescent="0.15">
      <c r="A13" s="4">
        <v>43709</v>
      </c>
      <c r="B13" s="6">
        <v>6</v>
      </c>
      <c r="C13" s="21">
        <v>141</v>
      </c>
      <c r="D13" s="21">
        <v>159</v>
      </c>
      <c r="E13" s="21">
        <v>141</v>
      </c>
      <c r="F13" s="21">
        <v>148.9</v>
      </c>
      <c r="G13" s="6">
        <v>19</v>
      </c>
      <c r="H13" s="7">
        <v>20151</v>
      </c>
      <c r="I13" s="7">
        <f t="shared" si="0"/>
        <v>1060.578947368421</v>
      </c>
      <c r="J13" s="7">
        <v>287</v>
      </c>
      <c r="K13" s="7">
        <v>496</v>
      </c>
      <c r="M13" s="2"/>
    </row>
    <row r="14" spans="1:13" s="13" customFormat="1" ht="13.5" customHeight="1" x14ac:dyDescent="0.15">
      <c r="A14" s="4">
        <v>43739</v>
      </c>
      <c r="B14" s="6">
        <v>6</v>
      </c>
      <c r="C14" s="21">
        <v>148.9</v>
      </c>
      <c r="D14" s="21">
        <v>148.9</v>
      </c>
      <c r="E14" s="21">
        <v>148.9</v>
      </c>
      <c r="F14" s="21">
        <v>148.9</v>
      </c>
      <c r="G14" s="6">
        <v>21</v>
      </c>
      <c r="H14" s="7">
        <v>20222</v>
      </c>
      <c r="I14" s="7">
        <f t="shared" si="0"/>
        <v>962.95238095238096</v>
      </c>
      <c r="J14" s="7">
        <v>189</v>
      </c>
      <c r="K14" s="7">
        <v>196</v>
      </c>
      <c r="M14" s="2"/>
    </row>
    <row r="15" spans="1:13" s="13" customFormat="1" ht="13.5" customHeight="1" x14ac:dyDescent="0.15">
      <c r="A15" s="4">
        <v>43770</v>
      </c>
      <c r="B15" s="6">
        <v>6</v>
      </c>
      <c r="C15" s="21">
        <v>148.9</v>
      </c>
      <c r="D15" s="21">
        <v>149.1</v>
      </c>
      <c r="E15" s="21">
        <v>148.9</v>
      </c>
      <c r="F15" s="21">
        <v>149.1</v>
      </c>
      <c r="G15" s="6">
        <v>20</v>
      </c>
      <c r="H15" s="7">
        <v>11371</v>
      </c>
      <c r="I15" s="7">
        <f t="shared" si="0"/>
        <v>568.54999999999995</v>
      </c>
      <c r="J15" s="7">
        <v>97</v>
      </c>
      <c r="K15" s="7">
        <v>8</v>
      </c>
      <c r="M15" s="2"/>
    </row>
    <row r="16" spans="1:13" s="13" customFormat="1" ht="13.5" customHeight="1" x14ac:dyDescent="0.15">
      <c r="A16" s="4">
        <v>43800</v>
      </c>
      <c r="B16" s="6">
        <v>6</v>
      </c>
      <c r="C16" s="21">
        <v>149.1</v>
      </c>
      <c r="D16" s="21">
        <v>163.30000000000001</v>
      </c>
      <c r="E16" s="21">
        <v>120.4</v>
      </c>
      <c r="F16" s="21">
        <v>160.69999999999999</v>
      </c>
      <c r="G16" s="6">
        <v>21</v>
      </c>
      <c r="H16" s="7">
        <v>537</v>
      </c>
      <c r="I16" s="7">
        <f t="shared" si="0"/>
        <v>25.571428571428573</v>
      </c>
      <c r="J16" s="7">
        <v>20</v>
      </c>
      <c r="K16" s="7">
        <v>88</v>
      </c>
      <c r="M16" s="2"/>
    </row>
    <row r="17" spans="1:13" s="13" customFormat="1" ht="13.5" customHeight="1" x14ac:dyDescent="0.15">
      <c r="A17" s="4">
        <v>43831</v>
      </c>
      <c r="B17" s="6">
        <v>6</v>
      </c>
      <c r="C17" s="21">
        <v>160.1</v>
      </c>
      <c r="D17" s="21">
        <v>174.3</v>
      </c>
      <c r="E17" s="21">
        <v>156</v>
      </c>
      <c r="F17" s="21">
        <v>156</v>
      </c>
      <c r="G17" s="6">
        <v>19</v>
      </c>
      <c r="H17" s="7">
        <v>283</v>
      </c>
      <c r="I17" s="7">
        <f t="shared" si="0"/>
        <v>14.894736842105264</v>
      </c>
      <c r="J17" s="7">
        <v>12</v>
      </c>
      <c r="K17" s="7">
        <v>80</v>
      </c>
      <c r="M17" s="2"/>
    </row>
    <row r="18" spans="1:13" s="13" customFormat="1" ht="13.5" customHeight="1" x14ac:dyDescent="0.15">
      <c r="A18" s="4">
        <v>43862</v>
      </c>
      <c r="B18" s="6">
        <v>6</v>
      </c>
      <c r="C18" s="21">
        <v>152</v>
      </c>
      <c r="D18" s="21">
        <v>159.5</v>
      </c>
      <c r="E18" s="21">
        <v>146.19999999999999</v>
      </c>
      <c r="F18" s="21">
        <v>152.1</v>
      </c>
      <c r="G18" s="6">
        <v>18</v>
      </c>
      <c r="H18" s="7">
        <v>282</v>
      </c>
      <c r="I18" s="7">
        <f t="shared" si="0"/>
        <v>15.666666666666666</v>
      </c>
      <c r="J18" s="7">
        <v>0</v>
      </c>
      <c r="K18" s="7">
        <v>20</v>
      </c>
      <c r="M18" s="2"/>
    </row>
    <row r="19" spans="1:13" s="13" customFormat="1" ht="13.5" customHeight="1" x14ac:dyDescent="0.15">
      <c r="A19" s="4">
        <v>43891</v>
      </c>
      <c r="B19" s="6">
        <v>6</v>
      </c>
      <c r="C19" s="21">
        <v>152</v>
      </c>
      <c r="D19" s="21">
        <v>152</v>
      </c>
      <c r="E19" s="21">
        <v>129.9</v>
      </c>
      <c r="F19" s="21">
        <v>129.9</v>
      </c>
      <c r="G19" s="6">
        <v>21</v>
      </c>
      <c r="H19" s="7">
        <v>356</v>
      </c>
      <c r="I19" s="7">
        <f t="shared" si="0"/>
        <v>16.952380952380953</v>
      </c>
      <c r="J19" s="7">
        <v>0</v>
      </c>
      <c r="K19" s="7">
        <v>0</v>
      </c>
      <c r="M19" s="2"/>
    </row>
    <row r="20" spans="1:13" s="13" customFormat="1" ht="13.5" customHeight="1" x14ac:dyDescent="0.15">
      <c r="A20" s="4">
        <v>43922</v>
      </c>
      <c r="B20" s="6">
        <v>6</v>
      </c>
      <c r="C20" s="21">
        <v>130.19999999999999</v>
      </c>
      <c r="D20" s="21">
        <v>130.19999999999999</v>
      </c>
      <c r="E20" s="21">
        <v>113.1</v>
      </c>
      <c r="F20" s="21">
        <v>120.1</v>
      </c>
      <c r="G20" s="6">
        <v>21</v>
      </c>
      <c r="H20" s="7">
        <v>12</v>
      </c>
      <c r="I20" s="7">
        <f t="shared" si="0"/>
        <v>0.5714285714285714</v>
      </c>
      <c r="J20" s="7">
        <v>0</v>
      </c>
      <c r="K20" s="7">
        <v>0</v>
      </c>
      <c r="M20" s="2"/>
    </row>
    <row r="21" spans="1:13" s="13" customFormat="1" ht="13.5" customHeight="1" x14ac:dyDescent="0.15">
      <c r="A21" s="4">
        <v>43952</v>
      </c>
      <c r="B21" s="6">
        <v>6</v>
      </c>
      <c r="C21" s="21">
        <v>120.3</v>
      </c>
      <c r="D21" s="21">
        <v>120.3</v>
      </c>
      <c r="E21" s="21">
        <v>120.3</v>
      </c>
      <c r="F21" s="21">
        <v>120.3</v>
      </c>
      <c r="G21" s="6">
        <v>18</v>
      </c>
      <c r="H21" s="7">
        <v>2</v>
      </c>
      <c r="I21" s="7">
        <f t="shared" si="0"/>
        <v>0.1111111111111111</v>
      </c>
      <c r="J21" s="7">
        <v>0</v>
      </c>
      <c r="K21" s="7">
        <v>0</v>
      </c>
      <c r="M21" s="2"/>
    </row>
    <row r="22" spans="1:13" s="13" customFormat="1" ht="13.5" customHeight="1" x14ac:dyDescent="0.15">
      <c r="A22" s="4">
        <v>43983</v>
      </c>
      <c r="B22" s="6">
        <v>6</v>
      </c>
      <c r="C22" s="21">
        <v>132.30000000000001</v>
      </c>
      <c r="D22" s="21">
        <v>132.30000000000001</v>
      </c>
      <c r="E22" s="21">
        <v>127.5</v>
      </c>
      <c r="F22" s="21">
        <v>127.5</v>
      </c>
      <c r="G22" s="6">
        <v>22</v>
      </c>
      <c r="H22" s="7">
        <v>0</v>
      </c>
      <c r="I22" s="7">
        <f t="shared" si="0"/>
        <v>0</v>
      </c>
      <c r="J22" s="7">
        <v>0</v>
      </c>
      <c r="K22" s="7">
        <v>0</v>
      </c>
      <c r="M22" s="2"/>
    </row>
    <row r="23" spans="1:13" s="13" customFormat="1" ht="13.5" customHeight="1" x14ac:dyDescent="0.15">
      <c r="A23" s="4">
        <v>44013</v>
      </c>
      <c r="B23" s="6">
        <v>6</v>
      </c>
      <c r="C23" s="21" t="s">
        <v>34</v>
      </c>
      <c r="D23" s="21" t="s">
        <v>34</v>
      </c>
      <c r="E23" s="21" t="s">
        <v>34</v>
      </c>
      <c r="F23" s="21" t="s">
        <v>34</v>
      </c>
      <c r="G23" s="6">
        <v>23</v>
      </c>
      <c r="H23" s="7">
        <v>0</v>
      </c>
      <c r="I23" s="7">
        <f t="shared" si="0"/>
        <v>0</v>
      </c>
      <c r="J23" s="7">
        <v>0</v>
      </c>
      <c r="K23" s="7">
        <v>0</v>
      </c>
      <c r="M23" s="2"/>
    </row>
  </sheetData>
  <phoneticPr fontId="2"/>
  <printOptions horizontalCentered="1" verticalCentered="1"/>
  <pageMargins left="0" right="0" top="0.19685039370078741" bottom="0.19685039370078741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1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15"/>
  <cols>
    <col min="1" max="1" width="7.625" style="1" customWidth="1"/>
    <col min="2" max="2" width="5.375" style="1" customWidth="1"/>
    <col min="3" max="3" width="8.625" style="5" customWidth="1"/>
    <col min="4" max="4" width="8.875" style="5" customWidth="1"/>
    <col min="5" max="5" width="8.625" style="5" customWidth="1"/>
    <col min="6" max="6" width="8.875" style="5" customWidth="1"/>
    <col min="7" max="7" width="6.875" style="5" customWidth="1"/>
    <col min="8" max="10" width="10.625" style="5" customWidth="1"/>
    <col min="11" max="11" width="9" style="8"/>
    <col min="12" max="12" width="24.625" style="8" customWidth="1"/>
    <col min="13" max="16384" width="9" style="8"/>
  </cols>
  <sheetData>
    <row r="1" spans="1:12" ht="28.5" x14ac:dyDescent="0.15">
      <c r="A1" s="11" t="s">
        <v>5</v>
      </c>
      <c r="B1" s="11" t="s">
        <v>4</v>
      </c>
      <c r="C1" s="12" t="s">
        <v>2</v>
      </c>
      <c r="D1" s="12" t="s">
        <v>0</v>
      </c>
      <c r="E1" s="12" t="s">
        <v>1</v>
      </c>
      <c r="F1" s="12" t="s">
        <v>3</v>
      </c>
      <c r="G1" s="9" t="s">
        <v>15</v>
      </c>
      <c r="H1" s="9" t="s">
        <v>14</v>
      </c>
      <c r="I1" s="9" t="s">
        <v>8</v>
      </c>
      <c r="J1" s="9" t="s">
        <v>13</v>
      </c>
      <c r="K1" s="10" t="s">
        <v>10</v>
      </c>
      <c r="L1" s="13" t="s">
        <v>11</v>
      </c>
    </row>
    <row r="2" spans="1:12" x14ac:dyDescent="0.15">
      <c r="A2" s="14">
        <v>1952</v>
      </c>
      <c r="B2" s="6">
        <v>6</v>
      </c>
      <c r="C2" s="5">
        <f>2.2046*108.4</f>
        <v>238.97864000000001</v>
      </c>
      <c r="D2" s="5">
        <v>239</v>
      </c>
      <c r="E2" s="5">
        <v>208.1</v>
      </c>
      <c r="F2" s="5">
        <v>238.97864000000001</v>
      </c>
      <c r="G2" s="17">
        <v>14</v>
      </c>
      <c r="H2" s="7">
        <v>3323</v>
      </c>
      <c r="I2" s="7">
        <f t="shared" ref="I2:I33" si="0">H2/G2</f>
        <v>237.35714285714286</v>
      </c>
      <c r="J2" s="7">
        <v>1144</v>
      </c>
      <c r="K2" s="7">
        <v>0</v>
      </c>
    </row>
    <row r="3" spans="1:12" x14ac:dyDescent="0.15">
      <c r="A3" s="14">
        <v>1953</v>
      </c>
      <c r="B3" s="6">
        <v>6</v>
      </c>
      <c r="C3" s="5">
        <v>223.76690000000002</v>
      </c>
      <c r="D3" s="5">
        <v>223.8</v>
      </c>
      <c r="E3" s="5">
        <v>136</v>
      </c>
      <c r="F3" s="5">
        <v>150.57418000000001</v>
      </c>
      <c r="G3" s="18">
        <v>300</v>
      </c>
      <c r="H3" s="7">
        <v>81508</v>
      </c>
      <c r="I3" s="7">
        <f t="shared" si="0"/>
        <v>271.69333333333333</v>
      </c>
      <c r="J3" s="7">
        <v>4855</v>
      </c>
      <c r="K3" s="7">
        <v>2220</v>
      </c>
    </row>
    <row r="4" spans="1:12" x14ac:dyDescent="0.15">
      <c r="A4" s="14">
        <v>1954</v>
      </c>
      <c r="B4" s="6">
        <v>6</v>
      </c>
      <c r="C4" s="5">
        <v>151.23555999999999</v>
      </c>
      <c r="D4" s="5">
        <v>239.2</v>
      </c>
      <c r="E4" s="5">
        <v>142</v>
      </c>
      <c r="F4" s="5">
        <v>237.87634000000003</v>
      </c>
      <c r="G4" s="18">
        <v>301</v>
      </c>
      <c r="H4" s="7">
        <v>62628</v>
      </c>
      <c r="I4" s="7">
        <f t="shared" si="0"/>
        <v>208.06644518272427</v>
      </c>
      <c r="J4" s="7">
        <v>2790</v>
      </c>
      <c r="K4" s="7">
        <v>3024</v>
      </c>
    </row>
    <row r="5" spans="1:12" x14ac:dyDescent="0.15">
      <c r="A5" s="14">
        <v>1955</v>
      </c>
      <c r="B5" s="6">
        <v>6</v>
      </c>
      <c r="C5" s="5">
        <v>250.88348000000002</v>
      </c>
      <c r="D5" s="5">
        <v>363.5</v>
      </c>
      <c r="E5" s="5">
        <v>211</v>
      </c>
      <c r="F5" s="5">
        <v>289.9049</v>
      </c>
      <c r="G5" s="18">
        <v>300</v>
      </c>
      <c r="H5" s="7">
        <v>182603</v>
      </c>
      <c r="I5" s="7">
        <f t="shared" si="0"/>
        <v>608.67666666666662</v>
      </c>
      <c r="J5" s="7">
        <v>13422</v>
      </c>
      <c r="K5" s="7">
        <v>1476</v>
      </c>
    </row>
    <row r="6" spans="1:12" x14ac:dyDescent="0.15">
      <c r="A6" s="14">
        <v>1956</v>
      </c>
      <c r="B6" s="6">
        <v>6</v>
      </c>
      <c r="C6" s="5">
        <v>281.0865</v>
      </c>
      <c r="D6" s="5">
        <v>284</v>
      </c>
      <c r="E6" s="5">
        <v>180.1</v>
      </c>
      <c r="F6" s="5">
        <v>274.91362000000004</v>
      </c>
      <c r="G6" s="18">
        <v>304</v>
      </c>
      <c r="H6" s="7">
        <v>289250</v>
      </c>
      <c r="I6" s="7">
        <f t="shared" si="0"/>
        <v>951.48026315789468</v>
      </c>
      <c r="J6" s="7">
        <v>13392</v>
      </c>
      <c r="K6" s="7">
        <v>2629</v>
      </c>
    </row>
    <row r="7" spans="1:12" x14ac:dyDescent="0.15">
      <c r="A7" s="14">
        <v>1957</v>
      </c>
      <c r="B7" s="6">
        <v>6</v>
      </c>
      <c r="C7" s="5">
        <v>267.63844</v>
      </c>
      <c r="D7" s="5">
        <v>268.3</v>
      </c>
      <c r="E7" s="5">
        <v>190.9</v>
      </c>
      <c r="F7" s="5">
        <v>210.09837999999999</v>
      </c>
      <c r="G7" s="18">
        <v>302</v>
      </c>
      <c r="H7" s="7">
        <v>142985</v>
      </c>
      <c r="I7" s="7">
        <f t="shared" si="0"/>
        <v>473.46026490066225</v>
      </c>
      <c r="J7" s="7">
        <v>4917</v>
      </c>
      <c r="K7" s="7">
        <v>4292</v>
      </c>
    </row>
    <row r="8" spans="1:12" x14ac:dyDescent="0.15">
      <c r="A8" s="14">
        <v>1958</v>
      </c>
      <c r="B8" s="6">
        <v>6</v>
      </c>
      <c r="C8" s="5">
        <v>203.9255</v>
      </c>
      <c r="D8" s="5">
        <v>234.6</v>
      </c>
      <c r="E8" s="5">
        <v>169.8</v>
      </c>
      <c r="F8" s="5">
        <v>216.05080000000001</v>
      </c>
      <c r="G8" s="18">
        <v>300</v>
      </c>
      <c r="H8" s="7">
        <v>103878</v>
      </c>
      <c r="I8" s="7">
        <f t="shared" si="0"/>
        <v>346.26</v>
      </c>
      <c r="J8" s="7">
        <v>5393</v>
      </c>
      <c r="K8" s="7">
        <v>3657</v>
      </c>
    </row>
    <row r="9" spans="1:12" x14ac:dyDescent="0.15">
      <c r="A9" s="14">
        <v>1959</v>
      </c>
      <c r="B9" s="6">
        <v>6</v>
      </c>
      <c r="C9" s="5">
        <v>218.69632000000001</v>
      </c>
      <c r="D9" s="5">
        <v>297.39999999999998</v>
      </c>
      <c r="E9" s="5">
        <v>218.7</v>
      </c>
      <c r="F9" s="5">
        <v>285.27524000000005</v>
      </c>
      <c r="G9" s="18">
        <v>299</v>
      </c>
      <c r="H9" s="7">
        <v>221012</v>
      </c>
      <c r="I9" s="7">
        <f t="shared" si="0"/>
        <v>739.17056856187287</v>
      </c>
      <c r="J9" s="7">
        <v>8693</v>
      </c>
      <c r="K9" s="7">
        <v>2816</v>
      </c>
    </row>
    <row r="10" spans="1:12" x14ac:dyDescent="0.15">
      <c r="A10" s="14">
        <v>1960</v>
      </c>
      <c r="B10" s="6">
        <v>6</v>
      </c>
      <c r="C10" s="5">
        <v>271.38625999999999</v>
      </c>
      <c r="D10" s="5">
        <v>307.5</v>
      </c>
      <c r="E10" s="5">
        <v>209.7</v>
      </c>
      <c r="F10" s="5">
        <v>220.01908</v>
      </c>
      <c r="G10" s="18">
        <v>302</v>
      </c>
      <c r="H10" s="7">
        <v>205048</v>
      </c>
      <c r="I10" s="7">
        <f t="shared" si="0"/>
        <v>678.96688741721857</v>
      </c>
      <c r="J10" s="7">
        <v>5078</v>
      </c>
      <c r="K10" s="7">
        <v>4729</v>
      </c>
    </row>
    <row r="11" spans="1:12" x14ac:dyDescent="0.15">
      <c r="A11" s="14">
        <v>1961</v>
      </c>
      <c r="B11" s="6">
        <v>6</v>
      </c>
      <c r="C11" s="5">
        <v>223.76690000000002</v>
      </c>
      <c r="D11" s="5">
        <v>246</v>
      </c>
      <c r="E11" s="5">
        <v>190.9</v>
      </c>
      <c r="F11" s="5">
        <v>203.48457999999999</v>
      </c>
      <c r="G11" s="18">
        <v>301</v>
      </c>
      <c r="H11" s="7">
        <v>122205</v>
      </c>
      <c r="I11" s="7">
        <f t="shared" si="0"/>
        <v>405.99667774086379</v>
      </c>
      <c r="J11" s="7">
        <v>2795</v>
      </c>
      <c r="K11" s="7">
        <v>3026</v>
      </c>
    </row>
    <row r="12" spans="1:12" x14ac:dyDescent="0.15">
      <c r="A12" s="14">
        <v>1962</v>
      </c>
      <c r="B12" s="6">
        <v>6</v>
      </c>
      <c r="C12" s="5">
        <v>201.7209</v>
      </c>
      <c r="D12" s="5">
        <v>217.2</v>
      </c>
      <c r="E12" s="5">
        <v>183.2</v>
      </c>
      <c r="F12" s="5">
        <v>203.70504000000003</v>
      </c>
      <c r="G12" s="18">
        <v>302</v>
      </c>
      <c r="H12" s="7">
        <v>28515</v>
      </c>
      <c r="I12" s="7">
        <f t="shared" si="0"/>
        <v>94.420529801324506</v>
      </c>
      <c r="J12" s="7">
        <v>1205</v>
      </c>
      <c r="K12" s="7">
        <v>1829</v>
      </c>
    </row>
    <row r="13" spans="1:12" x14ac:dyDescent="0.15">
      <c r="A13" s="14">
        <v>1963</v>
      </c>
      <c r="B13" s="6">
        <v>6</v>
      </c>
      <c r="C13" s="5">
        <v>201.05952000000002</v>
      </c>
      <c r="D13" s="5">
        <v>204.4</v>
      </c>
      <c r="E13" s="5">
        <v>164.5</v>
      </c>
      <c r="F13" s="5">
        <v>172.4</v>
      </c>
      <c r="G13" s="18">
        <v>302</v>
      </c>
      <c r="H13" s="7">
        <v>22789</v>
      </c>
      <c r="I13" s="7">
        <f t="shared" si="0"/>
        <v>75.460264900662253</v>
      </c>
      <c r="J13" s="7">
        <v>1170</v>
      </c>
      <c r="K13" s="7">
        <v>1253</v>
      </c>
    </row>
    <row r="14" spans="1:12" x14ac:dyDescent="0.15">
      <c r="A14" s="14">
        <v>1964</v>
      </c>
      <c r="B14" s="6">
        <v>6</v>
      </c>
      <c r="C14" s="5">
        <v>169.5</v>
      </c>
      <c r="D14" s="5">
        <v>185.1</v>
      </c>
      <c r="E14" s="5">
        <v>164.9</v>
      </c>
      <c r="F14" s="5">
        <v>179.7</v>
      </c>
      <c r="G14" s="18">
        <v>301</v>
      </c>
      <c r="H14" s="7">
        <v>30422</v>
      </c>
      <c r="I14" s="7">
        <f t="shared" si="0"/>
        <v>101.06976744186046</v>
      </c>
      <c r="J14" s="7">
        <v>1130</v>
      </c>
      <c r="K14" s="7">
        <v>1178</v>
      </c>
    </row>
    <row r="15" spans="1:12" x14ac:dyDescent="0.15">
      <c r="A15" s="14">
        <v>1965</v>
      </c>
      <c r="B15" s="6">
        <v>6</v>
      </c>
      <c r="C15" s="5">
        <v>184</v>
      </c>
      <c r="D15" s="5">
        <v>197.2</v>
      </c>
      <c r="E15" s="5">
        <v>165.2</v>
      </c>
      <c r="F15" s="5">
        <v>183</v>
      </c>
      <c r="G15" s="18">
        <v>301</v>
      </c>
      <c r="H15" s="7">
        <v>147899</v>
      </c>
      <c r="I15" s="7">
        <f t="shared" si="0"/>
        <v>491.35880398671094</v>
      </c>
      <c r="J15" s="7">
        <v>1962</v>
      </c>
      <c r="K15" s="7">
        <v>1902</v>
      </c>
    </row>
    <row r="16" spans="1:12" x14ac:dyDescent="0.15">
      <c r="A16" s="14">
        <v>1966</v>
      </c>
      <c r="B16" s="6">
        <v>6</v>
      </c>
      <c r="C16" s="5">
        <v>182.9</v>
      </c>
      <c r="D16" s="5">
        <v>185</v>
      </c>
      <c r="E16" s="5">
        <v>160.9</v>
      </c>
      <c r="F16" s="5">
        <v>162</v>
      </c>
      <c r="G16" s="18">
        <v>298</v>
      </c>
      <c r="H16" s="7">
        <v>28227</v>
      </c>
      <c r="I16" s="7">
        <f t="shared" si="0"/>
        <v>94.72147651006712</v>
      </c>
      <c r="J16" s="7">
        <v>708</v>
      </c>
      <c r="K16" s="7">
        <v>1087</v>
      </c>
    </row>
    <row r="17" spans="1:11" x14ac:dyDescent="0.15">
      <c r="A17" s="14">
        <v>1967</v>
      </c>
      <c r="B17" s="6">
        <v>6</v>
      </c>
      <c r="C17" s="5">
        <v>161.9</v>
      </c>
      <c r="D17" s="5">
        <v>163.30000000000001</v>
      </c>
      <c r="E17" s="5">
        <v>119.9</v>
      </c>
      <c r="F17" s="5">
        <v>126.7</v>
      </c>
      <c r="G17" s="18">
        <v>299</v>
      </c>
      <c r="H17" s="7">
        <v>30198</v>
      </c>
      <c r="I17" s="7">
        <f t="shared" si="0"/>
        <v>100.99665551839465</v>
      </c>
      <c r="J17" s="7">
        <v>849</v>
      </c>
      <c r="K17" s="7">
        <v>480</v>
      </c>
    </row>
    <row r="18" spans="1:11" x14ac:dyDescent="0.15">
      <c r="A18" s="14">
        <v>1968</v>
      </c>
      <c r="B18" s="6">
        <v>6</v>
      </c>
      <c r="C18" s="5">
        <v>126</v>
      </c>
      <c r="D18" s="5">
        <v>162.5</v>
      </c>
      <c r="E18" s="5">
        <v>119.2</v>
      </c>
      <c r="F18" s="5">
        <v>154.4</v>
      </c>
      <c r="G18" s="18">
        <v>301</v>
      </c>
      <c r="H18" s="7">
        <v>329997</v>
      </c>
      <c r="I18" s="7">
        <f t="shared" si="0"/>
        <v>1096.3355481727574</v>
      </c>
      <c r="J18" s="7">
        <v>6936</v>
      </c>
      <c r="K18" s="7">
        <v>1316</v>
      </c>
    </row>
    <row r="19" spans="1:11" x14ac:dyDescent="0.15">
      <c r="A19" s="14">
        <v>1969</v>
      </c>
      <c r="B19" s="6">
        <v>6</v>
      </c>
      <c r="C19" s="5">
        <v>155.9</v>
      </c>
      <c r="D19" s="5">
        <v>220</v>
      </c>
      <c r="E19" s="5">
        <v>155.19999999999999</v>
      </c>
      <c r="F19" s="5">
        <v>177</v>
      </c>
      <c r="G19" s="18">
        <v>297</v>
      </c>
      <c r="H19" s="7">
        <v>756359</v>
      </c>
      <c r="I19" s="7">
        <f t="shared" si="0"/>
        <v>2546.6632996632998</v>
      </c>
      <c r="J19" s="7">
        <v>17023</v>
      </c>
      <c r="K19" s="7">
        <v>1490</v>
      </c>
    </row>
    <row r="20" spans="1:11" x14ac:dyDescent="0.15">
      <c r="A20" s="14">
        <v>1970</v>
      </c>
      <c r="B20" s="6">
        <v>6</v>
      </c>
      <c r="C20" s="5">
        <v>187.7</v>
      </c>
      <c r="D20" s="5">
        <v>188.3</v>
      </c>
      <c r="E20" s="5">
        <v>129</v>
      </c>
      <c r="F20" s="5">
        <v>134.9</v>
      </c>
      <c r="G20" s="18">
        <v>297</v>
      </c>
      <c r="H20" s="7">
        <v>789857</v>
      </c>
      <c r="I20" s="7">
        <f t="shared" si="0"/>
        <v>2659.4511784511783</v>
      </c>
      <c r="J20" s="7">
        <v>10307</v>
      </c>
      <c r="K20" s="7">
        <v>2125</v>
      </c>
    </row>
    <row r="21" spans="1:11" x14ac:dyDescent="0.15">
      <c r="A21" s="14">
        <v>1971</v>
      </c>
      <c r="B21" s="6">
        <v>6</v>
      </c>
      <c r="C21" s="5">
        <v>135.4</v>
      </c>
      <c r="D21" s="5">
        <v>147.9</v>
      </c>
      <c r="E21" s="5">
        <v>93.1</v>
      </c>
      <c r="F21" s="5">
        <v>108.5</v>
      </c>
      <c r="G21" s="18">
        <v>299</v>
      </c>
      <c r="H21" s="7">
        <v>518410</v>
      </c>
      <c r="I21" s="7">
        <f t="shared" si="0"/>
        <v>1733.8127090301002</v>
      </c>
      <c r="J21" s="7">
        <v>10505</v>
      </c>
      <c r="K21" s="7">
        <v>3474</v>
      </c>
    </row>
    <row r="22" spans="1:11" x14ac:dyDescent="0.15">
      <c r="A22" s="14">
        <v>1972</v>
      </c>
      <c r="B22" s="6">
        <v>6</v>
      </c>
      <c r="C22" s="5">
        <v>110.8</v>
      </c>
      <c r="D22" s="5">
        <v>137</v>
      </c>
      <c r="E22" s="5">
        <v>89.9</v>
      </c>
      <c r="F22" s="5">
        <v>137</v>
      </c>
      <c r="G22" s="18">
        <v>298</v>
      </c>
      <c r="H22" s="7">
        <v>1725709</v>
      </c>
      <c r="I22" s="7">
        <f t="shared" si="0"/>
        <v>5790.9697986577185</v>
      </c>
      <c r="J22" s="7">
        <v>66397</v>
      </c>
      <c r="K22" s="7">
        <v>5567</v>
      </c>
    </row>
    <row r="23" spans="1:11" x14ac:dyDescent="0.15">
      <c r="A23" s="14">
        <v>1973</v>
      </c>
      <c r="B23" s="6">
        <v>6</v>
      </c>
      <c r="C23" s="5">
        <v>152.1</v>
      </c>
      <c r="D23" s="5">
        <v>317.2</v>
      </c>
      <c r="E23" s="5">
        <v>130</v>
      </c>
      <c r="F23" s="5">
        <v>299.7</v>
      </c>
      <c r="G23" s="18">
        <v>289</v>
      </c>
      <c r="H23" s="7">
        <v>2704374</v>
      </c>
      <c r="I23" s="7">
        <f t="shared" si="0"/>
        <v>9357.6955017301043</v>
      </c>
      <c r="J23" s="7">
        <v>22567</v>
      </c>
      <c r="K23" s="7">
        <v>14639</v>
      </c>
    </row>
    <row r="24" spans="1:11" x14ac:dyDescent="0.15">
      <c r="A24" s="14">
        <v>1974</v>
      </c>
      <c r="B24" s="6">
        <v>6</v>
      </c>
      <c r="C24" s="5">
        <v>334</v>
      </c>
      <c r="D24" s="5">
        <v>336.4</v>
      </c>
      <c r="E24" s="5">
        <v>152.6</v>
      </c>
      <c r="F24" s="5">
        <v>182.9</v>
      </c>
      <c r="G24" s="18">
        <v>272</v>
      </c>
      <c r="H24" s="7">
        <v>1066696</v>
      </c>
      <c r="I24" s="7">
        <f t="shared" si="0"/>
        <v>3921.6764705882351</v>
      </c>
      <c r="J24" s="7">
        <v>18773</v>
      </c>
      <c r="K24" s="7">
        <v>9130</v>
      </c>
    </row>
    <row r="25" spans="1:11" x14ac:dyDescent="0.15">
      <c r="A25" s="14">
        <v>1975</v>
      </c>
      <c r="B25" s="6">
        <v>6</v>
      </c>
      <c r="C25" s="5">
        <v>175.7</v>
      </c>
      <c r="D25" s="5">
        <v>214.6</v>
      </c>
      <c r="E25" s="5">
        <v>169.1</v>
      </c>
      <c r="F25" s="5">
        <v>214.6</v>
      </c>
      <c r="G25" s="18">
        <v>274</v>
      </c>
      <c r="H25" s="7">
        <v>486631</v>
      </c>
      <c r="I25" s="7">
        <f t="shared" si="0"/>
        <v>1776.0255474452554</v>
      </c>
      <c r="J25" s="7">
        <v>15917</v>
      </c>
      <c r="K25" s="7">
        <v>10996</v>
      </c>
    </row>
    <row r="26" spans="1:11" x14ac:dyDescent="0.15">
      <c r="A26" s="14">
        <v>1976</v>
      </c>
      <c r="B26" s="6">
        <v>6</v>
      </c>
      <c r="C26" s="5">
        <v>219.8</v>
      </c>
      <c r="D26" s="5">
        <v>285.89999999999998</v>
      </c>
      <c r="E26" s="5">
        <v>206.3</v>
      </c>
      <c r="F26" s="5">
        <v>236.9</v>
      </c>
      <c r="G26" s="18">
        <v>275</v>
      </c>
      <c r="H26" s="7">
        <v>1028475</v>
      </c>
      <c r="I26" s="7">
        <f t="shared" si="0"/>
        <v>3739.909090909091</v>
      </c>
      <c r="J26" s="7">
        <v>25451</v>
      </c>
      <c r="K26" s="7">
        <v>14207</v>
      </c>
    </row>
    <row r="27" spans="1:11" x14ac:dyDescent="0.15">
      <c r="A27" s="14">
        <v>1977</v>
      </c>
      <c r="B27" s="6">
        <v>6</v>
      </c>
      <c r="C27" s="5">
        <v>237.7</v>
      </c>
      <c r="D27" s="5">
        <v>251.3</v>
      </c>
      <c r="E27" s="5">
        <v>198.8</v>
      </c>
      <c r="F27" s="5">
        <v>206.8</v>
      </c>
      <c r="G27" s="18">
        <v>275</v>
      </c>
      <c r="H27" s="7">
        <v>667084</v>
      </c>
      <c r="I27" s="7">
        <f t="shared" si="0"/>
        <v>2425.7600000000002</v>
      </c>
      <c r="J27" s="7">
        <v>19856</v>
      </c>
      <c r="K27" s="7">
        <v>6867</v>
      </c>
    </row>
    <row r="28" spans="1:11" x14ac:dyDescent="0.15">
      <c r="A28" s="14">
        <v>1978</v>
      </c>
      <c r="B28" s="6">
        <v>6</v>
      </c>
      <c r="C28" s="5">
        <v>201.7</v>
      </c>
      <c r="D28" s="5">
        <v>231</v>
      </c>
      <c r="E28" s="5">
        <v>188.7</v>
      </c>
      <c r="F28" s="5">
        <v>213.6</v>
      </c>
      <c r="G28" s="18">
        <v>273</v>
      </c>
      <c r="H28" s="7">
        <v>699465</v>
      </c>
      <c r="I28" s="7">
        <f t="shared" si="0"/>
        <v>2562.1428571428573</v>
      </c>
      <c r="J28" s="7">
        <v>24933</v>
      </c>
      <c r="K28" s="7">
        <v>10755</v>
      </c>
    </row>
    <row r="29" spans="1:11" x14ac:dyDescent="0.15">
      <c r="A29" s="14">
        <v>1979</v>
      </c>
      <c r="B29" s="6">
        <v>6</v>
      </c>
      <c r="C29" s="5">
        <v>212.3</v>
      </c>
      <c r="D29" s="5">
        <v>335.2</v>
      </c>
      <c r="E29" s="5">
        <v>209.7</v>
      </c>
      <c r="F29" s="5">
        <v>322.89999999999998</v>
      </c>
      <c r="G29" s="18">
        <v>275</v>
      </c>
      <c r="H29" s="7">
        <v>1584276</v>
      </c>
      <c r="I29" s="7">
        <f t="shared" si="0"/>
        <v>5761.0036363636364</v>
      </c>
      <c r="J29" s="7">
        <v>38645</v>
      </c>
      <c r="K29" s="7">
        <v>9734</v>
      </c>
    </row>
    <row r="30" spans="1:11" x14ac:dyDescent="0.15">
      <c r="A30" s="14">
        <v>1980</v>
      </c>
      <c r="B30" s="6">
        <v>6</v>
      </c>
      <c r="C30" s="5">
        <v>330</v>
      </c>
      <c r="D30" s="5">
        <v>388.9</v>
      </c>
      <c r="E30" s="5">
        <v>284.3</v>
      </c>
      <c r="F30" s="5">
        <v>290.89999999999998</v>
      </c>
      <c r="G30" s="18">
        <v>274</v>
      </c>
      <c r="H30" s="7">
        <v>1129242</v>
      </c>
      <c r="I30" s="7">
        <f t="shared" si="0"/>
        <v>4121.3211678832113</v>
      </c>
      <c r="J30" s="7">
        <v>17399</v>
      </c>
      <c r="K30" s="7">
        <v>9905</v>
      </c>
    </row>
    <row r="31" spans="1:11" x14ac:dyDescent="0.15">
      <c r="A31" s="14">
        <v>1981</v>
      </c>
      <c r="B31" s="6">
        <v>6</v>
      </c>
      <c r="C31" s="5">
        <v>283.2</v>
      </c>
      <c r="D31" s="5">
        <v>283.2</v>
      </c>
      <c r="E31" s="5">
        <v>165</v>
      </c>
      <c r="F31" s="5">
        <v>188.9</v>
      </c>
      <c r="G31" s="18">
        <v>274</v>
      </c>
      <c r="H31" s="7">
        <v>1366224</v>
      </c>
      <c r="I31" s="7">
        <f t="shared" si="0"/>
        <v>4986.2189781021898</v>
      </c>
      <c r="J31" s="7">
        <v>49581</v>
      </c>
      <c r="K31" s="7">
        <v>9883</v>
      </c>
    </row>
    <row r="32" spans="1:11" x14ac:dyDescent="0.15">
      <c r="A32" s="14">
        <v>1982</v>
      </c>
      <c r="B32" s="6">
        <v>6</v>
      </c>
      <c r="C32" s="5">
        <v>184.6</v>
      </c>
      <c r="D32" s="5">
        <v>225.4</v>
      </c>
      <c r="E32" s="5">
        <v>175.1</v>
      </c>
      <c r="F32" s="5">
        <v>177.9</v>
      </c>
      <c r="G32" s="18">
        <v>274</v>
      </c>
      <c r="H32" s="7">
        <v>1733658</v>
      </c>
      <c r="I32" s="7">
        <f t="shared" si="0"/>
        <v>6327.2189781021898</v>
      </c>
      <c r="J32" s="7">
        <v>41748</v>
      </c>
      <c r="K32" s="7">
        <v>7768</v>
      </c>
    </row>
    <row r="33" spans="1:12" x14ac:dyDescent="0.15">
      <c r="A33" s="14">
        <v>1983</v>
      </c>
      <c r="B33" s="6">
        <v>6</v>
      </c>
      <c r="C33" s="5">
        <v>170.9</v>
      </c>
      <c r="D33" s="5">
        <v>292.39999999999998</v>
      </c>
      <c r="E33" s="5">
        <v>170.8</v>
      </c>
      <c r="F33" s="5">
        <v>267.5</v>
      </c>
      <c r="G33" s="18">
        <v>274</v>
      </c>
      <c r="H33" s="7">
        <v>2312161</v>
      </c>
      <c r="I33" s="7">
        <f t="shared" si="0"/>
        <v>8438.5437956204387</v>
      </c>
      <c r="J33" s="7">
        <v>35759</v>
      </c>
      <c r="K33" s="7">
        <v>8208</v>
      </c>
      <c r="L33" s="19"/>
    </row>
    <row r="34" spans="1:12" x14ac:dyDescent="0.15">
      <c r="A34" s="14">
        <v>1984</v>
      </c>
      <c r="B34" s="6">
        <v>9</v>
      </c>
      <c r="C34" s="5">
        <v>270</v>
      </c>
      <c r="D34" s="5">
        <v>288.60000000000002</v>
      </c>
      <c r="E34" s="5">
        <v>188.4</v>
      </c>
      <c r="F34" s="5">
        <v>203.5</v>
      </c>
      <c r="G34" s="18">
        <v>274</v>
      </c>
      <c r="H34" s="7">
        <v>1478309</v>
      </c>
      <c r="I34" s="7">
        <f>H34/G34</f>
        <v>5395.2883211678836</v>
      </c>
      <c r="J34" s="7">
        <v>40687</v>
      </c>
      <c r="K34" s="7">
        <v>7688</v>
      </c>
    </row>
    <row r="35" spans="1:12" x14ac:dyDescent="0.15">
      <c r="A35" s="14">
        <v>1985</v>
      </c>
      <c r="B35" s="6">
        <v>9</v>
      </c>
      <c r="C35" s="5">
        <v>201.5</v>
      </c>
      <c r="D35" s="5">
        <v>218.1</v>
      </c>
      <c r="E35" s="5">
        <v>145.30000000000001</v>
      </c>
      <c r="F35" s="5">
        <v>155.30000000000001</v>
      </c>
      <c r="G35" s="18">
        <v>274</v>
      </c>
      <c r="H35" s="7">
        <v>1063258</v>
      </c>
      <c r="I35" s="7">
        <f t="shared" ref="I35:I70" si="1">H35/G35</f>
        <v>3880.5036496350367</v>
      </c>
      <c r="J35" s="7">
        <v>37239</v>
      </c>
      <c r="K35" s="7">
        <v>8233</v>
      </c>
    </row>
    <row r="36" spans="1:12" x14ac:dyDescent="0.15">
      <c r="A36" s="14">
        <v>1986</v>
      </c>
      <c r="B36" s="6">
        <v>9</v>
      </c>
      <c r="C36" s="5">
        <v>155.30000000000001</v>
      </c>
      <c r="D36" s="5">
        <v>173.9</v>
      </c>
      <c r="E36" s="5">
        <v>124.6</v>
      </c>
      <c r="F36" s="5">
        <v>139.30000000000001</v>
      </c>
      <c r="G36" s="18">
        <v>272</v>
      </c>
      <c r="H36" s="7">
        <v>1153385</v>
      </c>
      <c r="I36" s="7">
        <f t="shared" si="1"/>
        <v>4240.3860294117649</v>
      </c>
      <c r="J36" s="7">
        <v>33178</v>
      </c>
      <c r="K36" s="7">
        <v>4523</v>
      </c>
    </row>
    <row r="37" spans="1:12" x14ac:dyDescent="0.15">
      <c r="A37" s="14">
        <v>1987</v>
      </c>
      <c r="B37" s="6">
        <v>7</v>
      </c>
      <c r="C37" s="5">
        <v>138.5</v>
      </c>
      <c r="D37" s="5">
        <v>162.69999999999999</v>
      </c>
      <c r="E37" s="5">
        <v>125.9</v>
      </c>
      <c r="F37" s="5">
        <v>137.1</v>
      </c>
      <c r="G37" s="18">
        <v>274</v>
      </c>
      <c r="H37" s="7">
        <v>667641</v>
      </c>
      <c r="I37" s="7">
        <f t="shared" si="1"/>
        <v>2436.6459854014597</v>
      </c>
      <c r="J37" s="7">
        <v>34996</v>
      </c>
      <c r="K37" s="7">
        <v>4019</v>
      </c>
    </row>
    <row r="38" spans="1:12" x14ac:dyDescent="0.15">
      <c r="A38" s="14">
        <v>1988</v>
      </c>
      <c r="B38" s="6">
        <v>6</v>
      </c>
      <c r="C38" s="5">
        <v>135.9</v>
      </c>
      <c r="D38" s="5">
        <v>228.2</v>
      </c>
      <c r="E38" s="5">
        <v>124.6</v>
      </c>
      <c r="F38" s="5">
        <v>136.69999999999999</v>
      </c>
      <c r="G38" s="18">
        <v>273</v>
      </c>
      <c r="H38" s="7">
        <v>1481008</v>
      </c>
      <c r="I38" s="7">
        <f t="shared" si="1"/>
        <v>5424.9377289377289</v>
      </c>
      <c r="J38" s="7">
        <v>82512</v>
      </c>
      <c r="K38" s="7">
        <v>4861</v>
      </c>
    </row>
    <row r="39" spans="1:12" x14ac:dyDescent="0.15">
      <c r="A39" s="14">
        <v>1989</v>
      </c>
      <c r="B39" s="6">
        <v>6</v>
      </c>
      <c r="C39" s="5">
        <v>136.9</v>
      </c>
      <c r="D39" s="5">
        <v>158.1</v>
      </c>
      <c r="E39" s="5">
        <v>127.4</v>
      </c>
      <c r="F39" s="5">
        <v>131.80000000000001</v>
      </c>
      <c r="G39" s="18">
        <v>249</v>
      </c>
      <c r="H39" s="7">
        <v>2305556</v>
      </c>
      <c r="I39" s="7">
        <f t="shared" si="1"/>
        <v>9259.2610441767065</v>
      </c>
      <c r="J39" s="7">
        <v>113521</v>
      </c>
      <c r="K39" s="7">
        <v>5613</v>
      </c>
    </row>
    <row r="40" spans="1:12" x14ac:dyDescent="0.15">
      <c r="A40" s="14">
        <v>1990</v>
      </c>
      <c r="B40" s="6">
        <v>6</v>
      </c>
      <c r="C40" s="5">
        <v>134.9</v>
      </c>
      <c r="D40" s="5">
        <v>142.1</v>
      </c>
      <c r="E40" s="5">
        <v>101.5</v>
      </c>
      <c r="F40" s="5">
        <v>126.3</v>
      </c>
      <c r="G40" s="18">
        <v>246</v>
      </c>
      <c r="H40" s="7">
        <v>2308449</v>
      </c>
      <c r="I40" s="7">
        <f t="shared" si="1"/>
        <v>9383.9390243902435</v>
      </c>
      <c r="J40" s="7">
        <v>112378</v>
      </c>
      <c r="K40" s="7">
        <v>6786</v>
      </c>
    </row>
    <row r="41" spans="1:12" x14ac:dyDescent="0.15">
      <c r="A41" s="14">
        <v>1991</v>
      </c>
      <c r="B41" s="6">
        <v>6</v>
      </c>
      <c r="C41" s="5">
        <v>123.7</v>
      </c>
      <c r="D41" s="5">
        <v>127.5</v>
      </c>
      <c r="E41" s="5">
        <v>96.8</v>
      </c>
      <c r="F41" s="5">
        <v>98.2</v>
      </c>
      <c r="G41" s="18">
        <v>246</v>
      </c>
      <c r="H41" s="7">
        <v>2167293</v>
      </c>
      <c r="I41" s="7">
        <f t="shared" si="1"/>
        <v>8810.1341463414628</v>
      </c>
      <c r="J41" s="7">
        <v>77888</v>
      </c>
      <c r="K41" s="7">
        <v>4842</v>
      </c>
    </row>
    <row r="42" spans="1:12" x14ac:dyDescent="0.15">
      <c r="A42" s="14">
        <v>1992</v>
      </c>
      <c r="B42" s="6">
        <v>6</v>
      </c>
      <c r="C42" s="5">
        <v>97.1</v>
      </c>
      <c r="D42" s="5">
        <v>123.4</v>
      </c>
      <c r="E42" s="5">
        <v>97</v>
      </c>
      <c r="F42" s="5">
        <v>114.1</v>
      </c>
      <c r="G42" s="18">
        <v>247</v>
      </c>
      <c r="H42" s="7">
        <v>1726487</v>
      </c>
      <c r="I42" s="7">
        <f t="shared" si="1"/>
        <v>6989.8259109311739</v>
      </c>
      <c r="J42" s="7">
        <v>63271</v>
      </c>
      <c r="K42" s="7">
        <v>5013</v>
      </c>
    </row>
    <row r="43" spans="1:12" x14ac:dyDescent="0.15">
      <c r="A43" s="14">
        <v>1993</v>
      </c>
      <c r="B43" s="6">
        <v>6</v>
      </c>
      <c r="C43" s="5">
        <v>115</v>
      </c>
      <c r="D43" s="5">
        <v>120.3</v>
      </c>
      <c r="E43" s="5">
        <v>76.900000000000006</v>
      </c>
      <c r="F43" s="5">
        <v>95.4</v>
      </c>
      <c r="G43" s="18">
        <v>246</v>
      </c>
      <c r="H43" s="7">
        <v>2973241</v>
      </c>
      <c r="I43" s="7">
        <f t="shared" si="1"/>
        <v>12086.345528455284</v>
      </c>
      <c r="J43" s="7">
        <v>214729</v>
      </c>
      <c r="K43" s="7">
        <v>6341</v>
      </c>
    </row>
    <row r="44" spans="1:12" x14ac:dyDescent="0.15">
      <c r="A44" s="14">
        <v>1994</v>
      </c>
      <c r="B44" s="6">
        <v>6</v>
      </c>
      <c r="C44" s="5">
        <v>96.8</v>
      </c>
      <c r="D44" s="5">
        <v>151.1</v>
      </c>
      <c r="E44" s="5">
        <v>87.5</v>
      </c>
      <c r="F44" s="5">
        <v>150.6</v>
      </c>
      <c r="G44" s="18">
        <v>245</v>
      </c>
      <c r="H44" s="7">
        <v>9021881</v>
      </c>
      <c r="I44" s="7">
        <f t="shared" si="1"/>
        <v>36824.004081632651</v>
      </c>
      <c r="J44" s="7">
        <v>355728</v>
      </c>
      <c r="K44" s="7">
        <v>6606</v>
      </c>
    </row>
    <row r="45" spans="1:12" x14ac:dyDescent="0.15">
      <c r="A45" s="14">
        <v>1995</v>
      </c>
      <c r="B45" s="6">
        <v>6</v>
      </c>
      <c r="C45" s="5">
        <v>153.4</v>
      </c>
      <c r="D45" s="5">
        <v>183.1</v>
      </c>
      <c r="E45" s="5">
        <v>106</v>
      </c>
      <c r="F45" s="5">
        <v>165.7</v>
      </c>
      <c r="G45" s="18">
        <v>248</v>
      </c>
      <c r="H45" s="7">
        <v>14287783</v>
      </c>
      <c r="I45" s="7">
        <f t="shared" si="1"/>
        <v>57612.028225806454</v>
      </c>
      <c r="J45" s="7">
        <v>402102</v>
      </c>
      <c r="K45" s="7">
        <v>6310</v>
      </c>
    </row>
    <row r="46" spans="1:12" x14ac:dyDescent="0.15">
      <c r="A46" s="14">
        <v>1996</v>
      </c>
      <c r="B46" s="6">
        <v>6</v>
      </c>
      <c r="C46" s="5">
        <v>173.7</v>
      </c>
      <c r="D46" s="5">
        <v>181.5</v>
      </c>
      <c r="E46" s="5">
        <v>131.1</v>
      </c>
      <c r="F46" s="5">
        <v>149.9</v>
      </c>
      <c r="G46" s="18">
        <v>246</v>
      </c>
      <c r="H46" s="7">
        <v>9085709</v>
      </c>
      <c r="I46" s="7">
        <f t="shared" si="1"/>
        <v>36933.776422764226</v>
      </c>
      <c r="J46" s="7">
        <v>189490</v>
      </c>
      <c r="K46" s="7">
        <v>10124</v>
      </c>
    </row>
    <row r="47" spans="1:12" x14ac:dyDescent="0.15">
      <c r="A47" s="14">
        <v>1997</v>
      </c>
      <c r="B47" s="6">
        <v>6</v>
      </c>
      <c r="C47" s="5">
        <v>149.4</v>
      </c>
      <c r="D47" s="5">
        <v>161.69999999999999</v>
      </c>
      <c r="E47" s="5">
        <v>78.3</v>
      </c>
      <c r="F47" s="5">
        <v>91</v>
      </c>
      <c r="G47" s="18">
        <v>243</v>
      </c>
      <c r="H47" s="7">
        <v>4758390</v>
      </c>
      <c r="I47" s="7">
        <f t="shared" si="1"/>
        <v>19581.85185185185</v>
      </c>
      <c r="J47" s="7">
        <v>181019</v>
      </c>
      <c r="K47" s="7">
        <v>8422</v>
      </c>
    </row>
    <row r="48" spans="1:12" x14ac:dyDescent="0.15">
      <c r="A48" s="14">
        <v>1998</v>
      </c>
      <c r="B48" s="6">
        <v>6</v>
      </c>
      <c r="C48" s="5">
        <v>88.2</v>
      </c>
      <c r="D48" s="5">
        <v>115.2</v>
      </c>
      <c r="E48" s="5">
        <v>78.5</v>
      </c>
      <c r="F48" s="5">
        <v>82.1</v>
      </c>
      <c r="G48" s="18">
        <v>245</v>
      </c>
      <c r="H48" s="7">
        <v>9962455</v>
      </c>
      <c r="I48" s="7">
        <f t="shared" si="1"/>
        <v>40663.081632653062</v>
      </c>
      <c r="J48" s="7">
        <v>215820</v>
      </c>
      <c r="K48" s="7">
        <v>7724</v>
      </c>
    </row>
    <row r="49" spans="1:11" x14ac:dyDescent="0.15">
      <c r="A49" s="14">
        <v>1999</v>
      </c>
      <c r="B49" s="6">
        <v>6</v>
      </c>
      <c r="C49" s="5">
        <v>80.599999999999994</v>
      </c>
      <c r="D49" s="5">
        <v>92.9</v>
      </c>
      <c r="E49" s="5">
        <v>66.2</v>
      </c>
      <c r="F49" s="5">
        <v>72</v>
      </c>
      <c r="G49" s="18">
        <v>243</v>
      </c>
      <c r="H49" s="7">
        <v>6190234</v>
      </c>
      <c r="I49" s="7">
        <f t="shared" si="1"/>
        <v>25474.213991769546</v>
      </c>
      <c r="J49" s="7">
        <v>148352</v>
      </c>
      <c r="K49" s="7">
        <v>9278</v>
      </c>
    </row>
    <row r="50" spans="1:11" x14ac:dyDescent="0.15">
      <c r="A50" s="14">
        <v>2000</v>
      </c>
      <c r="B50" s="6">
        <v>6</v>
      </c>
      <c r="C50" s="5">
        <v>70.2</v>
      </c>
      <c r="D50" s="5">
        <v>96.2</v>
      </c>
      <c r="E50" s="5">
        <v>68.2</v>
      </c>
      <c r="F50" s="5">
        <v>72.7</v>
      </c>
      <c r="G50" s="18">
        <v>247</v>
      </c>
      <c r="H50" s="7">
        <v>6195440</v>
      </c>
      <c r="I50" s="7">
        <f t="shared" si="1"/>
        <v>25082.753036437247</v>
      </c>
      <c r="J50" s="7">
        <v>209856</v>
      </c>
      <c r="K50" s="7">
        <v>17374</v>
      </c>
    </row>
    <row r="51" spans="1:11" x14ac:dyDescent="0.15">
      <c r="A51" s="14">
        <v>2001</v>
      </c>
      <c r="B51" s="6">
        <v>6</v>
      </c>
      <c r="C51" s="5">
        <v>70.099999999999994</v>
      </c>
      <c r="D51" s="5">
        <v>86</v>
      </c>
      <c r="E51" s="5">
        <v>62</v>
      </c>
      <c r="F51" s="5">
        <v>79</v>
      </c>
      <c r="G51" s="18">
        <v>246</v>
      </c>
      <c r="H51" s="7">
        <v>3334411</v>
      </c>
      <c r="I51" s="7">
        <f t="shared" si="1"/>
        <v>13554.516260162602</v>
      </c>
      <c r="J51" s="7">
        <v>95076</v>
      </c>
      <c r="K51" s="7">
        <v>12520</v>
      </c>
    </row>
    <row r="52" spans="1:11" x14ac:dyDescent="0.15">
      <c r="A52" s="14">
        <v>2002</v>
      </c>
      <c r="B52" s="6">
        <v>6</v>
      </c>
      <c r="C52" s="5">
        <v>76.7</v>
      </c>
      <c r="D52" s="5">
        <v>125.6</v>
      </c>
      <c r="E52" s="5">
        <v>76.2</v>
      </c>
      <c r="F52" s="5">
        <v>118.5</v>
      </c>
      <c r="G52" s="18">
        <v>245</v>
      </c>
      <c r="H52" s="7">
        <v>5551837</v>
      </c>
      <c r="I52" s="7">
        <f t="shared" si="1"/>
        <v>22660.559183673471</v>
      </c>
      <c r="J52" s="7">
        <v>67013</v>
      </c>
      <c r="K52" s="7">
        <v>3502</v>
      </c>
    </row>
    <row r="53" spans="1:11" x14ac:dyDescent="0.15">
      <c r="A53" s="14">
        <v>2003</v>
      </c>
      <c r="B53" s="6">
        <v>6</v>
      </c>
      <c r="C53" s="5">
        <v>121.7</v>
      </c>
      <c r="D53" s="5">
        <v>161.80000000000001</v>
      </c>
      <c r="E53" s="5">
        <v>102.7</v>
      </c>
      <c r="F53" s="5">
        <v>147.9</v>
      </c>
      <c r="G53" s="18">
        <v>243</v>
      </c>
      <c r="H53" s="7">
        <v>3568929</v>
      </c>
      <c r="I53" s="7">
        <f t="shared" si="1"/>
        <v>14686.95061728395</v>
      </c>
      <c r="J53" s="7">
        <v>65467</v>
      </c>
      <c r="K53" s="7">
        <v>2736</v>
      </c>
    </row>
    <row r="54" spans="1:11" x14ac:dyDescent="0.15">
      <c r="A54" s="14">
        <v>2004</v>
      </c>
      <c r="B54" s="6">
        <v>6</v>
      </c>
      <c r="C54" s="5">
        <v>146.6</v>
      </c>
      <c r="D54" s="5">
        <v>166.3</v>
      </c>
      <c r="E54" s="5">
        <v>116.8</v>
      </c>
      <c r="F54" s="5">
        <v>131</v>
      </c>
      <c r="G54" s="18">
        <v>244</v>
      </c>
      <c r="H54" s="7">
        <v>1732645</v>
      </c>
      <c r="I54" s="7">
        <f t="shared" si="1"/>
        <v>7101.0040983606559</v>
      </c>
      <c r="J54" s="7">
        <v>35299</v>
      </c>
      <c r="K54" s="7">
        <v>2585</v>
      </c>
    </row>
    <row r="55" spans="1:11" x14ac:dyDescent="0.15">
      <c r="A55" s="14">
        <v>2005</v>
      </c>
      <c r="B55" s="6">
        <v>6</v>
      </c>
      <c r="C55" s="5">
        <v>127.7</v>
      </c>
      <c r="D55" s="5">
        <v>227.6</v>
      </c>
      <c r="E55" s="5">
        <v>118.3</v>
      </c>
      <c r="F55" s="5">
        <v>221.5</v>
      </c>
      <c r="G55" s="18">
        <v>245</v>
      </c>
      <c r="H55" s="7">
        <v>7156225</v>
      </c>
      <c r="I55" s="7">
        <f t="shared" si="1"/>
        <v>29209.081632653062</v>
      </c>
      <c r="J55" s="7">
        <v>81683</v>
      </c>
      <c r="K55" s="7">
        <v>1937</v>
      </c>
    </row>
    <row r="56" spans="1:11" x14ac:dyDescent="0.15">
      <c r="A56" s="14">
        <v>2006</v>
      </c>
      <c r="B56" s="6">
        <v>6</v>
      </c>
      <c r="C56" s="5">
        <v>224.1</v>
      </c>
      <c r="D56" s="5">
        <v>324.5</v>
      </c>
      <c r="E56" s="5">
        <v>190.5</v>
      </c>
      <c r="F56" s="5">
        <v>252</v>
      </c>
      <c r="G56" s="18">
        <v>248</v>
      </c>
      <c r="H56" s="7">
        <v>9661388</v>
      </c>
      <c r="I56" s="7">
        <f t="shared" si="1"/>
        <v>38957.209677419356</v>
      </c>
      <c r="J56" s="7">
        <v>52821</v>
      </c>
      <c r="K56" s="7">
        <v>4148</v>
      </c>
    </row>
    <row r="57" spans="1:11" x14ac:dyDescent="0.15">
      <c r="A57" s="14">
        <v>2007</v>
      </c>
      <c r="B57" s="6">
        <v>6</v>
      </c>
      <c r="C57" s="5">
        <v>245.1</v>
      </c>
      <c r="D57" s="5">
        <v>313.3</v>
      </c>
      <c r="E57" s="5">
        <v>232.5</v>
      </c>
      <c r="F57" s="5">
        <v>309</v>
      </c>
      <c r="G57" s="18">
        <v>245</v>
      </c>
      <c r="H57" s="7">
        <v>7062252</v>
      </c>
      <c r="I57" s="7">
        <f t="shared" si="1"/>
        <v>28825.51836734694</v>
      </c>
      <c r="J57" s="7">
        <v>38147</v>
      </c>
      <c r="K57" s="7">
        <v>3216</v>
      </c>
    </row>
    <row r="58" spans="1:11" x14ac:dyDescent="0.15">
      <c r="A58" s="14">
        <v>2008</v>
      </c>
      <c r="B58" s="6">
        <v>6</v>
      </c>
      <c r="C58" s="5">
        <v>312.10000000000002</v>
      </c>
      <c r="D58" s="5">
        <v>356.9</v>
      </c>
      <c r="E58" s="5">
        <v>99.8</v>
      </c>
      <c r="F58" s="5">
        <v>136.1</v>
      </c>
      <c r="G58" s="18">
        <v>245</v>
      </c>
      <c r="H58" s="7">
        <v>5914747</v>
      </c>
      <c r="I58" s="7">
        <f t="shared" si="1"/>
        <v>24141.824489795919</v>
      </c>
      <c r="J58" s="7">
        <v>34574</v>
      </c>
      <c r="K58" s="7">
        <v>2342</v>
      </c>
    </row>
    <row r="59" spans="1:11" x14ac:dyDescent="0.15">
      <c r="A59" s="14">
        <v>2009</v>
      </c>
      <c r="B59" s="6">
        <v>6</v>
      </c>
      <c r="C59" s="5">
        <v>148.5</v>
      </c>
      <c r="D59" s="5">
        <v>278.89999999999998</v>
      </c>
      <c r="E59" s="5">
        <v>127.8</v>
      </c>
      <c r="F59" s="5">
        <v>276.2</v>
      </c>
      <c r="G59" s="18">
        <v>243</v>
      </c>
      <c r="H59" s="7">
        <v>3320088</v>
      </c>
      <c r="I59" s="7">
        <f t="shared" si="1"/>
        <v>13662.913580246914</v>
      </c>
      <c r="J59" s="7">
        <v>38154</v>
      </c>
      <c r="K59" s="7">
        <v>1958</v>
      </c>
    </row>
    <row r="60" spans="1:11" x14ac:dyDescent="0.15">
      <c r="A60" s="14">
        <v>2010</v>
      </c>
      <c r="B60" s="6">
        <v>6</v>
      </c>
      <c r="C60" s="5">
        <v>280</v>
      </c>
      <c r="D60" s="5">
        <v>419.3</v>
      </c>
      <c r="E60" s="5">
        <v>250.9</v>
      </c>
      <c r="F60" s="5">
        <v>414.4</v>
      </c>
      <c r="G60" s="18">
        <v>245</v>
      </c>
      <c r="H60" s="7">
        <v>3130073</v>
      </c>
      <c r="I60" s="7">
        <f t="shared" si="1"/>
        <v>12775.808163265307</v>
      </c>
      <c r="J60" s="7">
        <v>36537</v>
      </c>
      <c r="K60" s="7">
        <v>2194</v>
      </c>
    </row>
    <row r="61" spans="1:11" x14ac:dyDescent="0.15">
      <c r="A61" s="14">
        <v>2011</v>
      </c>
      <c r="B61" s="6">
        <v>6</v>
      </c>
      <c r="C61" s="5">
        <v>422</v>
      </c>
      <c r="D61" s="5">
        <v>535.70000000000005</v>
      </c>
      <c r="E61" s="5">
        <v>248.6</v>
      </c>
      <c r="F61" s="5">
        <v>263.2</v>
      </c>
      <c r="G61" s="18">
        <v>245</v>
      </c>
      <c r="H61" s="7">
        <v>3259984</v>
      </c>
      <c r="I61" s="7">
        <f t="shared" si="1"/>
        <v>13306.057142857142</v>
      </c>
      <c r="J61" s="7">
        <v>25142</v>
      </c>
      <c r="K61" s="7">
        <v>3408</v>
      </c>
    </row>
    <row r="62" spans="1:11" x14ac:dyDescent="0.15">
      <c r="A62" s="14">
        <v>2012</v>
      </c>
      <c r="B62" s="6">
        <v>6</v>
      </c>
      <c r="C62" s="5">
        <v>270</v>
      </c>
      <c r="D62" s="5">
        <v>344.4</v>
      </c>
      <c r="E62" s="5">
        <v>205.6</v>
      </c>
      <c r="F62" s="5">
        <v>302.89999999999998</v>
      </c>
      <c r="G62" s="18">
        <v>248</v>
      </c>
      <c r="H62" s="7">
        <v>2251817</v>
      </c>
      <c r="I62" s="7">
        <f t="shared" si="1"/>
        <v>9079.907258064517</v>
      </c>
      <c r="J62" s="7">
        <v>31064</v>
      </c>
      <c r="K62" s="7">
        <v>2983</v>
      </c>
    </row>
    <row r="63" spans="1:11" x14ac:dyDescent="0.15">
      <c r="A63" s="14">
        <v>2013</v>
      </c>
      <c r="B63" s="6">
        <v>6</v>
      </c>
      <c r="C63" s="5">
        <v>312.39999999999998</v>
      </c>
      <c r="D63" s="5">
        <v>337.8</v>
      </c>
      <c r="E63" s="5">
        <v>225</v>
      </c>
      <c r="F63" s="5">
        <v>274.60000000000002</v>
      </c>
      <c r="G63" s="18">
        <v>245</v>
      </c>
      <c r="H63" s="7">
        <v>2329414</v>
      </c>
      <c r="I63" s="7">
        <f t="shared" si="1"/>
        <v>9507.8122448979593</v>
      </c>
      <c r="J63" s="7">
        <v>26331</v>
      </c>
      <c r="K63" s="7">
        <v>4475</v>
      </c>
    </row>
    <row r="64" spans="1:11" x14ac:dyDescent="0.15">
      <c r="A64" s="14">
        <v>2014</v>
      </c>
      <c r="B64" s="6">
        <v>6</v>
      </c>
      <c r="C64" s="5">
        <v>266.3</v>
      </c>
      <c r="D64" s="5">
        <v>266.3</v>
      </c>
      <c r="E64" s="5">
        <v>173.8</v>
      </c>
      <c r="F64" s="5">
        <v>214</v>
      </c>
      <c r="G64" s="18">
        <v>244</v>
      </c>
      <c r="H64" s="7">
        <v>2440391</v>
      </c>
      <c r="I64" s="7">
        <f t="shared" si="1"/>
        <v>10001.602459016394</v>
      </c>
      <c r="J64" s="7">
        <v>29858</v>
      </c>
      <c r="K64" s="7">
        <v>7420</v>
      </c>
    </row>
    <row r="65" spans="1:12" x14ac:dyDescent="0.15">
      <c r="A65" s="14">
        <v>2015</v>
      </c>
      <c r="B65" s="6">
        <v>6</v>
      </c>
      <c r="C65" s="5">
        <v>213.5</v>
      </c>
      <c r="D65" s="5">
        <v>247.9</v>
      </c>
      <c r="E65" s="5">
        <v>153</v>
      </c>
      <c r="F65" s="5">
        <v>159</v>
      </c>
      <c r="G65" s="18">
        <v>244</v>
      </c>
      <c r="H65" s="7">
        <v>2411306</v>
      </c>
      <c r="I65" s="7">
        <f t="shared" si="1"/>
        <v>9882.4016393442616</v>
      </c>
      <c r="J65" s="7">
        <v>27412</v>
      </c>
      <c r="K65" s="7">
        <v>5404</v>
      </c>
    </row>
    <row r="66" spans="1:12" x14ac:dyDescent="0.15">
      <c r="A66" s="14">
        <v>2016</v>
      </c>
      <c r="B66" s="6">
        <v>6</v>
      </c>
      <c r="C66" s="5">
        <v>158.30000000000001</v>
      </c>
      <c r="D66" s="5">
        <v>291.7</v>
      </c>
      <c r="E66" s="5">
        <v>144.5</v>
      </c>
      <c r="F66" s="5">
        <v>263.89999999999998</v>
      </c>
      <c r="G66" s="18">
        <v>245</v>
      </c>
      <c r="H66" s="7">
        <v>2366213</v>
      </c>
      <c r="I66" s="7">
        <f t="shared" si="1"/>
        <v>9658.01224489796</v>
      </c>
      <c r="J66" s="7">
        <v>26392</v>
      </c>
      <c r="K66" s="7">
        <v>2655</v>
      </c>
    </row>
    <row r="67" spans="1:12" x14ac:dyDescent="0.15">
      <c r="A67" s="14">
        <v>2017</v>
      </c>
      <c r="B67" s="6">
        <v>6</v>
      </c>
      <c r="C67" s="5">
        <v>263.89999999999998</v>
      </c>
      <c r="D67" s="5">
        <v>366.7</v>
      </c>
      <c r="E67" s="5">
        <v>178.8</v>
      </c>
      <c r="F67" s="5">
        <v>206.7</v>
      </c>
      <c r="G67" s="18">
        <v>247</v>
      </c>
      <c r="H67" s="7">
        <v>2136254</v>
      </c>
      <c r="I67" s="7">
        <f t="shared" si="1"/>
        <v>8648.8016194331976</v>
      </c>
      <c r="J67" s="7">
        <v>23350</v>
      </c>
      <c r="K67" s="7">
        <v>1764</v>
      </c>
    </row>
    <row r="68" spans="1:12" x14ac:dyDescent="0.15">
      <c r="A68" s="14">
        <v>2018</v>
      </c>
      <c r="B68" s="6">
        <v>6</v>
      </c>
      <c r="C68" s="5">
        <v>207</v>
      </c>
      <c r="D68" s="5">
        <v>216.3</v>
      </c>
      <c r="E68" s="5">
        <v>151</v>
      </c>
      <c r="F68" s="5">
        <v>170.2</v>
      </c>
      <c r="G68" s="18">
        <v>245</v>
      </c>
      <c r="H68" s="7">
        <v>1681524</v>
      </c>
      <c r="I68" s="7">
        <f t="shared" si="1"/>
        <v>6863.3632653061222</v>
      </c>
      <c r="J68" s="7">
        <v>26491</v>
      </c>
      <c r="K68" s="7">
        <v>3910</v>
      </c>
    </row>
    <row r="69" spans="1:12" x14ac:dyDescent="0.15">
      <c r="A69" s="14">
        <v>2019</v>
      </c>
      <c r="B69" s="6">
        <v>6</v>
      </c>
      <c r="C69" s="5">
        <v>169.4</v>
      </c>
      <c r="D69" s="5">
        <v>209.5</v>
      </c>
      <c r="E69" s="5">
        <v>154.30000000000001</v>
      </c>
      <c r="F69" s="5">
        <v>200.1</v>
      </c>
      <c r="G69" s="18">
        <v>241</v>
      </c>
      <c r="H69" s="7">
        <v>1198789</v>
      </c>
      <c r="I69" s="7">
        <f t="shared" si="1"/>
        <v>4974.2282157676345</v>
      </c>
      <c r="J69" s="7">
        <v>16309</v>
      </c>
      <c r="K69" s="7">
        <v>4765</v>
      </c>
    </row>
    <row r="70" spans="1:12" x14ac:dyDescent="0.15">
      <c r="A70" s="14">
        <v>2020</v>
      </c>
      <c r="B70" s="6">
        <v>6</v>
      </c>
      <c r="C70" s="5">
        <v>199.7</v>
      </c>
      <c r="D70" s="5">
        <v>292.89999999999998</v>
      </c>
      <c r="E70" s="5">
        <v>138.30000000000001</v>
      </c>
      <c r="F70" s="5">
        <v>226.9</v>
      </c>
      <c r="G70" s="18">
        <v>245</v>
      </c>
      <c r="H70" s="7">
        <v>1093245</v>
      </c>
      <c r="I70" s="7">
        <f t="shared" si="1"/>
        <v>4462.2244897959181</v>
      </c>
      <c r="J70" s="7">
        <v>14266</v>
      </c>
      <c r="K70" s="7">
        <v>3239</v>
      </c>
      <c r="L70" s="19" t="s">
        <v>39</v>
      </c>
    </row>
    <row r="71" spans="1:12" x14ac:dyDescent="0.15">
      <c r="A71" s="15"/>
    </row>
    <row r="72" spans="1:12" x14ac:dyDescent="0.15">
      <c r="A72" s="15"/>
    </row>
    <row r="73" spans="1:12" x14ac:dyDescent="0.15">
      <c r="A73" s="15"/>
    </row>
    <row r="74" spans="1:12" x14ac:dyDescent="0.15">
      <c r="A74" s="15"/>
    </row>
    <row r="75" spans="1:12" x14ac:dyDescent="0.15">
      <c r="A75" s="15"/>
    </row>
    <row r="76" spans="1:12" x14ac:dyDescent="0.15">
      <c r="A76" s="15"/>
    </row>
    <row r="77" spans="1:12" x14ac:dyDescent="0.15">
      <c r="A77" s="15"/>
    </row>
    <row r="78" spans="1:12" x14ac:dyDescent="0.15">
      <c r="A78" s="15"/>
    </row>
    <row r="79" spans="1:12" x14ac:dyDescent="0.15">
      <c r="A79" s="15"/>
    </row>
    <row r="80" spans="1:12" x14ac:dyDescent="0.15">
      <c r="A80" s="15"/>
    </row>
    <row r="81" spans="1:1" x14ac:dyDescent="0.15">
      <c r="A81" s="15"/>
    </row>
    <row r="82" spans="1:1" x14ac:dyDescent="0.15">
      <c r="A82" s="15"/>
    </row>
    <row r="83" spans="1:1" x14ac:dyDescent="0.15">
      <c r="A83" s="15"/>
    </row>
    <row r="84" spans="1:1" x14ac:dyDescent="0.15">
      <c r="A84" s="15"/>
    </row>
    <row r="85" spans="1:1" x14ac:dyDescent="0.15">
      <c r="A85" s="15"/>
    </row>
    <row r="86" spans="1:1" x14ac:dyDescent="0.15">
      <c r="A86" s="15"/>
    </row>
    <row r="87" spans="1:1" x14ac:dyDescent="0.15">
      <c r="A87" s="15"/>
    </row>
    <row r="88" spans="1:1" x14ac:dyDescent="0.15">
      <c r="A88" s="15"/>
    </row>
    <row r="89" spans="1:1" x14ac:dyDescent="0.15">
      <c r="A89" s="15"/>
    </row>
    <row r="90" spans="1:1" x14ac:dyDescent="0.15">
      <c r="A90" s="15"/>
    </row>
    <row r="91" spans="1:1" x14ac:dyDescent="0.15">
      <c r="A91" s="15"/>
    </row>
    <row r="92" spans="1:1" x14ac:dyDescent="0.15">
      <c r="A92" s="15"/>
    </row>
    <row r="93" spans="1:1" x14ac:dyDescent="0.15">
      <c r="A93" s="15"/>
    </row>
    <row r="94" spans="1:1" x14ac:dyDescent="0.15">
      <c r="A94" s="15"/>
    </row>
    <row r="95" spans="1:1" x14ac:dyDescent="0.15">
      <c r="A95" s="15"/>
    </row>
    <row r="96" spans="1:1" x14ac:dyDescent="0.15">
      <c r="A96" s="15"/>
    </row>
    <row r="97" spans="1:1" x14ac:dyDescent="0.15">
      <c r="A97" s="15"/>
    </row>
    <row r="98" spans="1:1" x14ac:dyDescent="0.15">
      <c r="A98" s="15"/>
    </row>
    <row r="99" spans="1:1" x14ac:dyDescent="0.15">
      <c r="A99" s="15"/>
    </row>
    <row r="100" spans="1:1" x14ac:dyDescent="0.15">
      <c r="A100" s="15"/>
    </row>
    <row r="101" spans="1:1" x14ac:dyDescent="0.15">
      <c r="A101" s="15"/>
    </row>
    <row r="102" spans="1:1" x14ac:dyDescent="0.15">
      <c r="A102" s="15"/>
    </row>
    <row r="103" spans="1:1" x14ac:dyDescent="0.15">
      <c r="A103" s="15"/>
    </row>
    <row r="104" spans="1:1" x14ac:dyDescent="0.15">
      <c r="A104" s="15"/>
    </row>
    <row r="105" spans="1:1" x14ac:dyDescent="0.15">
      <c r="A105" s="15"/>
    </row>
    <row r="106" spans="1:1" x14ac:dyDescent="0.15">
      <c r="A106" s="15"/>
    </row>
    <row r="107" spans="1:1" x14ac:dyDescent="0.15">
      <c r="A107" s="15"/>
    </row>
    <row r="108" spans="1:1" x14ac:dyDescent="0.15">
      <c r="A108" s="15"/>
    </row>
    <row r="109" spans="1:1" x14ac:dyDescent="0.15">
      <c r="A109" s="15"/>
    </row>
    <row r="110" spans="1:1" x14ac:dyDescent="0.15">
      <c r="A110" s="15"/>
    </row>
    <row r="111" spans="1:1" x14ac:dyDescent="0.15">
      <c r="A111" s="15"/>
    </row>
    <row r="112" spans="1:1" x14ac:dyDescent="0.15">
      <c r="A112" s="15"/>
    </row>
    <row r="113" spans="1:1" x14ac:dyDescent="0.15">
      <c r="A113" s="15"/>
    </row>
    <row r="114" spans="1:1" x14ac:dyDescent="0.15">
      <c r="A114" s="15"/>
    </row>
    <row r="115" spans="1:1" x14ac:dyDescent="0.15">
      <c r="A115" s="15"/>
    </row>
    <row r="116" spans="1:1" x14ac:dyDescent="0.15">
      <c r="A116" s="15"/>
    </row>
    <row r="117" spans="1:1" x14ac:dyDescent="0.15">
      <c r="A117" s="15"/>
    </row>
    <row r="118" spans="1:1" x14ac:dyDescent="0.15">
      <c r="A118" s="15"/>
    </row>
    <row r="119" spans="1:1" x14ac:dyDescent="0.15">
      <c r="A119" s="15"/>
    </row>
    <row r="120" spans="1:1" x14ac:dyDescent="0.15">
      <c r="A120" s="15"/>
    </row>
    <row r="121" spans="1:1" x14ac:dyDescent="0.15">
      <c r="A121" s="15"/>
    </row>
    <row r="122" spans="1:1" x14ac:dyDescent="0.15">
      <c r="A122" s="15"/>
    </row>
    <row r="123" spans="1:1" x14ac:dyDescent="0.15">
      <c r="A123" s="15"/>
    </row>
    <row r="124" spans="1:1" x14ac:dyDescent="0.15">
      <c r="A124" s="15"/>
    </row>
    <row r="125" spans="1:1" x14ac:dyDescent="0.15">
      <c r="A125" s="15"/>
    </row>
    <row r="126" spans="1:1" x14ac:dyDescent="0.15">
      <c r="A126" s="15"/>
    </row>
    <row r="127" spans="1:1" x14ac:dyDescent="0.15">
      <c r="A127" s="15"/>
    </row>
    <row r="128" spans="1:1" x14ac:dyDescent="0.15">
      <c r="A128" s="15"/>
    </row>
    <row r="129" spans="1:1" x14ac:dyDescent="0.15">
      <c r="A129" s="15"/>
    </row>
    <row r="130" spans="1:1" x14ac:dyDescent="0.15">
      <c r="A130" s="15"/>
    </row>
    <row r="131" spans="1:1" x14ac:dyDescent="0.15">
      <c r="A131" s="15"/>
    </row>
    <row r="132" spans="1:1" x14ac:dyDescent="0.15">
      <c r="A132" s="15"/>
    </row>
    <row r="133" spans="1:1" x14ac:dyDescent="0.15">
      <c r="A133" s="15"/>
    </row>
    <row r="134" spans="1:1" x14ac:dyDescent="0.15">
      <c r="A134" s="15"/>
    </row>
    <row r="135" spans="1:1" x14ac:dyDescent="0.15">
      <c r="A135" s="15"/>
    </row>
    <row r="136" spans="1:1" x14ac:dyDescent="0.15">
      <c r="A136" s="15"/>
    </row>
    <row r="137" spans="1:1" x14ac:dyDescent="0.15">
      <c r="A137" s="15"/>
    </row>
    <row r="138" spans="1:1" x14ac:dyDescent="0.15">
      <c r="A138" s="15"/>
    </row>
    <row r="139" spans="1:1" x14ac:dyDescent="0.15">
      <c r="A139" s="15"/>
    </row>
    <row r="140" spans="1:1" x14ac:dyDescent="0.15">
      <c r="A140" s="15"/>
    </row>
    <row r="141" spans="1:1" x14ac:dyDescent="0.15">
      <c r="A141" s="15"/>
    </row>
    <row r="142" spans="1:1" x14ac:dyDescent="0.15">
      <c r="A142" s="15"/>
    </row>
    <row r="143" spans="1:1" x14ac:dyDescent="0.15">
      <c r="A143" s="15"/>
    </row>
    <row r="144" spans="1:1" x14ac:dyDescent="0.15">
      <c r="A144" s="15"/>
    </row>
    <row r="145" spans="1:1" x14ac:dyDescent="0.15">
      <c r="A145" s="15"/>
    </row>
    <row r="146" spans="1:1" x14ac:dyDescent="0.15">
      <c r="A146" s="15"/>
    </row>
    <row r="147" spans="1:1" x14ac:dyDescent="0.15">
      <c r="A147" s="15"/>
    </row>
    <row r="148" spans="1:1" x14ac:dyDescent="0.15">
      <c r="A148" s="15"/>
    </row>
    <row r="149" spans="1:1" x14ac:dyDescent="0.15">
      <c r="A149" s="15"/>
    </row>
    <row r="150" spans="1:1" x14ac:dyDescent="0.15">
      <c r="A150" s="15"/>
    </row>
    <row r="151" spans="1:1" x14ac:dyDescent="0.15">
      <c r="A151" s="15"/>
    </row>
    <row r="152" spans="1:1" x14ac:dyDescent="0.15">
      <c r="A152" s="15"/>
    </row>
    <row r="153" spans="1:1" x14ac:dyDescent="0.15">
      <c r="A153" s="15"/>
    </row>
    <row r="154" spans="1:1" x14ac:dyDescent="0.15">
      <c r="A154" s="15"/>
    </row>
    <row r="155" spans="1:1" x14ac:dyDescent="0.15">
      <c r="A155" s="15"/>
    </row>
    <row r="156" spans="1:1" x14ac:dyDescent="0.15">
      <c r="A156" s="15"/>
    </row>
    <row r="157" spans="1:1" x14ac:dyDescent="0.15">
      <c r="A157" s="15"/>
    </row>
    <row r="158" spans="1:1" x14ac:dyDescent="0.15">
      <c r="A158" s="15"/>
    </row>
    <row r="159" spans="1:1" x14ac:dyDescent="0.15">
      <c r="A159" s="15"/>
    </row>
    <row r="160" spans="1:1" x14ac:dyDescent="0.15">
      <c r="A160" s="15"/>
    </row>
    <row r="161" spans="1:1" x14ac:dyDescent="0.15">
      <c r="A161" s="15"/>
    </row>
    <row r="162" spans="1:1" x14ac:dyDescent="0.15">
      <c r="A162" s="15"/>
    </row>
    <row r="163" spans="1:1" x14ac:dyDescent="0.15">
      <c r="A163" s="15"/>
    </row>
    <row r="164" spans="1:1" x14ac:dyDescent="0.15">
      <c r="A164" s="15"/>
    </row>
    <row r="165" spans="1:1" x14ac:dyDescent="0.15">
      <c r="A165" s="15"/>
    </row>
    <row r="166" spans="1:1" x14ac:dyDescent="0.15">
      <c r="A166" s="15"/>
    </row>
    <row r="167" spans="1:1" x14ac:dyDescent="0.15">
      <c r="A167" s="15"/>
    </row>
    <row r="168" spans="1:1" x14ac:dyDescent="0.15">
      <c r="A168" s="15"/>
    </row>
    <row r="169" spans="1:1" x14ac:dyDescent="0.15">
      <c r="A169" s="15"/>
    </row>
    <row r="170" spans="1:1" x14ac:dyDescent="0.15">
      <c r="A170" s="15"/>
    </row>
    <row r="171" spans="1:1" x14ac:dyDescent="0.15">
      <c r="A171" s="15"/>
    </row>
    <row r="172" spans="1:1" x14ac:dyDescent="0.15">
      <c r="A172" s="15"/>
    </row>
    <row r="173" spans="1:1" x14ac:dyDescent="0.15">
      <c r="A173" s="15"/>
    </row>
    <row r="174" spans="1:1" x14ac:dyDescent="0.15">
      <c r="A174" s="15"/>
    </row>
    <row r="175" spans="1:1" x14ac:dyDescent="0.15">
      <c r="A175" s="15"/>
    </row>
    <row r="176" spans="1:1" x14ac:dyDescent="0.15">
      <c r="A176" s="15"/>
    </row>
    <row r="177" spans="1:1" x14ac:dyDescent="0.15">
      <c r="A177" s="15"/>
    </row>
    <row r="178" spans="1:1" x14ac:dyDescent="0.15">
      <c r="A178" s="15"/>
    </row>
    <row r="179" spans="1:1" x14ac:dyDescent="0.15">
      <c r="A179" s="15"/>
    </row>
    <row r="180" spans="1:1" x14ac:dyDescent="0.15">
      <c r="A180" s="15"/>
    </row>
    <row r="181" spans="1:1" x14ac:dyDescent="0.15">
      <c r="A181" s="15"/>
    </row>
    <row r="182" spans="1:1" x14ac:dyDescent="0.15">
      <c r="A182" s="15"/>
    </row>
    <row r="183" spans="1:1" x14ac:dyDescent="0.15">
      <c r="A183" s="15"/>
    </row>
    <row r="184" spans="1:1" x14ac:dyDescent="0.15">
      <c r="A184" s="15"/>
    </row>
    <row r="185" spans="1:1" x14ac:dyDescent="0.15">
      <c r="A185" s="15"/>
    </row>
    <row r="186" spans="1:1" x14ac:dyDescent="0.15">
      <c r="A186" s="15"/>
    </row>
    <row r="187" spans="1:1" x14ac:dyDescent="0.15">
      <c r="A187" s="15"/>
    </row>
    <row r="188" spans="1:1" x14ac:dyDescent="0.15">
      <c r="A188" s="15"/>
    </row>
    <row r="189" spans="1:1" x14ac:dyDescent="0.15">
      <c r="A189" s="15"/>
    </row>
    <row r="190" spans="1:1" x14ac:dyDescent="0.15">
      <c r="A190" s="15"/>
    </row>
    <row r="191" spans="1:1" x14ac:dyDescent="0.15">
      <c r="A191" s="15"/>
    </row>
    <row r="192" spans="1:1" x14ac:dyDescent="0.15">
      <c r="A192" s="15"/>
    </row>
    <row r="193" spans="1:1" x14ac:dyDescent="0.15">
      <c r="A193" s="15"/>
    </row>
    <row r="194" spans="1:1" x14ac:dyDescent="0.15">
      <c r="A194" s="15"/>
    </row>
    <row r="195" spans="1:1" x14ac:dyDescent="0.15">
      <c r="A195" s="15"/>
    </row>
    <row r="196" spans="1:1" x14ac:dyDescent="0.15">
      <c r="A196" s="15"/>
    </row>
    <row r="197" spans="1:1" x14ac:dyDescent="0.15">
      <c r="A197" s="15"/>
    </row>
    <row r="198" spans="1:1" x14ac:dyDescent="0.15">
      <c r="A198" s="15"/>
    </row>
    <row r="199" spans="1:1" x14ac:dyDescent="0.15">
      <c r="A199" s="15"/>
    </row>
    <row r="200" spans="1:1" x14ac:dyDescent="0.15">
      <c r="A200" s="15"/>
    </row>
    <row r="201" spans="1:1" x14ac:dyDescent="0.15">
      <c r="A201" s="15"/>
    </row>
    <row r="202" spans="1:1" x14ac:dyDescent="0.15">
      <c r="A202" s="15"/>
    </row>
    <row r="203" spans="1:1" x14ac:dyDescent="0.15">
      <c r="A203" s="15"/>
    </row>
    <row r="204" spans="1:1" x14ac:dyDescent="0.15">
      <c r="A204" s="15"/>
    </row>
    <row r="205" spans="1:1" x14ac:dyDescent="0.15">
      <c r="A205" s="15"/>
    </row>
    <row r="206" spans="1:1" x14ac:dyDescent="0.15">
      <c r="A206" s="15"/>
    </row>
    <row r="207" spans="1:1" x14ac:dyDescent="0.15">
      <c r="A207" s="15"/>
    </row>
    <row r="208" spans="1:1" x14ac:dyDescent="0.15">
      <c r="A208" s="15"/>
    </row>
    <row r="209" spans="1:1" x14ac:dyDescent="0.15">
      <c r="A209" s="15"/>
    </row>
    <row r="210" spans="1:1" x14ac:dyDescent="0.15">
      <c r="A210" s="15"/>
    </row>
    <row r="211" spans="1:1" x14ac:dyDescent="0.15">
      <c r="A211" s="15"/>
    </row>
    <row r="212" spans="1:1" x14ac:dyDescent="0.15">
      <c r="A212" s="15"/>
    </row>
    <row r="213" spans="1:1" x14ac:dyDescent="0.15">
      <c r="A213" s="15"/>
    </row>
    <row r="214" spans="1:1" x14ac:dyDescent="0.15">
      <c r="A214" s="15"/>
    </row>
    <row r="215" spans="1:1" x14ac:dyDescent="0.15">
      <c r="A215" s="15"/>
    </row>
    <row r="216" spans="1:1" x14ac:dyDescent="0.15">
      <c r="A216" s="15"/>
    </row>
    <row r="217" spans="1:1" x14ac:dyDescent="0.15">
      <c r="A217" s="15"/>
    </row>
    <row r="218" spans="1:1" x14ac:dyDescent="0.15">
      <c r="A218" s="15"/>
    </row>
    <row r="219" spans="1:1" x14ac:dyDescent="0.15">
      <c r="A219" s="15"/>
    </row>
    <row r="220" spans="1:1" x14ac:dyDescent="0.15">
      <c r="A220" s="15"/>
    </row>
    <row r="221" spans="1:1" x14ac:dyDescent="0.15">
      <c r="A221" s="15"/>
    </row>
    <row r="222" spans="1:1" x14ac:dyDescent="0.15">
      <c r="A222" s="15"/>
    </row>
    <row r="223" spans="1:1" x14ac:dyDescent="0.15">
      <c r="A223" s="15"/>
    </row>
    <row r="224" spans="1:1" x14ac:dyDescent="0.15">
      <c r="A224" s="15"/>
    </row>
    <row r="225" spans="1:1" x14ac:dyDescent="0.15">
      <c r="A225" s="15"/>
    </row>
    <row r="226" spans="1:1" x14ac:dyDescent="0.15">
      <c r="A226" s="15"/>
    </row>
    <row r="227" spans="1:1" x14ac:dyDescent="0.15">
      <c r="A227" s="15"/>
    </row>
    <row r="228" spans="1:1" x14ac:dyDescent="0.15">
      <c r="A228" s="15"/>
    </row>
    <row r="229" spans="1:1" x14ac:dyDescent="0.15">
      <c r="A229" s="15"/>
    </row>
    <row r="230" spans="1:1" x14ac:dyDescent="0.15">
      <c r="A230" s="15"/>
    </row>
    <row r="231" spans="1:1" x14ac:dyDescent="0.15">
      <c r="A231" s="15"/>
    </row>
    <row r="232" spans="1:1" x14ac:dyDescent="0.15">
      <c r="A232" s="15"/>
    </row>
    <row r="233" spans="1:1" x14ac:dyDescent="0.15">
      <c r="A233" s="15"/>
    </row>
    <row r="234" spans="1:1" x14ac:dyDescent="0.15">
      <c r="A234" s="15"/>
    </row>
    <row r="235" spans="1:1" x14ac:dyDescent="0.15">
      <c r="A235" s="15"/>
    </row>
    <row r="236" spans="1:1" x14ac:dyDescent="0.15">
      <c r="A236" s="15"/>
    </row>
    <row r="237" spans="1:1" x14ac:dyDescent="0.15">
      <c r="A237" s="15"/>
    </row>
    <row r="238" spans="1:1" x14ac:dyDescent="0.15">
      <c r="A238" s="15"/>
    </row>
    <row r="239" spans="1:1" x14ac:dyDescent="0.15">
      <c r="A239" s="15"/>
    </row>
    <row r="240" spans="1:1" x14ac:dyDescent="0.15">
      <c r="A240" s="15"/>
    </row>
    <row r="241" spans="1:1" x14ac:dyDescent="0.15">
      <c r="A241" s="15"/>
    </row>
    <row r="242" spans="1:1" x14ac:dyDescent="0.15">
      <c r="A242" s="15"/>
    </row>
    <row r="243" spans="1:1" x14ac:dyDescent="0.15">
      <c r="A243" s="15"/>
    </row>
    <row r="244" spans="1:1" x14ac:dyDescent="0.15">
      <c r="A244" s="15"/>
    </row>
    <row r="245" spans="1:1" x14ac:dyDescent="0.15">
      <c r="A245" s="15"/>
    </row>
    <row r="246" spans="1:1" x14ac:dyDescent="0.15">
      <c r="A246" s="15"/>
    </row>
    <row r="247" spans="1:1" x14ac:dyDescent="0.15">
      <c r="A247" s="15"/>
    </row>
    <row r="248" spans="1:1" x14ac:dyDescent="0.15">
      <c r="A248" s="15"/>
    </row>
    <row r="249" spans="1:1" x14ac:dyDescent="0.15">
      <c r="A249" s="15"/>
    </row>
    <row r="250" spans="1:1" x14ac:dyDescent="0.15">
      <c r="A250" s="15"/>
    </row>
    <row r="251" spans="1:1" x14ac:dyDescent="0.15">
      <c r="A251" s="15"/>
    </row>
    <row r="252" spans="1:1" x14ac:dyDescent="0.15">
      <c r="A252" s="15"/>
    </row>
    <row r="253" spans="1:1" x14ac:dyDescent="0.15">
      <c r="A253" s="15"/>
    </row>
    <row r="254" spans="1:1" x14ac:dyDescent="0.15">
      <c r="A254" s="15"/>
    </row>
    <row r="255" spans="1:1" x14ac:dyDescent="0.15">
      <c r="A255" s="15"/>
    </row>
    <row r="256" spans="1:1" x14ac:dyDescent="0.15">
      <c r="A256" s="15"/>
    </row>
    <row r="257" spans="1:1" x14ac:dyDescent="0.15">
      <c r="A257" s="15"/>
    </row>
    <row r="258" spans="1:1" x14ac:dyDescent="0.15">
      <c r="A258" s="15"/>
    </row>
    <row r="259" spans="1:1" x14ac:dyDescent="0.15">
      <c r="A259" s="15"/>
    </row>
    <row r="260" spans="1:1" x14ac:dyDescent="0.15">
      <c r="A260" s="15"/>
    </row>
    <row r="261" spans="1:1" x14ac:dyDescent="0.15">
      <c r="A261" s="15"/>
    </row>
    <row r="262" spans="1:1" x14ac:dyDescent="0.15">
      <c r="A262" s="15"/>
    </row>
    <row r="263" spans="1:1" x14ac:dyDescent="0.15">
      <c r="A263" s="15"/>
    </row>
    <row r="264" spans="1:1" x14ac:dyDescent="0.15">
      <c r="A264" s="15"/>
    </row>
    <row r="265" spans="1:1" x14ac:dyDescent="0.15">
      <c r="A265" s="15"/>
    </row>
    <row r="266" spans="1:1" x14ac:dyDescent="0.15">
      <c r="A266" s="15"/>
    </row>
    <row r="267" spans="1:1" x14ac:dyDescent="0.15">
      <c r="A267" s="15"/>
    </row>
    <row r="268" spans="1:1" x14ac:dyDescent="0.15">
      <c r="A268" s="15"/>
    </row>
    <row r="269" spans="1:1" x14ac:dyDescent="0.15">
      <c r="A269" s="15"/>
    </row>
    <row r="270" spans="1:1" x14ac:dyDescent="0.15">
      <c r="A270" s="15"/>
    </row>
    <row r="271" spans="1:1" x14ac:dyDescent="0.15">
      <c r="A271" s="15"/>
    </row>
    <row r="272" spans="1:1" x14ac:dyDescent="0.15">
      <c r="A272" s="15"/>
    </row>
    <row r="273" spans="1:1" x14ac:dyDescent="0.15">
      <c r="A273" s="15"/>
    </row>
    <row r="274" spans="1:1" x14ac:dyDescent="0.15">
      <c r="A274" s="15"/>
    </row>
    <row r="275" spans="1:1" x14ac:dyDescent="0.15">
      <c r="A275" s="15"/>
    </row>
    <row r="276" spans="1:1" x14ac:dyDescent="0.15">
      <c r="A276" s="15"/>
    </row>
    <row r="277" spans="1:1" x14ac:dyDescent="0.15">
      <c r="A277" s="15"/>
    </row>
    <row r="278" spans="1:1" x14ac:dyDescent="0.15">
      <c r="A278" s="15"/>
    </row>
    <row r="279" spans="1:1" x14ac:dyDescent="0.15">
      <c r="A279" s="15"/>
    </row>
    <row r="280" spans="1:1" x14ac:dyDescent="0.15">
      <c r="A280" s="15"/>
    </row>
    <row r="281" spans="1:1" x14ac:dyDescent="0.15">
      <c r="A281" s="15"/>
    </row>
    <row r="282" spans="1:1" x14ac:dyDescent="0.15">
      <c r="A282" s="15"/>
    </row>
    <row r="283" spans="1:1" x14ac:dyDescent="0.15">
      <c r="A283" s="15"/>
    </row>
    <row r="284" spans="1:1" x14ac:dyDescent="0.15">
      <c r="A284" s="15"/>
    </row>
    <row r="285" spans="1:1" x14ac:dyDescent="0.15">
      <c r="A285" s="15"/>
    </row>
    <row r="286" spans="1:1" x14ac:dyDescent="0.15">
      <c r="A286" s="15"/>
    </row>
    <row r="287" spans="1:1" x14ac:dyDescent="0.15">
      <c r="A287" s="15"/>
    </row>
    <row r="288" spans="1:1" x14ac:dyDescent="0.15">
      <c r="A288" s="15"/>
    </row>
    <row r="289" spans="1:1" x14ac:dyDescent="0.15">
      <c r="A289" s="15"/>
    </row>
    <row r="290" spans="1:1" x14ac:dyDescent="0.15">
      <c r="A290" s="15"/>
    </row>
    <row r="291" spans="1:1" x14ac:dyDescent="0.15">
      <c r="A291" s="15"/>
    </row>
    <row r="292" spans="1:1" x14ac:dyDescent="0.15">
      <c r="A292" s="15"/>
    </row>
    <row r="293" spans="1:1" x14ac:dyDescent="0.15">
      <c r="A293" s="15"/>
    </row>
    <row r="294" spans="1:1" x14ac:dyDescent="0.15">
      <c r="A294" s="15"/>
    </row>
    <row r="295" spans="1:1" x14ac:dyDescent="0.15">
      <c r="A295" s="15"/>
    </row>
    <row r="296" spans="1:1" x14ac:dyDescent="0.15">
      <c r="A296" s="15"/>
    </row>
    <row r="297" spans="1:1" x14ac:dyDescent="0.15">
      <c r="A297" s="15"/>
    </row>
    <row r="298" spans="1:1" x14ac:dyDescent="0.15">
      <c r="A298" s="15"/>
    </row>
    <row r="299" spans="1:1" x14ac:dyDescent="0.15">
      <c r="A299" s="15"/>
    </row>
    <row r="300" spans="1:1" x14ac:dyDescent="0.15">
      <c r="A300" s="15"/>
    </row>
    <row r="301" spans="1:1" x14ac:dyDescent="0.15">
      <c r="A301" s="15"/>
    </row>
    <row r="302" spans="1:1" x14ac:dyDescent="0.15">
      <c r="A302" s="15"/>
    </row>
    <row r="303" spans="1:1" x14ac:dyDescent="0.15">
      <c r="A303" s="15"/>
    </row>
    <row r="304" spans="1:1" x14ac:dyDescent="0.15">
      <c r="A304" s="15"/>
    </row>
    <row r="305" spans="1:1" x14ac:dyDescent="0.15">
      <c r="A305" s="15"/>
    </row>
    <row r="306" spans="1:1" x14ac:dyDescent="0.15">
      <c r="A306" s="15"/>
    </row>
    <row r="307" spans="1:1" x14ac:dyDescent="0.15">
      <c r="A307" s="15"/>
    </row>
    <row r="308" spans="1:1" x14ac:dyDescent="0.15">
      <c r="A308" s="15"/>
    </row>
    <row r="309" spans="1:1" x14ac:dyDescent="0.15">
      <c r="A309" s="15"/>
    </row>
    <row r="310" spans="1:1" x14ac:dyDescent="0.15">
      <c r="A310" s="15"/>
    </row>
    <row r="311" spans="1:1" x14ac:dyDescent="0.15">
      <c r="A311" s="15"/>
    </row>
    <row r="312" spans="1:1" x14ac:dyDescent="0.15">
      <c r="A312" s="15"/>
    </row>
    <row r="313" spans="1:1" x14ac:dyDescent="0.15">
      <c r="A313" s="15"/>
    </row>
    <row r="314" spans="1:1" x14ac:dyDescent="0.15">
      <c r="A314" s="15"/>
    </row>
    <row r="315" spans="1:1" x14ac:dyDescent="0.15">
      <c r="A315" s="15"/>
    </row>
    <row r="316" spans="1:1" x14ac:dyDescent="0.15">
      <c r="A316" s="15"/>
    </row>
    <row r="317" spans="1:1" x14ac:dyDescent="0.15">
      <c r="A317" s="15"/>
    </row>
    <row r="318" spans="1:1" x14ac:dyDescent="0.15">
      <c r="A318" s="15"/>
    </row>
    <row r="319" spans="1:1" x14ac:dyDescent="0.15">
      <c r="A319" s="15"/>
    </row>
    <row r="320" spans="1:1" x14ac:dyDescent="0.15">
      <c r="A320" s="15"/>
    </row>
    <row r="321" spans="1:1" x14ac:dyDescent="0.15">
      <c r="A321" s="15"/>
    </row>
    <row r="322" spans="1:1" x14ac:dyDescent="0.15">
      <c r="A322" s="15"/>
    </row>
    <row r="323" spans="1:1" x14ac:dyDescent="0.15">
      <c r="A323" s="15"/>
    </row>
    <row r="324" spans="1:1" x14ac:dyDescent="0.15">
      <c r="A324" s="15"/>
    </row>
    <row r="325" spans="1:1" x14ac:dyDescent="0.15">
      <c r="A325" s="15"/>
    </row>
    <row r="326" spans="1:1" x14ac:dyDescent="0.15">
      <c r="A326" s="15"/>
    </row>
    <row r="327" spans="1:1" x14ac:dyDescent="0.15">
      <c r="A327" s="15"/>
    </row>
    <row r="328" spans="1:1" x14ac:dyDescent="0.15">
      <c r="A328" s="15"/>
    </row>
    <row r="329" spans="1:1" x14ac:dyDescent="0.15">
      <c r="A329" s="15"/>
    </row>
    <row r="330" spans="1:1" x14ac:dyDescent="0.15">
      <c r="A330" s="15"/>
    </row>
    <row r="331" spans="1:1" x14ac:dyDescent="0.15">
      <c r="A331" s="15"/>
    </row>
    <row r="332" spans="1:1" x14ac:dyDescent="0.15">
      <c r="A332" s="15"/>
    </row>
    <row r="333" spans="1:1" x14ac:dyDescent="0.15">
      <c r="A333" s="15"/>
    </row>
    <row r="334" spans="1:1" x14ac:dyDescent="0.15">
      <c r="A334" s="15"/>
    </row>
    <row r="335" spans="1:1" x14ac:dyDescent="0.15">
      <c r="A335" s="15"/>
    </row>
    <row r="336" spans="1:1" x14ac:dyDescent="0.15">
      <c r="A336" s="15"/>
    </row>
    <row r="337" spans="1:1" x14ac:dyDescent="0.15">
      <c r="A337" s="15"/>
    </row>
    <row r="338" spans="1:1" x14ac:dyDescent="0.15">
      <c r="A338" s="15"/>
    </row>
    <row r="339" spans="1:1" x14ac:dyDescent="0.15">
      <c r="A339" s="15"/>
    </row>
    <row r="340" spans="1:1" x14ac:dyDescent="0.15">
      <c r="A340" s="15"/>
    </row>
    <row r="341" spans="1:1" x14ac:dyDescent="0.15">
      <c r="A341" s="15"/>
    </row>
    <row r="342" spans="1:1" x14ac:dyDescent="0.15">
      <c r="A342" s="15"/>
    </row>
    <row r="343" spans="1:1" x14ac:dyDescent="0.15">
      <c r="A343" s="15"/>
    </row>
    <row r="344" spans="1:1" x14ac:dyDescent="0.15">
      <c r="A344" s="15"/>
    </row>
    <row r="345" spans="1:1" x14ac:dyDescent="0.15">
      <c r="A345" s="15"/>
    </row>
    <row r="346" spans="1:1" x14ac:dyDescent="0.15">
      <c r="A346" s="15"/>
    </row>
    <row r="347" spans="1:1" x14ac:dyDescent="0.15">
      <c r="A347" s="15"/>
    </row>
    <row r="348" spans="1:1" x14ac:dyDescent="0.15">
      <c r="A348" s="15"/>
    </row>
    <row r="349" spans="1:1" x14ac:dyDescent="0.15">
      <c r="A349" s="15"/>
    </row>
    <row r="350" spans="1:1" x14ac:dyDescent="0.15">
      <c r="A350" s="15"/>
    </row>
    <row r="351" spans="1:1" x14ac:dyDescent="0.15">
      <c r="A351" s="15"/>
    </row>
    <row r="352" spans="1:1" x14ac:dyDescent="0.15">
      <c r="A352" s="15"/>
    </row>
    <row r="353" spans="1:1" x14ac:dyDescent="0.15">
      <c r="A353" s="15"/>
    </row>
    <row r="354" spans="1:1" x14ac:dyDescent="0.15">
      <c r="A354" s="15"/>
    </row>
    <row r="355" spans="1:1" x14ac:dyDescent="0.15">
      <c r="A355" s="15"/>
    </row>
    <row r="356" spans="1:1" x14ac:dyDescent="0.15">
      <c r="A356" s="15"/>
    </row>
    <row r="357" spans="1:1" x14ac:dyDescent="0.15">
      <c r="A357" s="15"/>
    </row>
    <row r="358" spans="1:1" x14ac:dyDescent="0.15">
      <c r="A358" s="15"/>
    </row>
    <row r="359" spans="1:1" x14ac:dyDescent="0.15">
      <c r="A359" s="15"/>
    </row>
    <row r="360" spans="1:1" x14ac:dyDescent="0.15">
      <c r="A360" s="15"/>
    </row>
    <row r="361" spans="1:1" x14ac:dyDescent="0.15">
      <c r="A361" s="15"/>
    </row>
    <row r="362" spans="1:1" x14ac:dyDescent="0.15">
      <c r="A362" s="15"/>
    </row>
    <row r="363" spans="1:1" x14ac:dyDescent="0.15">
      <c r="A363" s="15"/>
    </row>
    <row r="364" spans="1:1" x14ac:dyDescent="0.15">
      <c r="A364" s="15"/>
    </row>
    <row r="365" spans="1:1" x14ac:dyDescent="0.15">
      <c r="A365" s="15"/>
    </row>
    <row r="366" spans="1:1" x14ac:dyDescent="0.15">
      <c r="A366" s="15"/>
    </row>
    <row r="367" spans="1:1" x14ac:dyDescent="0.15">
      <c r="A367" s="15"/>
    </row>
    <row r="368" spans="1:1" x14ac:dyDescent="0.15">
      <c r="A368" s="15"/>
    </row>
    <row r="369" spans="1:1" x14ac:dyDescent="0.15">
      <c r="A369" s="15"/>
    </row>
    <row r="370" spans="1:1" x14ac:dyDescent="0.15">
      <c r="A370" s="15"/>
    </row>
    <row r="371" spans="1:1" x14ac:dyDescent="0.15">
      <c r="A371" s="15"/>
    </row>
    <row r="372" spans="1:1" x14ac:dyDescent="0.15">
      <c r="A372" s="15"/>
    </row>
    <row r="373" spans="1:1" x14ac:dyDescent="0.15">
      <c r="A373" s="15"/>
    </row>
    <row r="374" spans="1:1" x14ac:dyDescent="0.15">
      <c r="A374" s="15"/>
    </row>
    <row r="375" spans="1:1" x14ac:dyDescent="0.15">
      <c r="A375" s="15"/>
    </row>
    <row r="376" spans="1:1" x14ac:dyDescent="0.15">
      <c r="A376" s="15"/>
    </row>
    <row r="377" spans="1:1" x14ac:dyDescent="0.15">
      <c r="A377" s="15"/>
    </row>
    <row r="378" spans="1:1" x14ac:dyDescent="0.15">
      <c r="A378" s="15"/>
    </row>
    <row r="379" spans="1:1" x14ac:dyDescent="0.15">
      <c r="A379" s="15"/>
    </row>
    <row r="380" spans="1:1" x14ac:dyDescent="0.15">
      <c r="A380" s="15"/>
    </row>
    <row r="381" spans="1:1" x14ac:dyDescent="0.15">
      <c r="A381" s="15"/>
    </row>
    <row r="382" spans="1:1" x14ac:dyDescent="0.15">
      <c r="A382" s="15"/>
    </row>
    <row r="383" spans="1:1" x14ac:dyDescent="0.15">
      <c r="A383" s="15"/>
    </row>
    <row r="384" spans="1:1" x14ac:dyDescent="0.15">
      <c r="A384" s="15"/>
    </row>
    <row r="385" spans="1:10" x14ac:dyDescent="0.15">
      <c r="A385" s="15"/>
    </row>
    <row r="386" spans="1:10" x14ac:dyDescent="0.15">
      <c r="A386" s="15"/>
    </row>
    <row r="387" spans="1:10" x14ac:dyDescent="0.15">
      <c r="A387" s="15"/>
      <c r="H387" s="7"/>
      <c r="I387" s="7"/>
      <c r="J387" s="7"/>
    </row>
    <row r="388" spans="1:10" x14ac:dyDescent="0.15">
      <c r="A388" s="15"/>
      <c r="H388" s="7"/>
      <c r="I388" s="7"/>
      <c r="J388" s="7"/>
    </row>
    <row r="389" spans="1:10" x14ac:dyDescent="0.15">
      <c r="A389" s="15"/>
      <c r="H389" s="7"/>
      <c r="I389" s="7"/>
      <c r="J389" s="7"/>
    </row>
    <row r="390" spans="1:10" x14ac:dyDescent="0.15">
      <c r="A390" s="15"/>
      <c r="H390" s="7"/>
      <c r="I390" s="7"/>
      <c r="J390" s="7"/>
    </row>
    <row r="391" spans="1:10" x14ac:dyDescent="0.15">
      <c r="A391" s="15"/>
      <c r="H391" s="7"/>
      <c r="I391" s="7"/>
      <c r="J391" s="7"/>
    </row>
    <row r="392" spans="1:10" x14ac:dyDescent="0.15">
      <c r="A392" s="15"/>
      <c r="H392" s="7"/>
      <c r="I392" s="7"/>
      <c r="J392" s="7"/>
    </row>
    <row r="393" spans="1:10" x14ac:dyDescent="0.15">
      <c r="A393" s="15"/>
      <c r="H393" s="7"/>
      <c r="I393" s="7"/>
      <c r="J393" s="7"/>
    </row>
    <row r="394" spans="1:10" x14ac:dyDescent="0.15">
      <c r="A394" s="15"/>
      <c r="H394" s="7"/>
      <c r="I394" s="7"/>
      <c r="J394" s="7"/>
    </row>
    <row r="395" spans="1:10" x14ac:dyDescent="0.15">
      <c r="A395" s="15"/>
      <c r="H395" s="7"/>
      <c r="I395" s="7"/>
      <c r="J395" s="7"/>
    </row>
    <row r="396" spans="1:10" x14ac:dyDescent="0.15">
      <c r="A396" s="15"/>
      <c r="H396" s="7"/>
      <c r="I396" s="7"/>
      <c r="J396" s="7"/>
    </row>
    <row r="397" spans="1:10" x14ac:dyDescent="0.15">
      <c r="A397" s="15"/>
      <c r="H397" s="7"/>
      <c r="I397" s="7"/>
      <c r="J397" s="7"/>
    </row>
    <row r="398" spans="1:10" x14ac:dyDescent="0.15">
      <c r="A398" s="15"/>
      <c r="H398" s="7"/>
      <c r="I398" s="7"/>
      <c r="J398" s="7"/>
    </row>
    <row r="399" spans="1:10" x14ac:dyDescent="0.15">
      <c r="A399" s="15"/>
      <c r="H399" s="7"/>
      <c r="I399" s="7"/>
      <c r="J399" s="7"/>
    </row>
    <row r="400" spans="1:10" x14ac:dyDescent="0.15">
      <c r="A400" s="15"/>
      <c r="H400" s="7"/>
      <c r="I400" s="7"/>
      <c r="J400" s="7"/>
    </row>
    <row r="401" spans="1:10" x14ac:dyDescent="0.15">
      <c r="A401" s="15"/>
      <c r="H401" s="7"/>
      <c r="I401" s="7"/>
      <c r="J401" s="7"/>
    </row>
    <row r="402" spans="1:10" x14ac:dyDescent="0.15">
      <c r="A402" s="15"/>
      <c r="H402" s="7"/>
      <c r="I402" s="7"/>
      <c r="J402" s="7"/>
    </row>
    <row r="403" spans="1:10" x14ac:dyDescent="0.15">
      <c r="A403" s="15"/>
      <c r="H403" s="7"/>
      <c r="I403" s="7"/>
      <c r="J403" s="7"/>
    </row>
    <row r="404" spans="1:10" x14ac:dyDescent="0.15">
      <c r="A404" s="15"/>
      <c r="H404" s="7"/>
      <c r="I404" s="7"/>
      <c r="J404" s="7"/>
    </row>
    <row r="405" spans="1:10" x14ac:dyDescent="0.15">
      <c r="A405" s="15"/>
      <c r="H405" s="7"/>
      <c r="I405" s="7"/>
      <c r="J405" s="7"/>
    </row>
    <row r="406" spans="1:10" x14ac:dyDescent="0.15">
      <c r="A406" s="15"/>
      <c r="H406" s="7"/>
      <c r="I406" s="7"/>
      <c r="J406" s="7"/>
    </row>
    <row r="407" spans="1:10" x14ac:dyDescent="0.15">
      <c r="A407" s="15"/>
      <c r="H407" s="7"/>
      <c r="I407" s="7"/>
      <c r="J407" s="7"/>
    </row>
    <row r="408" spans="1:10" x14ac:dyDescent="0.15">
      <c r="A408" s="15"/>
      <c r="H408" s="7"/>
      <c r="I408" s="7"/>
      <c r="J408" s="7"/>
    </row>
    <row r="409" spans="1:10" x14ac:dyDescent="0.15">
      <c r="A409" s="15"/>
      <c r="H409" s="7"/>
      <c r="I409" s="7"/>
      <c r="J409" s="7"/>
    </row>
    <row r="410" spans="1:10" x14ac:dyDescent="0.15">
      <c r="A410" s="15"/>
      <c r="H410" s="7"/>
      <c r="I410" s="7"/>
      <c r="J410" s="7"/>
    </row>
    <row r="411" spans="1:10" x14ac:dyDescent="0.15">
      <c r="A411" s="15"/>
      <c r="H411" s="7"/>
      <c r="I411" s="7"/>
      <c r="J411" s="7"/>
    </row>
    <row r="412" spans="1:10" x14ac:dyDescent="0.15">
      <c r="A412" s="15"/>
      <c r="H412" s="7"/>
      <c r="I412" s="7"/>
      <c r="J412" s="7"/>
    </row>
    <row r="413" spans="1:10" x14ac:dyDescent="0.15">
      <c r="A413" s="15"/>
      <c r="H413" s="7"/>
      <c r="I413" s="7"/>
      <c r="J413" s="7"/>
    </row>
    <row r="414" spans="1:10" x14ac:dyDescent="0.15">
      <c r="A414" s="15"/>
      <c r="H414" s="7"/>
      <c r="I414" s="7"/>
      <c r="J414" s="7"/>
    </row>
    <row r="415" spans="1:10" x14ac:dyDescent="0.15">
      <c r="A415" s="15"/>
      <c r="H415" s="7"/>
      <c r="I415" s="7"/>
      <c r="J415" s="7"/>
    </row>
    <row r="416" spans="1:10" x14ac:dyDescent="0.15">
      <c r="A416" s="15"/>
      <c r="H416" s="7"/>
      <c r="I416" s="7"/>
      <c r="J416" s="7"/>
    </row>
    <row r="417" spans="1:10" x14ac:dyDescent="0.15">
      <c r="A417" s="15"/>
      <c r="H417" s="7"/>
      <c r="I417" s="7"/>
      <c r="J417" s="7"/>
    </row>
    <row r="418" spans="1:10" x14ac:dyDescent="0.15">
      <c r="A418" s="15"/>
      <c r="H418" s="7"/>
      <c r="I418" s="7"/>
      <c r="J418" s="7"/>
    </row>
    <row r="419" spans="1:10" x14ac:dyDescent="0.15">
      <c r="A419" s="15"/>
      <c r="H419" s="7"/>
      <c r="I419" s="7"/>
      <c r="J419" s="7"/>
    </row>
    <row r="420" spans="1:10" x14ac:dyDescent="0.15">
      <c r="A420" s="15"/>
      <c r="H420" s="7"/>
      <c r="I420" s="7"/>
      <c r="J420" s="7"/>
    </row>
    <row r="421" spans="1:10" x14ac:dyDescent="0.15">
      <c r="A421" s="15"/>
      <c r="H421" s="7"/>
      <c r="I421" s="7"/>
      <c r="J421" s="7"/>
    </row>
    <row r="422" spans="1:10" x14ac:dyDescent="0.15">
      <c r="A422" s="15"/>
      <c r="H422" s="7"/>
      <c r="I422" s="7"/>
      <c r="J422" s="7"/>
    </row>
    <row r="423" spans="1:10" x14ac:dyDescent="0.15">
      <c r="A423" s="15"/>
      <c r="H423" s="7"/>
      <c r="I423" s="7"/>
      <c r="J423" s="7"/>
    </row>
    <row r="424" spans="1:10" x14ac:dyDescent="0.15">
      <c r="A424" s="15"/>
      <c r="H424" s="7"/>
      <c r="I424" s="7"/>
      <c r="J424" s="7"/>
    </row>
    <row r="425" spans="1:10" x14ac:dyDescent="0.15">
      <c r="A425" s="15"/>
      <c r="H425" s="7"/>
      <c r="I425" s="7"/>
      <c r="J425" s="7"/>
    </row>
    <row r="426" spans="1:10" x14ac:dyDescent="0.15">
      <c r="A426" s="15"/>
      <c r="H426" s="7"/>
      <c r="I426" s="7"/>
      <c r="J426" s="7"/>
    </row>
    <row r="427" spans="1:10" x14ac:dyDescent="0.15">
      <c r="A427" s="15"/>
      <c r="H427" s="7"/>
      <c r="I427" s="7"/>
      <c r="J427" s="7"/>
    </row>
    <row r="428" spans="1:10" x14ac:dyDescent="0.15">
      <c r="A428" s="15"/>
      <c r="H428" s="7"/>
      <c r="I428" s="7"/>
      <c r="J428" s="7"/>
    </row>
    <row r="429" spans="1:10" x14ac:dyDescent="0.15">
      <c r="A429" s="15"/>
      <c r="H429" s="7"/>
      <c r="I429" s="7"/>
      <c r="J429" s="7"/>
    </row>
    <row r="430" spans="1:10" x14ac:dyDescent="0.15">
      <c r="A430" s="15"/>
      <c r="H430" s="7"/>
      <c r="I430" s="7"/>
      <c r="J430" s="7"/>
    </row>
    <row r="431" spans="1:10" x14ac:dyDescent="0.15">
      <c r="A431" s="15"/>
      <c r="H431" s="7"/>
      <c r="I431" s="7"/>
      <c r="J431" s="7"/>
    </row>
    <row r="432" spans="1:10" x14ac:dyDescent="0.15">
      <c r="A432" s="15"/>
      <c r="H432" s="7"/>
      <c r="I432" s="7"/>
      <c r="J432" s="7"/>
    </row>
    <row r="433" spans="1:10" x14ac:dyDescent="0.15">
      <c r="A433" s="15"/>
      <c r="H433" s="7"/>
      <c r="I433" s="7"/>
      <c r="J433" s="7"/>
    </row>
    <row r="434" spans="1:10" x14ac:dyDescent="0.15">
      <c r="A434" s="15"/>
      <c r="H434" s="7"/>
      <c r="I434" s="7"/>
      <c r="J434" s="7"/>
    </row>
    <row r="435" spans="1:10" x14ac:dyDescent="0.15">
      <c r="A435" s="15"/>
      <c r="H435" s="7"/>
      <c r="I435" s="7"/>
      <c r="J435" s="7"/>
    </row>
    <row r="436" spans="1:10" x14ac:dyDescent="0.15">
      <c r="A436" s="15"/>
      <c r="H436" s="7"/>
      <c r="I436" s="7"/>
      <c r="J436" s="7"/>
    </row>
    <row r="437" spans="1:10" x14ac:dyDescent="0.15">
      <c r="A437" s="15"/>
      <c r="H437" s="7"/>
      <c r="I437" s="7"/>
      <c r="J437" s="7"/>
    </row>
    <row r="438" spans="1:10" x14ac:dyDescent="0.15">
      <c r="A438" s="15"/>
      <c r="H438" s="7"/>
      <c r="I438" s="7"/>
      <c r="J438" s="7"/>
    </row>
    <row r="439" spans="1:10" x14ac:dyDescent="0.15">
      <c r="A439" s="15"/>
      <c r="H439" s="7"/>
      <c r="I439" s="7"/>
      <c r="J439" s="7"/>
    </row>
    <row r="440" spans="1:10" x14ac:dyDescent="0.15">
      <c r="A440" s="15"/>
      <c r="H440" s="7"/>
      <c r="I440" s="7"/>
      <c r="J440" s="7"/>
    </row>
    <row r="441" spans="1:10" x14ac:dyDescent="0.15">
      <c r="A441" s="15"/>
      <c r="H441" s="7"/>
      <c r="I441" s="7"/>
      <c r="J441" s="7"/>
    </row>
    <row r="442" spans="1:10" x14ac:dyDescent="0.15">
      <c r="A442" s="15"/>
      <c r="H442" s="7"/>
      <c r="I442" s="7"/>
      <c r="J442" s="7"/>
    </row>
    <row r="443" spans="1:10" x14ac:dyDescent="0.15">
      <c r="A443" s="15"/>
      <c r="H443" s="7"/>
      <c r="I443" s="7"/>
      <c r="J443" s="7"/>
    </row>
    <row r="444" spans="1:10" x14ac:dyDescent="0.15">
      <c r="A444" s="15"/>
      <c r="H444" s="7"/>
      <c r="I444" s="7"/>
      <c r="J444" s="7"/>
    </row>
    <row r="445" spans="1:10" x14ac:dyDescent="0.15">
      <c r="A445" s="15"/>
      <c r="H445" s="7"/>
      <c r="I445" s="7"/>
      <c r="J445" s="7"/>
    </row>
    <row r="446" spans="1:10" x14ac:dyDescent="0.15">
      <c r="A446" s="15"/>
      <c r="H446" s="7"/>
      <c r="I446" s="7"/>
      <c r="J446" s="7"/>
    </row>
    <row r="447" spans="1:10" x14ac:dyDescent="0.15">
      <c r="A447" s="15"/>
      <c r="H447" s="7"/>
      <c r="I447" s="7"/>
      <c r="J447" s="7"/>
    </row>
    <row r="448" spans="1:10" x14ac:dyDescent="0.15">
      <c r="A448" s="15"/>
      <c r="H448" s="7"/>
      <c r="I448" s="7"/>
      <c r="J448" s="7"/>
    </row>
    <row r="449" spans="1:10" x14ac:dyDescent="0.15">
      <c r="A449" s="15"/>
      <c r="H449" s="7"/>
      <c r="I449" s="7"/>
      <c r="J449" s="7"/>
    </row>
    <row r="450" spans="1:10" x14ac:dyDescent="0.15">
      <c r="A450" s="15"/>
      <c r="H450" s="7"/>
      <c r="I450" s="7"/>
      <c r="J450" s="7"/>
    </row>
    <row r="451" spans="1:10" x14ac:dyDescent="0.15">
      <c r="A451" s="15"/>
      <c r="H451" s="7"/>
      <c r="I451" s="7"/>
      <c r="J451" s="7"/>
    </row>
    <row r="452" spans="1:10" x14ac:dyDescent="0.15">
      <c r="A452" s="15"/>
      <c r="H452" s="7"/>
      <c r="I452" s="7"/>
      <c r="J452" s="7"/>
    </row>
    <row r="453" spans="1:10" x14ac:dyDescent="0.15">
      <c r="A453" s="15"/>
      <c r="H453" s="7"/>
      <c r="I453" s="7"/>
      <c r="J453" s="7"/>
    </row>
    <row r="454" spans="1:10" x14ac:dyDescent="0.15">
      <c r="A454" s="15"/>
      <c r="H454" s="7"/>
      <c r="I454" s="7"/>
      <c r="J454" s="7"/>
    </row>
    <row r="455" spans="1:10" x14ac:dyDescent="0.15">
      <c r="A455" s="15"/>
      <c r="H455" s="7"/>
      <c r="I455" s="7"/>
      <c r="J455" s="7"/>
    </row>
    <row r="456" spans="1:10" x14ac:dyDescent="0.15">
      <c r="A456" s="15"/>
      <c r="H456" s="7"/>
      <c r="I456" s="7"/>
      <c r="J456" s="7"/>
    </row>
    <row r="457" spans="1:10" x14ac:dyDescent="0.15">
      <c r="A457" s="15"/>
      <c r="H457" s="7"/>
      <c r="I457" s="7"/>
      <c r="J457" s="7"/>
    </row>
    <row r="458" spans="1:10" x14ac:dyDescent="0.15">
      <c r="A458" s="15"/>
      <c r="H458" s="7"/>
      <c r="I458" s="7"/>
      <c r="J458" s="7"/>
    </row>
    <row r="459" spans="1:10" x14ac:dyDescent="0.15">
      <c r="A459" s="15"/>
      <c r="H459" s="7"/>
      <c r="I459" s="7"/>
      <c r="J459" s="7"/>
    </row>
    <row r="460" spans="1:10" x14ac:dyDescent="0.15">
      <c r="A460" s="15"/>
      <c r="H460" s="7"/>
      <c r="I460" s="7"/>
      <c r="J460" s="7"/>
    </row>
    <row r="461" spans="1:10" x14ac:dyDescent="0.15">
      <c r="A461" s="15"/>
      <c r="H461" s="7"/>
      <c r="I461" s="7"/>
      <c r="J461" s="7"/>
    </row>
    <row r="462" spans="1:10" x14ac:dyDescent="0.15">
      <c r="A462" s="15"/>
      <c r="H462" s="7"/>
      <c r="I462" s="7"/>
      <c r="J462" s="7"/>
    </row>
    <row r="463" spans="1:10" x14ac:dyDescent="0.15">
      <c r="A463" s="15"/>
      <c r="H463" s="7"/>
      <c r="I463" s="7"/>
      <c r="J463" s="7"/>
    </row>
    <row r="464" spans="1:10" x14ac:dyDescent="0.15">
      <c r="A464" s="15"/>
      <c r="H464" s="7"/>
      <c r="I464" s="7"/>
      <c r="J464" s="7"/>
    </row>
    <row r="465" spans="1:10" x14ac:dyDescent="0.15">
      <c r="A465" s="15"/>
      <c r="H465" s="7"/>
      <c r="I465" s="7"/>
      <c r="J465" s="7"/>
    </row>
    <row r="466" spans="1:10" x14ac:dyDescent="0.15">
      <c r="A466" s="15"/>
      <c r="H466" s="7"/>
      <c r="I466" s="7"/>
      <c r="J466" s="7"/>
    </row>
    <row r="467" spans="1:10" x14ac:dyDescent="0.15">
      <c r="A467" s="15"/>
      <c r="H467" s="7"/>
      <c r="I467" s="7"/>
      <c r="J467" s="7"/>
    </row>
    <row r="468" spans="1:10" x14ac:dyDescent="0.15">
      <c r="A468" s="15"/>
      <c r="H468" s="7"/>
      <c r="I468" s="7"/>
      <c r="J468" s="7"/>
    </row>
    <row r="469" spans="1:10" x14ac:dyDescent="0.15">
      <c r="A469" s="15"/>
      <c r="H469" s="7"/>
      <c r="I469" s="7"/>
      <c r="J469" s="7"/>
    </row>
    <row r="470" spans="1:10" x14ac:dyDescent="0.15">
      <c r="A470" s="15"/>
      <c r="H470" s="7"/>
      <c r="I470" s="7"/>
      <c r="J470" s="7"/>
    </row>
    <row r="471" spans="1:10" x14ac:dyDescent="0.15">
      <c r="A471" s="15"/>
      <c r="H471" s="7"/>
      <c r="I471" s="7"/>
      <c r="J471" s="7"/>
    </row>
    <row r="472" spans="1:10" x14ac:dyDescent="0.15">
      <c r="A472" s="15"/>
      <c r="H472" s="7"/>
      <c r="I472" s="7"/>
      <c r="J472" s="7"/>
    </row>
    <row r="473" spans="1:10" x14ac:dyDescent="0.15">
      <c r="A473" s="15"/>
      <c r="H473" s="7"/>
      <c r="I473" s="7"/>
      <c r="J473" s="7"/>
    </row>
    <row r="474" spans="1:10" x14ac:dyDescent="0.15">
      <c r="A474" s="15"/>
      <c r="H474" s="7"/>
      <c r="I474" s="7"/>
      <c r="J474" s="7"/>
    </row>
    <row r="475" spans="1:10" x14ac:dyDescent="0.15">
      <c r="A475" s="15"/>
      <c r="H475" s="7"/>
      <c r="I475" s="7"/>
      <c r="J475" s="7"/>
    </row>
    <row r="476" spans="1:10" x14ac:dyDescent="0.15">
      <c r="A476" s="15"/>
      <c r="H476" s="7"/>
      <c r="I476" s="7"/>
      <c r="J476" s="7"/>
    </row>
    <row r="477" spans="1:10" x14ac:dyDescent="0.15">
      <c r="A477" s="15"/>
      <c r="H477" s="7"/>
      <c r="I477" s="7"/>
      <c r="J477" s="7"/>
    </row>
    <row r="478" spans="1:10" x14ac:dyDescent="0.15">
      <c r="A478" s="15"/>
      <c r="H478" s="7"/>
      <c r="I478" s="7"/>
      <c r="J478" s="7"/>
    </row>
    <row r="479" spans="1:10" x14ac:dyDescent="0.15">
      <c r="A479" s="15"/>
      <c r="H479" s="7"/>
      <c r="I479" s="7"/>
      <c r="J479" s="7"/>
    </row>
    <row r="480" spans="1:10" x14ac:dyDescent="0.15">
      <c r="A480" s="15"/>
      <c r="H480" s="7"/>
      <c r="I480" s="7"/>
      <c r="J480" s="7"/>
    </row>
    <row r="481" spans="1:10" x14ac:dyDescent="0.15">
      <c r="A481" s="15"/>
      <c r="H481" s="7"/>
      <c r="I481" s="7"/>
      <c r="J481" s="7"/>
    </row>
    <row r="482" spans="1:10" x14ac:dyDescent="0.15">
      <c r="A482" s="15"/>
      <c r="H482" s="7"/>
      <c r="I482" s="7"/>
      <c r="J482" s="7"/>
    </row>
    <row r="483" spans="1:10" x14ac:dyDescent="0.15">
      <c r="A483" s="15"/>
      <c r="H483" s="7"/>
      <c r="I483" s="7"/>
      <c r="J483" s="7"/>
    </row>
    <row r="484" spans="1:10" x14ac:dyDescent="0.15">
      <c r="A484" s="15"/>
      <c r="H484" s="7"/>
      <c r="I484" s="7"/>
      <c r="J484" s="7"/>
    </row>
    <row r="485" spans="1:10" x14ac:dyDescent="0.15">
      <c r="A485" s="15"/>
      <c r="H485" s="7"/>
      <c r="I485" s="7"/>
      <c r="J485" s="7"/>
    </row>
    <row r="486" spans="1:10" x14ac:dyDescent="0.15">
      <c r="A486" s="15"/>
      <c r="H486" s="7"/>
      <c r="I486" s="7"/>
      <c r="J486" s="7"/>
    </row>
    <row r="487" spans="1:10" x14ac:dyDescent="0.15">
      <c r="A487" s="15"/>
      <c r="H487" s="7"/>
      <c r="I487" s="7"/>
      <c r="J487" s="7"/>
    </row>
    <row r="488" spans="1:10" x14ac:dyDescent="0.15">
      <c r="A488" s="15"/>
      <c r="H488" s="7"/>
      <c r="I488" s="7"/>
      <c r="J488" s="7"/>
    </row>
    <row r="489" spans="1:10" x14ac:dyDescent="0.15">
      <c r="A489" s="15"/>
      <c r="H489" s="7"/>
      <c r="I489" s="7"/>
      <c r="J489" s="7"/>
    </row>
    <row r="490" spans="1:10" x14ac:dyDescent="0.15">
      <c r="A490" s="15"/>
      <c r="H490" s="7"/>
      <c r="I490" s="7"/>
      <c r="J490" s="7"/>
    </row>
    <row r="491" spans="1:10" x14ac:dyDescent="0.15">
      <c r="A491" s="15"/>
      <c r="H491" s="7"/>
      <c r="I491" s="7"/>
      <c r="J491" s="7"/>
    </row>
    <row r="492" spans="1:10" x14ac:dyDescent="0.15">
      <c r="A492" s="15"/>
      <c r="H492" s="7"/>
      <c r="I492" s="7"/>
      <c r="J492" s="7"/>
    </row>
    <row r="493" spans="1:10" x14ac:dyDescent="0.15">
      <c r="A493" s="15"/>
      <c r="H493" s="7"/>
      <c r="I493" s="7"/>
      <c r="J493" s="7"/>
    </row>
    <row r="494" spans="1:10" x14ac:dyDescent="0.15">
      <c r="A494" s="15"/>
      <c r="H494" s="7"/>
      <c r="I494" s="7"/>
      <c r="J494" s="7"/>
    </row>
    <row r="495" spans="1:10" x14ac:dyDescent="0.15">
      <c r="A495" s="15"/>
      <c r="H495" s="7"/>
      <c r="I495" s="7"/>
      <c r="J495" s="7"/>
    </row>
    <row r="496" spans="1:10" x14ac:dyDescent="0.15">
      <c r="A496" s="15"/>
      <c r="H496" s="7"/>
      <c r="I496" s="7"/>
      <c r="J496" s="7"/>
    </row>
    <row r="497" spans="1:10" x14ac:dyDescent="0.15">
      <c r="A497" s="15"/>
      <c r="H497" s="7"/>
      <c r="I497" s="7"/>
      <c r="J497" s="7"/>
    </row>
    <row r="498" spans="1:10" x14ac:dyDescent="0.15">
      <c r="A498" s="15"/>
      <c r="H498" s="7"/>
      <c r="I498" s="7"/>
      <c r="J498" s="7"/>
    </row>
    <row r="499" spans="1:10" x14ac:dyDescent="0.15">
      <c r="A499" s="15"/>
      <c r="H499" s="7"/>
      <c r="I499" s="7"/>
      <c r="J499" s="7"/>
    </row>
    <row r="500" spans="1:10" x14ac:dyDescent="0.15">
      <c r="A500" s="15"/>
      <c r="H500" s="7"/>
      <c r="I500" s="7"/>
      <c r="J500" s="7"/>
    </row>
    <row r="501" spans="1:10" x14ac:dyDescent="0.15">
      <c r="A501" s="15"/>
      <c r="H501" s="7"/>
      <c r="I501" s="7"/>
      <c r="J501" s="7"/>
    </row>
    <row r="502" spans="1:10" x14ac:dyDescent="0.15">
      <c r="A502" s="15"/>
      <c r="H502" s="7"/>
      <c r="I502" s="7"/>
      <c r="J502" s="7"/>
    </row>
    <row r="503" spans="1:10" x14ac:dyDescent="0.15">
      <c r="A503" s="15"/>
      <c r="H503" s="7"/>
      <c r="I503" s="7"/>
      <c r="J503" s="7"/>
    </row>
    <row r="504" spans="1:10" x14ac:dyDescent="0.15">
      <c r="A504" s="15"/>
      <c r="H504" s="7"/>
      <c r="I504" s="7"/>
      <c r="J504" s="7"/>
    </row>
    <row r="505" spans="1:10" x14ac:dyDescent="0.15">
      <c r="A505" s="15"/>
      <c r="H505" s="7"/>
      <c r="I505" s="7"/>
      <c r="J505" s="7"/>
    </row>
    <row r="506" spans="1:10" x14ac:dyDescent="0.15">
      <c r="A506" s="15"/>
      <c r="H506" s="7"/>
      <c r="I506" s="7"/>
      <c r="J506" s="7"/>
    </row>
    <row r="507" spans="1:10" x14ac:dyDescent="0.15">
      <c r="A507" s="15"/>
      <c r="H507" s="7"/>
      <c r="I507" s="7"/>
      <c r="J507" s="7"/>
    </row>
    <row r="508" spans="1:10" x14ac:dyDescent="0.15">
      <c r="A508" s="15"/>
      <c r="H508" s="7"/>
      <c r="I508" s="7"/>
      <c r="J508" s="7"/>
    </row>
    <row r="509" spans="1:10" x14ac:dyDescent="0.15">
      <c r="A509" s="15"/>
      <c r="H509" s="7"/>
      <c r="I509" s="7"/>
      <c r="J509" s="7"/>
    </row>
    <row r="510" spans="1:10" x14ac:dyDescent="0.15">
      <c r="A510" s="15"/>
      <c r="H510" s="7"/>
      <c r="I510" s="7"/>
      <c r="J510" s="7"/>
    </row>
    <row r="511" spans="1:10" x14ac:dyDescent="0.15">
      <c r="A511" s="15"/>
      <c r="H511" s="7"/>
      <c r="I511" s="7"/>
      <c r="J511" s="7"/>
    </row>
    <row r="512" spans="1:10" x14ac:dyDescent="0.15">
      <c r="A512" s="15"/>
      <c r="H512" s="7"/>
      <c r="I512" s="7"/>
      <c r="J512" s="7"/>
    </row>
    <row r="513" spans="1:10" x14ac:dyDescent="0.15">
      <c r="A513" s="15"/>
      <c r="H513" s="7"/>
      <c r="I513" s="7"/>
      <c r="J513" s="7"/>
    </row>
    <row r="514" spans="1:10" x14ac:dyDescent="0.15">
      <c r="A514" s="15"/>
      <c r="H514" s="7"/>
      <c r="I514" s="7"/>
      <c r="J514" s="7"/>
    </row>
    <row r="515" spans="1:10" x14ac:dyDescent="0.15">
      <c r="A515" s="15"/>
      <c r="H515" s="7"/>
      <c r="I515" s="7"/>
      <c r="J515" s="7"/>
    </row>
    <row r="516" spans="1:10" x14ac:dyDescent="0.15">
      <c r="A516" s="15"/>
      <c r="H516" s="7"/>
      <c r="I516" s="7"/>
      <c r="J516" s="7"/>
    </row>
    <row r="517" spans="1:10" x14ac:dyDescent="0.15">
      <c r="A517" s="15"/>
      <c r="H517" s="7"/>
      <c r="I517" s="7"/>
      <c r="J517" s="7"/>
    </row>
    <row r="518" spans="1:10" x14ac:dyDescent="0.15">
      <c r="A518" s="15"/>
      <c r="H518" s="7"/>
      <c r="I518" s="7"/>
      <c r="J518" s="7"/>
    </row>
    <row r="519" spans="1:10" x14ac:dyDescent="0.15">
      <c r="A519" s="15"/>
      <c r="H519" s="7"/>
      <c r="I519" s="7"/>
      <c r="J519" s="7"/>
    </row>
    <row r="520" spans="1:10" x14ac:dyDescent="0.15">
      <c r="A520" s="15"/>
      <c r="H520" s="7"/>
      <c r="I520" s="7"/>
      <c r="J520" s="7"/>
    </row>
    <row r="521" spans="1:10" x14ac:dyDescent="0.15">
      <c r="A521" s="15"/>
      <c r="H521" s="7"/>
      <c r="I521" s="7"/>
      <c r="J521" s="7"/>
    </row>
    <row r="522" spans="1:10" x14ac:dyDescent="0.15">
      <c r="A522" s="15"/>
      <c r="H522" s="7"/>
      <c r="I522" s="7"/>
      <c r="J522" s="7"/>
    </row>
    <row r="523" spans="1:10" x14ac:dyDescent="0.15">
      <c r="A523" s="15"/>
      <c r="H523" s="7"/>
      <c r="I523" s="7"/>
      <c r="J523" s="7"/>
    </row>
    <row r="524" spans="1:10" x14ac:dyDescent="0.15">
      <c r="A524" s="15"/>
      <c r="H524" s="7"/>
      <c r="I524" s="7"/>
      <c r="J524" s="7"/>
    </row>
    <row r="525" spans="1:10" x14ac:dyDescent="0.15">
      <c r="A525" s="15"/>
      <c r="H525" s="7"/>
      <c r="I525" s="7"/>
      <c r="J525" s="7"/>
    </row>
    <row r="526" spans="1:10" x14ac:dyDescent="0.15">
      <c r="A526" s="15"/>
      <c r="H526" s="7"/>
      <c r="I526" s="7"/>
      <c r="J526" s="7"/>
    </row>
    <row r="527" spans="1:10" x14ac:dyDescent="0.15">
      <c r="A527" s="15"/>
      <c r="H527" s="7"/>
      <c r="I527" s="7"/>
      <c r="J527" s="7"/>
    </row>
    <row r="528" spans="1:10" x14ac:dyDescent="0.15">
      <c r="A528" s="15"/>
      <c r="H528" s="7"/>
      <c r="I528" s="7"/>
      <c r="J528" s="7"/>
    </row>
    <row r="529" spans="1:10" x14ac:dyDescent="0.15">
      <c r="A529" s="15"/>
      <c r="H529" s="7"/>
      <c r="I529" s="7"/>
      <c r="J529" s="7"/>
    </row>
    <row r="530" spans="1:10" x14ac:dyDescent="0.15">
      <c r="A530" s="15"/>
      <c r="H530" s="7"/>
      <c r="I530" s="7"/>
      <c r="J530" s="7"/>
    </row>
    <row r="531" spans="1:10" x14ac:dyDescent="0.15">
      <c r="A531" s="15"/>
      <c r="H531" s="7"/>
      <c r="I531" s="7"/>
      <c r="J531" s="7"/>
    </row>
    <row r="532" spans="1:10" x14ac:dyDescent="0.15">
      <c r="A532" s="15"/>
      <c r="H532" s="7"/>
      <c r="I532" s="7"/>
      <c r="J532" s="7"/>
    </row>
    <row r="533" spans="1:10" x14ac:dyDescent="0.15">
      <c r="A533" s="15"/>
      <c r="H533" s="7"/>
      <c r="I533" s="7"/>
      <c r="J533" s="7"/>
    </row>
    <row r="534" spans="1:10" x14ac:dyDescent="0.15">
      <c r="A534" s="15"/>
      <c r="H534" s="7"/>
      <c r="I534" s="7"/>
      <c r="J534" s="7"/>
    </row>
    <row r="535" spans="1:10" x14ac:dyDescent="0.15">
      <c r="A535" s="15"/>
      <c r="H535" s="7"/>
      <c r="I535" s="7"/>
      <c r="J535" s="7"/>
    </row>
    <row r="536" spans="1:10" x14ac:dyDescent="0.15">
      <c r="A536" s="15"/>
      <c r="H536" s="7"/>
      <c r="I536" s="7"/>
      <c r="J536" s="7"/>
    </row>
    <row r="537" spans="1:10" x14ac:dyDescent="0.15">
      <c r="A537" s="15"/>
      <c r="H537" s="7"/>
      <c r="I537" s="7"/>
      <c r="J537" s="7"/>
    </row>
    <row r="538" spans="1:10" x14ac:dyDescent="0.15">
      <c r="A538" s="15"/>
      <c r="H538" s="7"/>
      <c r="I538" s="7"/>
      <c r="J538" s="7"/>
    </row>
    <row r="539" spans="1:10" x14ac:dyDescent="0.15">
      <c r="A539" s="15"/>
      <c r="H539" s="7"/>
      <c r="I539" s="7"/>
      <c r="J539" s="7"/>
    </row>
    <row r="540" spans="1:10" x14ac:dyDescent="0.15">
      <c r="A540" s="15"/>
      <c r="H540" s="7"/>
      <c r="I540" s="7"/>
      <c r="J540" s="7"/>
    </row>
    <row r="541" spans="1:10" x14ac:dyDescent="0.15">
      <c r="A541" s="15"/>
      <c r="H541" s="7"/>
      <c r="I541" s="7"/>
      <c r="J541" s="7"/>
    </row>
    <row r="542" spans="1:10" x14ac:dyDescent="0.15">
      <c r="A542" s="15"/>
      <c r="H542" s="7"/>
      <c r="I542" s="7"/>
      <c r="J542" s="7"/>
    </row>
    <row r="543" spans="1:10" x14ac:dyDescent="0.15">
      <c r="A543" s="15"/>
      <c r="H543" s="7"/>
      <c r="I543" s="7"/>
      <c r="J543" s="7"/>
    </row>
    <row r="544" spans="1:10" x14ac:dyDescent="0.15">
      <c r="A544" s="15"/>
      <c r="H544" s="7"/>
      <c r="I544" s="7"/>
      <c r="J544" s="7"/>
    </row>
    <row r="545" spans="1:10" x14ac:dyDescent="0.15">
      <c r="A545" s="15"/>
      <c r="H545" s="7"/>
      <c r="I545" s="7"/>
      <c r="J545" s="7"/>
    </row>
    <row r="546" spans="1:10" x14ac:dyDescent="0.15">
      <c r="A546" s="15"/>
      <c r="H546" s="7"/>
      <c r="I546" s="7"/>
      <c r="J546" s="7"/>
    </row>
    <row r="547" spans="1:10" x14ac:dyDescent="0.15">
      <c r="A547" s="15"/>
      <c r="H547" s="7"/>
      <c r="I547" s="7"/>
      <c r="J547" s="7"/>
    </row>
    <row r="548" spans="1:10" x14ac:dyDescent="0.15">
      <c r="A548" s="15"/>
      <c r="H548" s="7"/>
      <c r="I548" s="7"/>
      <c r="J548" s="7"/>
    </row>
    <row r="549" spans="1:10" x14ac:dyDescent="0.15">
      <c r="A549" s="15"/>
      <c r="H549" s="7"/>
      <c r="I549" s="7"/>
      <c r="J549" s="7"/>
    </row>
    <row r="550" spans="1:10" x14ac:dyDescent="0.15">
      <c r="A550" s="15"/>
      <c r="H550" s="7"/>
      <c r="I550" s="7"/>
      <c r="J550" s="7"/>
    </row>
    <row r="551" spans="1:10" x14ac:dyDescent="0.15">
      <c r="A551" s="15"/>
      <c r="H551" s="7"/>
      <c r="I551" s="7"/>
      <c r="J551" s="7"/>
    </row>
    <row r="552" spans="1:10" x14ac:dyDescent="0.15">
      <c r="A552" s="15"/>
      <c r="H552" s="7"/>
      <c r="I552" s="7"/>
      <c r="J552" s="7"/>
    </row>
    <row r="553" spans="1:10" x14ac:dyDescent="0.15">
      <c r="A553" s="15"/>
      <c r="H553" s="7"/>
      <c r="I553" s="7"/>
      <c r="J553" s="7"/>
    </row>
    <row r="554" spans="1:10" x14ac:dyDescent="0.15">
      <c r="A554" s="15"/>
      <c r="H554" s="7"/>
      <c r="I554" s="7"/>
      <c r="J554" s="7"/>
    </row>
    <row r="555" spans="1:10" x14ac:dyDescent="0.15">
      <c r="A555" s="15"/>
      <c r="H555" s="7"/>
      <c r="I555" s="7"/>
      <c r="J555" s="7"/>
    </row>
    <row r="556" spans="1:10" x14ac:dyDescent="0.15">
      <c r="A556" s="15"/>
      <c r="H556" s="7"/>
      <c r="I556" s="7"/>
      <c r="J556" s="7"/>
    </row>
    <row r="557" spans="1:10" x14ac:dyDescent="0.15">
      <c r="A557" s="15"/>
      <c r="H557" s="7"/>
      <c r="I557" s="7"/>
      <c r="J557" s="7"/>
    </row>
    <row r="558" spans="1:10" x14ac:dyDescent="0.15">
      <c r="A558" s="15"/>
      <c r="H558" s="7"/>
      <c r="I558" s="7"/>
      <c r="J558" s="7"/>
    </row>
    <row r="559" spans="1:10" x14ac:dyDescent="0.15">
      <c r="A559" s="15"/>
      <c r="H559" s="7"/>
      <c r="I559" s="7"/>
      <c r="J559" s="7"/>
    </row>
    <row r="560" spans="1:10" x14ac:dyDescent="0.15">
      <c r="A560" s="15"/>
      <c r="H560" s="7"/>
      <c r="I560" s="7"/>
      <c r="J560" s="7"/>
    </row>
    <row r="561" spans="1:10" x14ac:dyDescent="0.15">
      <c r="A561" s="15"/>
      <c r="H561" s="7"/>
      <c r="I561" s="7"/>
      <c r="J561" s="7"/>
    </row>
    <row r="562" spans="1:10" x14ac:dyDescent="0.15">
      <c r="A562" s="15"/>
      <c r="H562" s="7"/>
      <c r="I562" s="7"/>
      <c r="J562" s="7"/>
    </row>
    <row r="563" spans="1:10" x14ac:dyDescent="0.15">
      <c r="A563" s="15"/>
      <c r="H563" s="7"/>
      <c r="I563" s="7"/>
      <c r="J563" s="7"/>
    </row>
    <row r="564" spans="1:10" x14ac:dyDescent="0.15">
      <c r="A564" s="15"/>
      <c r="H564" s="7"/>
      <c r="I564" s="7"/>
      <c r="J564" s="7"/>
    </row>
    <row r="565" spans="1:10" x14ac:dyDescent="0.15">
      <c r="A565" s="15"/>
      <c r="H565" s="7"/>
      <c r="I565" s="7"/>
      <c r="J565" s="7"/>
    </row>
    <row r="566" spans="1:10" x14ac:dyDescent="0.15">
      <c r="A566" s="15"/>
      <c r="H566" s="7"/>
      <c r="I566" s="7"/>
      <c r="J566" s="7"/>
    </row>
    <row r="567" spans="1:10" x14ac:dyDescent="0.15">
      <c r="A567" s="15"/>
      <c r="H567" s="7"/>
      <c r="I567" s="7"/>
      <c r="J567" s="7"/>
    </row>
    <row r="568" spans="1:10" x14ac:dyDescent="0.15">
      <c r="A568" s="15"/>
      <c r="H568" s="7"/>
      <c r="I568" s="7"/>
      <c r="J568" s="7"/>
    </row>
    <row r="569" spans="1:10" x14ac:dyDescent="0.15">
      <c r="A569" s="15"/>
      <c r="H569" s="7"/>
      <c r="I569" s="7"/>
      <c r="J569" s="7"/>
    </row>
    <row r="570" spans="1:10" x14ac:dyDescent="0.15">
      <c r="A570" s="15"/>
      <c r="H570" s="7"/>
      <c r="I570" s="7"/>
      <c r="J570" s="7"/>
    </row>
    <row r="571" spans="1:10" x14ac:dyDescent="0.15">
      <c r="A571" s="15"/>
      <c r="H571" s="7"/>
      <c r="I571" s="7"/>
      <c r="J571" s="7"/>
    </row>
    <row r="572" spans="1:10" x14ac:dyDescent="0.15">
      <c r="A572" s="15"/>
      <c r="H572" s="7"/>
      <c r="I572" s="7"/>
      <c r="J572" s="7"/>
    </row>
    <row r="573" spans="1:10" x14ac:dyDescent="0.15">
      <c r="A573" s="15"/>
      <c r="H573" s="7"/>
      <c r="I573" s="7"/>
      <c r="J573" s="7"/>
    </row>
    <row r="574" spans="1:10" x14ac:dyDescent="0.15">
      <c r="A574" s="15"/>
      <c r="H574" s="7"/>
      <c r="I574" s="7"/>
      <c r="J574" s="7"/>
    </row>
    <row r="575" spans="1:10" x14ac:dyDescent="0.15">
      <c r="A575" s="15"/>
      <c r="H575" s="7"/>
      <c r="I575" s="7"/>
      <c r="J575" s="7"/>
    </row>
    <row r="576" spans="1:10" x14ac:dyDescent="0.15">
      <c r="A576" s="15"/>
      <c r="H576" s="7"/>
      <c r="I576" s="7"/>
      <c r="J576" s="7"/>
    </row>
    <row r="577" spans="1:10" x14ac:dyDescent="0.15">
      <c r="A577" s="15"/>
      <c r="H577" s="7"/>
      <c r="I577" s="7"/>
      <c r="J577" s="7"/>
    </row>
    <row r="578" spans="1:10" x14ac:dyDescent="0.15">
      <c r="A578" s="15"/>
      <c r="H578" s="7"/>
      <c r="I578" s="7"/>
      <c r="J578" s="7"/>
    </row>
    <row r="579" spans="1:10" x14ac:dyDescent="0.15">
      <c r="A579" s="15"/>
      <c r="H579" s="7"/>
      <c r="I579" s="7"/>
      <c r="J579" s="7"/>
    </row>
    <row r="580" spans="1:10" x14ac:dyDescent="0.15">
      <c r="A580" s="15"/>
      <c r="H580" s="7"/>
      <c r="I580" s="7"/>
      <c r="J580" s="7"/>
    </row>
    <row r="581" spans="1:10" x14ac:dyDescent="0.15">
      <c r="A581" s="15"/>
      <c r="H581" s="7"/>
      <c r="I581" s="7"/>
      <c r="J581" s="7"/>
    </row>
    <row r="582" spans="1:10" x14ac:dyDescent="0.15">
      <c r="A582" s="15"/>
      <c r="H582" s="7"/>
      <c r="I582" s="7"/>
      <c r="J582" s="7"/>
    </row>
    <row r="583" spans="1:10" x14ac:dyDescent="0.15">
      <c r="A583" s="15"/>
      <c r="H583" s="7"/>
      <c r="I583" s="7"/>
      <c r="J583" s="7"/>
    </row>
    <row r="584" spans="1:10" x14ac:dyDescent="0.15">
      <c r="A584" s="15"/>
      <c r="H584" s="7"/>
      <c r="I584" s="7"/>
      <c r="J584" s="7"/>
    </row>
    <row r="585" spans="1:10" x14ac:dyDescent="0.15">
      <c r="A585" s="15"/>
      <c r="H585" s="7"/>
      <c r="I585" s="7"/>
      <c r="J585" s="7"/>
    </row>
    <row r="586" spans="1:10" x14ac:dyDescent="0.15">
      <c r="A586" s="15"/>
      <c r="H586" s="7"/>
      <c r="I586" s="7"/>
      <c r="J586" s="7"/>
    </row>
    <row r="587" spans="1:10" x14ac:dyDescent="0.15">
      <c r="A587" s="15"/>
      <c r="H587" s="7"/>
      <c r="I587" s="7"/>
      <c r="J587" s="7"/>
    </row>
    <row r="588" spans="1:10" x14ac:dyDescent="0.15">
      <c r="A588" s="15"/>
      <c r="H588" s="7"/>
      <c r="I588" s="7"/>
      <c r="J588" s="7"/>
    </row>
    <row r="589" spans="1:10" x14ac:dyDescent="0.15">
      <c r="A589" s="15"/>
      <c r="H589" s="7"/>
      <c r="I589" s="7"/>
      <c r="J589" s="7"/>
    </row>
    <row r="590" spans="1:10" x14ac:dyDescent="0.15">
      <c r="A590" s="15"/>
      <c r="H590" s="7"/>
      <c r="I590" s="7"/>
      <c r="J590" s="7"/>
    </row>
    <row r="591" spans="1:10" x14ac:dyDescent="0.15">
      <c r="A591" s="15"/>
      <c r="H591" s="7"/>
      <c r="I591" s="7"/>
      <c r="J591" s="7"/>
    </row>
    <row r="592" spans="1:10" x14ac:dyDescent="0.15">
      <c r="A592" s="15"/>
      <c r="H592" s="7"/>
      <c r="I592" s="7"/>
      <c r="J592" s="7"/>
    </row>
    <row r="593" spans="1:10" x14ac:dyDescent="0.15">
      <c r="A593" s="15"/>
      <c r="H593" s="7"/>
      <c r="I593" s="7"/>
      <c r="J593" s="7"/>
    </row>
    <row r="594" spans="1:10" x14ac:dyDescent="0.15">
      <c r="A594" s="15"/>
      <c r="H594" s="7"/>
      <c r="I594" s="7"/>
      <c r="J594" s="7"/>
    </row>
    <row r="595" spans="1:10" x14ac:dyDescent="0.15">
      <c r="A595" s="15"/>
      <c r="H595" s="7"/>
      <c r="I595" s="7"/>
      <c r="J595" s="7"/>
    </row>
    <row r="596" spans="1:10" x14ac:dyDescent="0.15">
      <c r="A596" s="15"/>
      <c r="H596" s="7"/>
      <c r="I596" s="7"/>
      <c r="J596" s="7"/>
    </row>
    <row r="597" spans="1:10" x14ac:dyDescent="0.15">
      <c r="A597" s="15"/>
      <c r="H597" s="7"/>
      <c r="I597" s="7"/>
      <c r="J597" s="7"/>
    </row>
    <row r="598" spans="1:10" x14ac:dyDescent="0.15">
      <c r="A598" s="15"/>
      <c r="H598" s="7"/>
      <c r="I598" s="7"/>
      <c r="J598" s="7"/>
    </row>
    <row r="599" spans="1:10" x14ac:dyDescent="0.15">
      <c r="A599" s="15"/>
      <c r="H599" s="7"/>
      <c r="I599" s="7"/>
      <c r="J599" s="7"/>
    </row>
    <row r="600" spans="1:10" x14ac:dyDescent="0.15">
      <c r="A600" s="15"/>
      <c r="H600" s="7"/>
      <c r="I600" s="7"/>
      <c r="J600" s="7"/>
    </row>
    <row r="601" spans="1:10" x14ac:dyDescent="0.15">
      <c r="A601" s="15"/>
      <c r="H601" s="7"/>
      <c r="I601" s="7"/>
      <c r="J601" s="7"/>
    </row>
    <row r="602" spans="1:10" x14ac:dyDescent="0.15">
      <c r="A602" s="15"/>
      <c r="H602" s="7"/>
      <c r="I602" s="7"/>
      <c r="J602" s="7"/>
    </row>
    <row r="603" spans="1:10" x14ac:dyDescent="0.15">
      <c r="A603" s="15"/>
      <c r="H603" s="7"/>
      <c r="I603" s="7"/>
      <c r="J603" s="7"/>
    </row>
    <row r="604" spans="1:10" x14ac:dyDescent="0.15">
      <c r="A604" s="15"/>
      <c r="H604" s="7"/>
      <c r="I604" s="7"/>
      <c r="J604" s="7"/>
    </row>
    <row r="605" spans="1:10" x14ac:dyDescent="0.15">
      <c r="A605" s="15"/>
      <c r="H605" s="7"/>
      <c r="I605" s="7"/>
      <c r="J605" s="7"/>
    </row>
    <row r="606" spans="1:10" x14ac:dyDescent="0.15">
      <c r="A606" s="15"/>
      <c r="H606" s="7"/>
      <c r="I606" s="7"/>
      <c r="J606" s="7"/>
    </row>
    <row r="607" spans="1:10" x14ac:dyDescent="0.15">
      <c r="A607" s="15"/>
      <c r="H607" s="7"/>
      <c r="I607" s="7"/>
      <c r="J607" s="7"/>
    </row>
    <row r="608" spans="1:10" x14ac:dyDescent="0.15">
      <c r="A608" s="15"/>
      <c r="H608" s="7"/>
      <c r="I608" s="7"/>
      <c r="J608" s="7"/>
    </row>
    <row r="609" spans="1:10" x14ac:dyDescent="0.15">
      <c r="A609" s="15"/>
      <c r="H609" s="7"/>
      <c r="I609" s="7"/>
      <c r="J609" s="7"/>
    </row>
    <row r="610" spans="1:10" x14ac:dyDescent="0.15">
      <c r="A610" s="15"/>
      <c r="H610" s="7"/>
      <c r="I610" s="7"/>
      <c r="J610" s="7"/>
    </row>
    <row r="611" spans="1:10" x14ac:dyDescent="0.15">
      <c r="A611" s="15"/>
      <c r="H611" s="7"/>
      <c r="I611" s="7"/>
      <c r="J611" s="7"/>
    </row>
    <row r="612" spans="1:10" x14ac:dyDescent="0.15">
      <c r="A612" s="15"/>
      <c r="H612" s="7"/>
      <c r="I612" s="7"/>
      <c r="J612" s="7"/>
    </row>
    <row r="613" spans="1:10" x14ac:dyDescent="0.15">
      <c r="A613" s="15"/>
      <c r="H613" s="7"/>
      <c r="I613" s="7"/>
      <c r="J613" s="7"/>
    </row>
    <row r="614" spans="1:10" x14ac:dyDescent="0.15">
      <c r="A614" s="15"/>
      <c r="H614" s="7"/>
      <c r="I614" s="7"/>
      <c r="J614" s="7"/>
    </row>
    <row r="615" spans="1:10" x14ac:dyDescent="0.15">
      <c r="A615" s="15"/>
      <c r="H615" s="7"/>
      <c r="I615" s="7"/>
      <c r="J615" s="7"/>
    </row>
    <row r="616" spans="1:10" x14ac:dyDescent="0.15">
      <c r="A616" s="15"/>
      <c r="H616" s="7"/>
      <c r="I616" s="7"/>
      <c r="J616" s="7"/>
    </row>
    <row r="617" spans="1:10" x14ac:dyDescent="0.15">
      <c r="A617" s="15"/>
      <c r="H617" s="7"/>
      <c r="I617" s="7"/>
      <c r="J617" s="7"/>
    </row>
    <row r="618" spans="1:10" x14ac:dyDescent="0.15">
      <c r="A618" s="15"/>
      <c r="H618" s="7"/>
      <c r="I618" s="7"/>
      <c r="J618" s="7"/>
    </row>
    <row r="619" spans="1:10" x14ac:dyDescent="0.15">
      <c r="A619" s="15"/>
      <c r="H619" s="7"/>
      <c r="I619" s="7"/>
      <c r="J619" s="7"/>
    </row>
    <row r="620" spans="1:10" x14ac:dyDescent="0.15">
      <c r="A620" s="15"/>
      <c r="H620" s="7"/>
      <c r="I620" s="7"/>
      <c r="J620" s="7"/>
    </row>
    <row r="621" spans="1:10" x14ac:dyDescent="0.15">
      <c r="A621" s="15"/>
      <c r="H621" s="7"/>
      <c r="I621" s="7"/>
      <c r="J621" s="7"/>
    </row>
    <row r="622" spans="1:10" x14ac:dyDescent="0.15">
      <c r="A622" s="15"/>
      <c r="H622" s="7"/>
      <c r="I622" s="7"/>
      <c r="J622" s="7"/>
    </row>
    <row r="623" spans="1:10" x14ac:dyDescent="0.15">
      <c r="A623" s="15"/>
      <c r="H623" s="7"/>
      <c r="I623" s="7"/>
      <c r="J623" s="7"/>
    </row>
    <row r="624" spans="1:10" x14ac:dyDescent="0.15">
      <c r="A624" s="15"/>
      <c r="H624" s="7"/>
      <c r="I624" s="7"/>
      <c r="J624" s="7"/>
    </row>
    <row r="625" spans="1:10" x14ac:dyDescent="0.15">
      <c r="A625" s="15"/>
      <c r="H625" s="7"/>
      <c r="I625" s="7"/>
      <c r="J625" s="7"/>
    </row>
    <row r="626" spans="1:10" x14ac:dyDescent="0.15">
      <c r="A626" s="15"/>
      <c r="H626" s="7"/>
      <c r="I626" s="7"/>
      <c r="J626" s="7"/>
    </row>
    <row r="627" spans="1:10" x14ac:dyDescent="0.15">
      <c r="A627" s="15"/>
      <c r="H627" s="7"/>
      <c r="I627" s="7"/>
      <c r="J627" s="7"/>
    </row>
    <row r="628" spans="1:10" x14ac:dyDescent="0.15">
      <c r="A628" s="15"/>
      <c r="H628" s="7"/>
      <c r="I628" s="7"/>
      <c r="J628" s="7"/>
    </row>
    <row r="629" spans="1:10" x14ac:dyDescent="0.15">
      <c r="A629" s="15"/>
      <c r="H629" s="7"/>
      <c r="I629" s="7"/>
      <c r="J629" s="7"/>
    </row>
    <row r="630" spans="1:10" x14ac:dyDescent="0.15">
      <c r="A630" s="15"/>
      <c r="H630" s="7"/>
      <c r="I630" s="7"/>
      <c r="J630" s="7"/>
    </row>
    <row r="631" spans="1:10" x14ac:dyDescent="0.15">
      <c r="A631" s="15"/>
      <c r="H631" s="7"/>
      <c r="I631" s="7"/>
      <c r="J631" s="7"/>
    </row>
    <row r="632" spans="1:10" x14ac:dyDescent="0.15">
      <c r="A632" s="15"/>
      <c r="H632" s="7"/>
      <c r="I632" s="7"/>
      <c r="J632" s="7"/>
    </row>
    <row r="633" spans="1:10" x14ac:dyDescent="0.15">
      <c r="A633" s="15"/>
      <c r="H633" s="7"/>
      <c r="I633" s="7"/>
      <c r="J633" s="7"/>
    </row>
    <row r="634" spans="1:10" x14ac:dyDescent="0.15">
      <c r="A634" s="15"/>
      <c r="H634" s="7"/>
      <c r="I634" s="7"/>
      <c r="J634" s="7"/>
    </row>
    <row r="635" spans="1:10" x14ac:dyDescent="0.15">
      <c r="A635" s="15"/>
      <c r="H635" s="7"/>
      <c r="I635" s="7"/>
      <c r="J635" s="7"/>
    </row>
    <row r="636" spans="1:10" x14ac:dyDescent="0.15">
      <c r="A636" s="15"/>
      <c r="H636" s="7"/>
      <c r="I636" s="7"/>
      <c r="J636" s="7"/>
    </row>
    <row r="637" spans="1:10" x14ac:dyDescent="0.15">
      <c r="A637" s="15"/>
      <c r="H637" s="7"/>
      <c r="I637" s="7"/>
      <c r="J637" s="7"/>
    </row>
    <row r="638" spans="1:10" x14ac:dyDescent="0.15">
      <c r="A638" s="15"/>
      <c r="H638" s="7"/>
      <c r="I638" s="7"/>
      <c r="J638" s="7"/>
    </row>
    <row r="639" spans="1:10" x14ac:dyDescent="0.15">
      <c r="A639" s="15"/>
      <c r="H639" s="7"/>
      <c r="I639" s="7"/>
      <c r="J639" s="7"/>
    </row>
    <row r="640" spans="1:10" x14ac:dyDescent="0.15">
      <c r="A640" s="15"/>
      <c r="H640" s="7"/>
      <c r="I640" s="7"/>
      <c r="J640" s="7"/>
    </row>
    <row r="641" spans="1:10" x14ac:dyDescent="0.15">
      <c r="A641" s="15"/>
      <c r="H641" s="7"/>
      <c r="I641" s="7"/>
      <c r="J641" s="7"/>
    </row>
    <row r="642" spans="1:10" x14ac:dyDescent="0.15">
      <c r="A642" s="15"/>
      <c r="H642" s="7"/>
      <c r="I642" s="7"/>
      <c r="J642" s="7"/>
    </row>
    <row r="643" spans="1:10" x14ac:dyDescent="0.15">
      <c r="A643" s="15"/>
      <c r="H643" s="7"/>
      <c r="I643" s="7"/>
      <c r="J643" s="7"/>
    </row>
    <row r="644" spans="1:10" x14ac:dyDescent="0.15">
      <c r="A644" s="15"/>
      <c r="H644" s="7"/>
      <c r="I644" s="7"/>
      <c r="J644" s="7"/>
    </row>
    <row r="645" spans="1:10" x14ac:dyDescent="0.15">
      <c r="A645" s="15"/>
      <c r="H645" s="7"/>
      <c r="I645" s="7"/>
      <c r="J645" s="7"/>
    </row>
    <row r="646" spans="1:10" x14ac:dyDescent="0.15">
      <c r="A646" s="15"/>
      <c r="H646" s="7"/>
      <c r="I646" s="7"/>
      <c r="J646" s="7"/>
    </row>
    <row r="647" spans="1:10" x14ac:dyDescent="0.15">
      <c r="A647" s="15"/>
      <c r="H647" s="7"/>
      <c r="I647" s="7"/>
      <c r="J647" s="7"/>
    </row>
    <row r="648" spans="1:10" x14ac:dyDescent="0.15">
      <c r="A648" s="15"/>
      <c r="H648" s="7"/>
      <c r="I648" s="7"/>
      <c r="J648" s="7"/>
    </row>
    <row r="649" spans="1:10" x14ac:dyDescent="0.15">
      <c r="A649" s="15"/>
      <c r="H649" s="7"/>
      <c r="I649" s="7"/>
      <c r="J649" s="7"/>
    </row>
    <row r="650" spans="1:10" x14ac:dyDescent="0.15">
      <c r="A650" s="15"/>
      <c r="H650" s="7"/>
      <c r="I650" s="7"/>
      <c r="J650" s="7"/>
    </row>
    <row r="651" spans="1:10" x14ac:dyDescent="0.15">
      <c r="A651" s="15"/>
      <c r="H651" s="7"/>
      <c r="I651" s="7"/>
      <c r="J651" s="7"/>
    </row>
    <row r="652" spans="1:10" x14ac:dyDescent="0.15">
      <c r="A652" s="15"/>
      <c r="H652" s="7"/>
      <c r="I652" s="7"/>
      <c r="J652" s="7"/>
    </row>
    <row r="653" spans="1:10" x14ac:dyDescent="0.15">
      <c r="A653" s="15"/>
      <c r="H653" s="7"/>
      <c r="I653" s="7"/>
      <c r="J653" s="7"/>
    </row>
    <row r="654" spans="1:10" x14ac:dyDescent="0.15">
      <c r="A654" s="15"/>
      <c r="H654" s="7"/>
      <c r="I654" s="7"/>
      <c r="J654" s="7"/>
    </row>
    <row r="655" spans="1:10" x14ac:dyDescent="0.15">
      <c r="A655" s="15"/>
      <c r="H655" s="7"/>
      <c r="I655" s="7"/>
      <c r="J655" s="7"/>
    </row>
    <row r="656" spans="1:10" x14ac:dyDescent="0.15">
      <c r="A656" s="15"/>
      <c r="H656" s="7"/>
      <c r="I656" s="7"/>
      <c r="J656" s="7"/>
    </row>
    <row r="657" spans="1:10" x14ac:dyDescent="0.15">
      <c r="A657" s="15"/>
      <c r="H657" s="7"/>
      <c r="I657" s="7"/>
      <c r="J657" s="7"/>
    </row>
    <row r="658" spans="1:10" x14ac:dyDescent="0.15">
      <c r="A658" s="15"/>
      <c r="H658" s="7"/>
      <c r="I658" s="7"/>
      <c r="J658" s="7"/>
    </row>
    <row r="659" spans="1:10" x14ac:dyDescent="0.15">
      <c r="A659" s="15"/>
      <c r="H659" s="7"/>
      <c r="I659" s="7"/>
      <c r="J659" s="7"/>
    </row>
    <row r="660" spans="1:10" x14ac:dyDescent="0.15">
      <c r="A660" s="15"/>
      <c r="H660" s="7"/>
      <c r="I660" s="7"/>
      <c r="J660" s="7"/>
    </row>
    <row r="661" spans="1:10" x14ac:dyDescent="0.15">
      <c r="A661" s="15"/>
      <c r="H661" s="7"/>
      <c r="I661" s="7"/>
      <c r="J661" s="7"/>
    </row>
    <row r="662" spans="1:10" x14ac:dyDescent="0.15">
      <c r="A662" s="15"/>
      <c r="H662" s="7"/>
      <c r="I662" s="7"/>
      <c r="J662" s="7"/>
    </row>
    <row r="663" spans="1:10" x14ac:dyDescent="0.15">
      <c r="A663" s="15"/>
      <c r="H663" s="7"/>
      <c r="I663" s="7"/>
      <c r="J663" s="7"/>
    </row>
    <row r="664" spans="1:10" x14ac:dyDescent="0.15">
      <c r="A664" s="15"/>
      <c r="H664" s="7"/>
      <c r="I664" s="7"/>
      <c r="J664" s="7"/>
    </row>
    <row r="665" spans="1:10" x14ac:dyDescent="0.15">
      <c r="A665" s="15"/>
      <c r="H665" s="7"/>
      <c r="I665" s="7"/>
      <c r="J665" s="7"/>
    </row>
    <row r="666" spans="1:10" x14ac:dyDescent="0.15">
      <c r="A666" s="15"/>
      <c r="H666" s="7"/>
      <c r="I666" s="7"/>
      <c r="J666" s="7"/>
    </row>
    <row r="667" spans="1:10" x14ac:dyDescent="0.15">
      <c r="A667" s="15"/>
      <c r="H667" s="7"/>
      <c r="I667" s="7"/>
      <c r="J667" s="7"/>
    </row>
    <row r="668" spans="1:10" x14ac:dyDescent="0.15">
      <c r="A668" s="15"/>
      <c r="H668" s="7"/>
      <c r="I668" s="7"/>
      <c r="J668" s="7"/>
    </row>
    <row r="669" spans="1:10" x14ac:dyDescent="0.15">
      <c r="A669" s="15"/>
      <c r="H669" s="7"/>
      <c r="I669" s="7"/>
      <c r="J669" s="7"/>
    </row>
    <row r="670" spans="1:10" x14ac:dyDescent="0.15">
      <c r="A670" s="15"/>
      <c r="H670" s="7"/>
      <c r="I670" s="7"/>
      <c r="J670" s="7"/>
    </row>
    <row r="671" spans="1:10" x14ac:dyDescent="0.15">
      <c r="A671" s="15"/>
      <c r="H671" s="7"/>
      <c r="I671" s="7"/>
      <c r="J671" s="7"/>
    </row>
    <row r="672" spans="1:10" x14ac:dyDescent="0.15">
      <c r="A672" s="15"/>
      <c r="H672" s="7"/>
      <c r="I672" s="7"/>
      <c r="J672" s="7"/>
    </row>
    <row r="673" spans="1:10" x14ac:dyDescent="0.15">
      <c r="A673" s="15"/>
      <c r="H673" s="7"/>
      <c r="I673" s="7"/>
      <c r="J673" s="7"/>
    </row>
    <row r="674" spans="1:10" x14ac:dyDescent="0.15">
      <c r="A674" s="15"/>
      <c r="H674" s="7"/>
      <c r="I674" s="7"/>
      <c r="J674" s="7"/>
    </row>
    <row r="675" spans="1:10" x14ac:dyDescent="0.15">
      <c r="A675" s="15"/>
      <c r="H675" s="7"/>
      <c r="I675" s="7"/>
      <c r="J675" s="7"/>
    </row>
    <row r="676" spans="1:10" x14ac:dyDescent="0.15">
      <c r="A676" s="15"/>
      <c r="H676" s="7"/>
      <c r="I676" s="7"/>
      <c r="J676" s="7"/>
    </row>
    <row r="677" spans="1:10" x14ac:dyDescent="0.15">
      <c r="A677" s="15"/>
      <c r="H677" s="7"/>
      <c r="I677" s="7"/>
      <c r="J677" s="7"/>
    </row>
    <row r="678" spans="1:10" x14ac:dyDescent="0.15">
      <c r="A678" s="15"/>
      <c r="H678" s="7"/>
      <c r="I678" s="7"/>
      <c r="J678" s="7"/>
    </row>
    <row r="679" spans="1:10" x14ac:dyDescent="0.15">
      <c r="A679" s="15"/>
      <c r="H679" s="7"/>
      <c r="I679" s="7"/>
      <c r="J679" s="7"/>
    </row>
    <row r="680" spans="1:10" x14ac:dyDescent="0.15">
      <c r="A680" s="15"/>
      <c r="H680" s="7"/>
      <c r="I680" s="7"/>
      <c r="J680" s="7"/>
    </row>
    <row r="681" spans="1:10" x14ac:dyDescent="0.15">
      <c r="A681" s="15"/>
      <c r="H681" s="7"/>
      <c r="I681" s="7"/>
      <c r="J681" s="7"/>
    </row>
    <row r="682" spans="1:10" x14ac:dyDescent="0.15">
      <c r="A682" s="15"/>
      <c r="H682" s="7"/>
      <c r="I682" s="7"/>
      <c r="J682" s="7"/>
    </row>
    <row r="683" spans="1:10" x14ac:dyDescent="0.15">
      <c r="A683" s="15"/>
      <c r="H683" s="7"/>
      <c r="I683" s="7"/>
      <c r="J683" s="7"/>
    </row>
    <row r="684" spans="1:10" x14ac:dyDescent="0.15">
      <c r="A684" s="15"/>
      <c r="H684" s="7"/>
      <c r="I684" s="7"/>
      <c r="J684" s="7"/>
    </row>
    <row r="685" spans="1:10" x14ac:dyDescent="0.15">
      <c r="A685" s="15"/>
      <c r="H685" s="7"/>
      <c r="I685" s="7"/>
      <c r="J685" s="7"/>
    </row>
    <row r="686" spans="1:10" x14ac:dyDescent="0.15">
      <c r="A686" s="15"/>
      <c r="H686" s="7"/>
      <c r="I686" s="7"/>
      <c r="J686" s="7"/>
    </row>
    <row r="687" spans="1:10" x14ac:dyDescent="0.15">
      <c r="A687" s="15"/>
      <c r="H687" s="7"/>
      <c r="I687" s="7"/>
      <c r="J687" s="7"/>
    </row>
    <row r="688" spans="1:10" x14ac:dyDescent="0.15">
      <c r="A688" s="15"/>
      <c r="H688" s="7"/>
      <c r="I688" s="7"/>
      <c r="J688" s="7"/>
    </row>
    <row r="689" spans="1:10" x14ac:dyDescent="0.15">
      <c r="A689" s="15"/>
      <c r="H689" s="7"/>
      <c r="I689" s="7"/>
      <c r="J689" s="7"/>
    </row>
    <row r="690" spans="1:10" x14ac:dyDescent="0.15">
      <c r="A690" s="15"/>
      <c r="H690" s="7"/>
      <c r="I690" s="7"/>
      <c r="J690" s="7"/>
    </row>
    <row r="691" spans="1:10" x14ac:dyDescent="0.15">
      <c r="A691" s="15"/>
      <c r="H691" s="7"/>
      <c r="I691" s="7"/>
      <c r="J691" s="7"/>
    </row>
    <row r="692" spans="1:10" x14ac:dyDescent="0.15">
      <c r="A692" s="15"/>
      <c r="H692" s="7"/>
      <c r="I692" s="7"/>
      <c r="J692" s="7"/>
    </row>
    <row r="693" spans="1:10" x14ac:dyDescent="0.15">
      <c r="A693" s="15"/>
      <c r="H693" s="7"/>
      <c r="I693" s="7"/>
      <c r="J693" s="7"/>
    </row>
    <row r="694" spans="1:10" x14ac:dyDescent="0.15">
      <c r="A694" s="15"/>
      <c r="H694" s="7"/>
      <c r="I694" s="7"/>
      <c r="J694" s="7"/>
    </row>
    <row r="695" spans="1:10" x14ac:dyDescent="0.15">
      <c r="A695" s="15"/>
      <c r="H695" s="7"/>
      <c r="I695" s="7"/>
      <c r="J695" s="7"/>
    </row>
    <row r="696" spans="1:10" x14ac:dyDescent="0.15">
      <c r="A696" s="15"/>
      <c r="H696" s="7"/>
      <c r="I696" s="7"/>
      <c r="J696" s="7"/>
    </row>
    <row r="697" spans="1:10" x14ac:dyDescent="0.15">
      <c r="A697" s="15"/>
      <c r="H697" s="7"/>
      <c r="I697" s="7"/>
      <c r="J697" s="7"/>
    </row>
    <row r="698" spans="1:10" x14ac:dyDescent="0.15">
      <c r="A698" s="15"/>
      <c r="H698" s="7"/>
      <c r="I698" s="7"/>
      <c r="J698" s="7"/>
    </row>
    <row r="699" spans="1:10" x14ac:dyDescent="0.15">
      <c r="A699" s="15"/>
      <c r="H699" s="7"/>
      <c r="I699" s="7"/>
      <c r="J699" s="7"/>
    </row>
    <row r="700" spans="1:10" x14ac:dyDescent="0.15">
      <c r="A700" s="15"/>
      <c r="H700" s="7"/>
      <c r="I700" s="7"/>
      <c r="J700" s="7"/>
    </row>
    <row r="701" spans="1:10" x14ac:dyDescent="0.15">
      <c r="A701" s="15"/>
      <c r="H701" s="7"/>
      <c r="I701" s="7"/>
      <c r="J701" s="7"/>
    </row>
    <row r="702" spans="1:10" x14ac:dyDescent="0.15">
      <c r="A702" s="15"/>
      <c r="H702" s="7"/>
      <c r="I702" s="7"/>
      <c r="J702" s="7"/>
    </row>
    <row r="703" spans="1:10" x14ac:dyDescent="0.15">
      <c r="A703" s="15"/>
      <c r="H703" s="7"/>
      <c r="I703" s="7"/>
      <c r="J703" s="7"/>
    </row>
    <row r="704" spans="1:10" x14ac:dyDescent="0.15">
      <c r="A704" s="15"/>
      <c r="H704" s="7"/>
      <c r="I704" s="7"/>
      <c r="J704" s="7"/>
    </row>
    <row r="705" spans="1:10" x14ac:dyDescent="0.15">
      <c r="A705" s="15"/>
      <c r="H705" s="7"/>
      <c r="I705" s="7"/>
      <c r="J705" s="7"/>
    </row>
    <row r="706" spans="1:10" x14ac:dyDescent="0.15">
      <c r="A706" s="15"/>
      <c r="H706" s="7"/>
      <c r="I706" s="7"/>
      <c r="J706" s="7"/>
    </row>
    <row r="707" spans="1:10" x14ac:dyDescent="0.15">
      <c r="A707" s="15"/>
      <c r="H707" s="7"/>
      <c r="I707" s="7"/>
      <c r="J707" s="7"/>
    </row>
    <row r="708" spans="1:10" x14ac:dyDescent="0.15">
      <c r="A708" s="15"/>
      <c r="H708" s="7"/>
      <c r="I708" s="7"/>
      <c r="J708" s="7"/>
    </row>
    <row r="709" spans="1:10" x14ac:dyDescent="0.15">
      <c r="A709" s="15"/>
      <c r="H709" s="7"/>
      <c r="I709" s="7"/>
      <c r="J709" s="7"/>
    </row>
    <row r="710" spans="1:10" x14ac:dyDescent="0.15">
      <c r="A710" s="15"/>
      <c r="H710" s="7"/>
      <c r="I710" s="7"/>
      <c r="J710" s="7"/>
    </row>
    <row r="711" spans="1:10" x14ac:dyDescent="0.15">
      <c r="A711" s="15"/>
      <c r="H711" s="7"/>
      <c r="I711" s="7"/>
      <c r="J711" s="7"/>
    </row>
    <row r="712" spans="1:10" x14ac:dyDescent="0.15">
      <c r="A712" s="15"/>
      <c r="H712" s="7"/>
      <c r="I712" s="7"/>
      <c r="J712" s="7"/>
    </row>
    <row r="713" spans="1:10" x14ac:dyDescent="0.15">
      <c r="A713" s="15"/>
      <c r="H713" s="7"/>
      <c r="I713" s="7"/>
      <c r="J713" s="7"/>
    </row>
    <row r="714" spans="1:10" x14ac:dyDescent="0.15">
      <c r="A714" s="15"/>
      <c r="H714" s="7"/>
      <c r="I714" s="7"/>
      <c r="J714" s="7"/>
    </row>
    <row r="715" spans="1:10" x14ac:dyDescent="0.15">
      <c r="A715" s="15"/>
      <c r="H715" s="7"/>
      <c r="I715" s="7"/>
      <c r="J715" s="7"/>
    </row>
    <row r="716" spans="1:10" x14ac:dyDescent="0.15">
      <c r="A716" s="15"/>
      <c r="H716" s="7"/>
      <c r="I716" s="7"/>
      <c r="J716" s="7"/>
    </row>
    <row r="717" spans="1:10" x14ac:dyDescent="0.15">
      <c r="A717" s="15"/>
      <c r="H717" s="7"/>
      <c r="I717" s="7"/>
      <c r="J717" s="7"/>
    </row>
    <row r="718" spans="1:10" x14ac:dyDescent="0.15">
      <c r="A718" s="15"/>
      <c r="H718" s="7"/>
      <c r="I718" s="7"/>
      <c r="J718" s="7"/>
    </row>
    <row r="719" spans="1:10" x14ac:dyDescent="0.15">
      <c r="A719" s="15"/>
      <c r="H719" s="7"/>
      <c r="I719" s="7"/>
      <c r="J719" s="7"/>
    </row>
    <row r="720" spans="1:10" x14ac:dyDescent="0.15">
      <c r="A720" s="15"/>
      <c r="H720" s="7"/>
      <c r="I720" s="7"/>
      <c r="J720" s="7"/>
    </row>
    <row r="721" spans="1:10" x14ac:dyDescent="0.15">
      <c r="A721" s="15"/>
      <c r="H721" s="7"/>
      <c r="I721" s="7"/>
      <c r="J721" s="7"/>
    </row>
    <row r="722" spans="1:10" x14ac:dyDescent="0.15">
      <c r="A722" s="15"/>
      <c r="H722" s="7"/>
      <c r="I722" s="7"/>
      <c r="J722" s="7"/>
    </row>
    <row r="723" spans="1:10" x14ac:dyDescent="0.15">
      <c r="A723" s="15"/>
      <c r="H723" s="7"/>
      <c r="I723" s="7"/>
      <c r="J723" s="7"/>
    </row>
    <row r="724" spans="1:10" x14ac:dyDescent="0.15">
      <c r="A724" s="15"/>
      <c r="H724" s="7"/>
      <c r="I724" s="7"/>
      <c r="J724" s="7"/>
    </row>
    <row r="725" spans="1:10" x14ac:dyDescent="0.15">
      <c r="A725" s="15"/>
      <c r="H725" s="7"/>
      <c r="I725" s="7"/>
      <c r="J725" s="7"/>
    </row>
    <row r="726" spans="1:10" x14ac:dyDescent="0.15">
      <c r="A726" s="15"/>
      <c r="H726" s="7"/>
      <c r="I726" s="7"/>
      <c r="J726" s="7"/>
    </row>
    <row r="727" spans="1:10" x14ac:dyDescent="0.15">
      <c r="A727" s="15"/>
      <c r="H727" s="7"/>
      <c r="I727" s="7"/>
      <c r="J727" s="7"/>
    </row>
    <row r="728" spans="1:10" x14ac:dyDescent="0.15">
      <c r="A728" s="15"/>
      <c r="H728" s="7"/>
      <c r="I728" s="7"/>
      <c r="J728" s="7"/>
    </row>
    <row r="729" spans="1:10" x14ac:dyDescent="0.15">
      <c r="A729" s="15"/>
      <c r="H729" s="7"/>
      <c r="I729" s="7"/>
      <c r="J729" s="7"/>
    </row>
    <row r="730" spans="1:10" x14ac:dyDescent="0.15">
      <c r="A730" s="15"/>
      <c r="H730" s="7"/>
      <c r="I730" s="7"/>
      <c r="J730" s="7"/>
    </row>
    <row r="731" spans="1:10" x14ac:dyDescent="0.15">
      <c r="A731" s="15"/>
      <c r="H731" s="7"/>
      <c r="I731" s="7"/>
      <c r="J731" s="7"/>
    </row>
    <row r="732" spans="1:10" x14ac:dyDescent="0.15">
      <c r="A732" s="15"/>
      <c r="H732" s="7"/>
      <c r="I732" s="7"/>
      <c r="J732" s="7"/>
    </row>
    <row r="733" spans="1:10" x14ac:dyDescent="0.15">
      <c r="A733" s="15"/>
      <c r="H733" s="7"/>
      <c r="I733" s="7"/>
      <c r="J733" s="7"/>
    </row>
    <row r="734" spans="1:10" x14ac:dyDescent="0.15">
      <c r="A734" s="15"/>
      <c r="H734" s="7"/>
      <c r="I734" s="7"/>
      <c r="J734" s="7"/>
    </row>
    <row r="735" spans="1:10" x14ac:dyDescent="0.15">
      <c r="A735" s="15"/>
      <c r="H735" s="7"/>
      <c r="I735" s="7"/>
      <c r="J735" s="7"/>
    </row>
    <row r="736" spans="1:10" x14ac:dyDescent="0.15">
      <c r="A736" s="15"/>
      <c r="H736" s="7"/>
      <c r="I736" s="7"/>
      <c r="J736" s="7"/>
    </row>
    <row r="737" spans="1:10" x14ac:dyDescent="0.15">
      <c r="A737" s="15"/>
      <c r="H737" s="7"/>
      <c r="I737" s="7"/>
      <c r="J737" s="7"/>
    </row>
    <row r="738" spans="1:10" x14ac:dyDescent="0.15">
      <c r="A738" s="15"/>
      <c r="H738" s="7"/>
      <c r="I738" s="7"/>
      <c r="J738" s="7"/>
    </row>
    <row r="739" spans="1:10" x14ac:dyDescent="0.15">
      <c r="A739" s="15"/>
      <c r="H739" s="7"/>
      <c r="I739" s="7"/>
      <c r="J739" s="7"/>
    </row>
    <row r="740" spans="1:10" x14ac:dyDescent="0.15">
      <c r="A740" s="15"/>
      <c r="H740" s="7"/>
      <c r="I740" s="7"/>
      <c r="J740" s="7"/>
    </row>
    <row r="741" spans="1:10" x14ac:dyDescent="0.15">
      <c r="A741" s="15"/>
      <c r="H741" s="7"/>
      <c r="I741" s="7"/>
      <c r="J741" s="7"/>
    </row>
    <row r="742" spans="1:10" x14ac:dyDescent="0.15">
      <c r="A742" s="15"/>
      <c r="H742" s="7"/>
      <c r="I742" s="7"/>
      <c r="J742" s="7"/>
    </row>
    <row r="743" spans="1:10" x14ac:dyDescent="0.15">
      <c r="A743" s="15"/>
      <c r="H743" s="7"/>
      <c r="I743" s="7"/>
      <c r="J743" s="7"/>
    </row>
    <row r="744" spans="1:10" x14ac:dyDescent="0.15">
      <c r="A744" s="15"/>
      <c r="H744" s="7"/>
      <c r="I744" s="7"/>
      <c r="J744" s="7"/>
    </row>
    <row r="745" spans="1:10" x14ac:dyDescent="0.15">
      <c r="A745" s="15"/>
      <c r="H745" s="7"/>
      <c r="I745" s="7"/>
      <c r="J745" s="7"/>
    </row>
    <row r="746" spans="1:10" x14ac:dyDescent="0.15">
      <c r="A746" s="15"/>
      <c r="H746" s="7"/>
      <c r="I746" s="7"/>
      <c r="J746" s="7"/>
    </row>
    <row r="747" spans="1:10" x14ac:dyDescent="0.15">
      <c r="A747" s="15"/>
      <c r="H747" s="7"/>
      <c r="I747" s="7"/>
      <c r="J747" s="7"/>
    </row>
    <row r="748" spans="1:10" x14ac:dyDescent="0.15">
      <c r="A748" s="15"/>
      <c r="H748" s="7"/>
      <c r="I748" s="7"/>
      <c r="J748" s="7"/>
    </row>
    <row r="749" spans="1:10" x14ac:dyDescent="0.15">
      <c r="A749" s="15"/>
      <c r="H749" s="7"/>
      <c r="I749" s="7"/>
      <c r="J749" s="7"/>
    </row>
    <row r="750" spans="1:10" x14ac:dyDescent="0.15">
      <c r="A750" s="15"/>
      <c r="H750" s="7"/>
      <c r="I750" s="7"/>
      <c r="J750" s="7"/>
    </row>
    <row r="751" spans="1:10" x14ac:dyDescent="0.15">
      <c r="A751" s="15"/>
      <c r="H751" s="7"/>
      <c r="I751" s="7"/>
      <c r="J751" s="7"/>
    </row>
    <row r="752" spans="1:10" x14ac:dyDescent="0.15">
      <c r="A752" s="15"/>
      <c r="H752" s="7"/>
      <c r="I752" s="7"/>
      <c r="J752" s="7"/>
    </row>
    <row r="753" spans="1:10" x14ac:dyDescent="0.15">
      <c r="A753" s="15"/>
      <c r="H753" s="7"/>
      <c r="I753" s="7"/>
      <c r="J753" s="7"/>
    </row>
    <row r="754" spans="1:10" x14ac:dyDescent="0.15">
      <c r="A754" s="15"/>
      <c r="H754" s="7"/>
      <c r="I754" s="7"/>
      <c r="J754" s="7"/>
    </row>
    <row r="755" spans="1:10" x14ac:dyDescent="0.15">
      <c r="A755" s="15"/>
      <c r="H755" s="7"/>
      <c r="I755" s="7"/>
      <c r="J755" s="7"/>
    </row>
    <row r="756" spans="1:10" x14ac:dyDescent="0.15">
      <c r="A756" s="15"/>
      <c r="H756" s="7"/>
      <c r="I756" s="7"/>
      <c r="J756" s="7"/>
    </row>
    <row r="757" spans="1:10" x14ac:dyDescent="0.15">
      <c r="A757" s="15"/>
      <c r="H757" s="7"/>
      <c r="I757" s="7"/>
      <c r="J757" s="7"/>
    </row>
    <row r="758" spans="1:10" x14ac:dyDescent="0.15">
      <c r="A758" s="15"/>
      <c r="H758" s="7"/>
      <c r="I758" s="7"/>
      <c r="J758" s="7"/>
    </row>
    <row r="759" spans="1:10" x14ac:dyDescent="0.15">
      <c r="A759" s="15"/>
      <c r="H759" s="7"/>
      <c r="I759" s="7"/>
      <c r="J759" s="7"/>
    </row>
    <row r="760" spans="1:10" x14ac:dyDescent="0.15">
      <c r="A760" s="15"/>
      <c r="H760" s="7"/>
      <c r="I760" s="7"/>
      <c r="J760" s="7"/>
    </row>
    <row r="761" spans="1:10" x14ac:dyDescent="0.15">
      <c r="A761" s="15"/>
      <c r="H761" s="7"/>
      <c r="I761" s="7"/>
      <c r="J761" s="7"/>
    </row>
    <row r="762" spans="1:10" x14ac:dyDescent="0.15">
      <c r="A762" s="15"/>
      <c r="H762" s="7"/>
      <c r="I762" s="7"/>
      <c r="J762" s="7"/>
    </row>
    <row r="763" spans="1:10" x14ac:dyDescent="0.15">
      <c r="A763" s="15"/>
      <c r="H763" s="7"/>
      <c r="I763" s="7"/>
      <c r="J763" s="7"/>
    </row>
    <row r="764" spans="1:10" x14ac:dyDescent="0.15">
      <c r="A764" s="15"/>
      <c r="H764" s="7"/>
      <c r="I764" s="7"/>
      <c r="J764" s="7"/>
    </row>
    <row r="765" spans="1:10" x14ac:dyDescent="0.15">
      <c r="A765" s="15"/>
      <c r="H765" s="7"/>
      <c r="I765" s="7"/>
      <c r="J765" s="7"/>
    </row>
    <row r="766" spans="1:10" x14ac:dyDescent="0.15">
      <c r="A766" s="15"/>
      <c r="H766" s="7"/>
      <c r="I766" s="7"/>
      <c r="J766" s="7"/>
    </row>
    <row r="767" spans="1:10" x14ac:dyDescent="0.15">
      <c r="A767" s="15"/>
      <c r="H767" s="7"/>
      <c r="I767" s="7"/>
      <c r="J767" s="7"/>
    </row>
    <row r="768" spans="1:10" x14ac:dyDescent="0.15">
      <c r="A768" s="15"/>
      <c r="H768" s="7"/>
      <c r="I768" s="7"/>
      <c r="J768" s="7"/>
    </row>
    <row r="769" spans="1:10" x14ac:dyDescent="0.15">
      <c r="A769" s="15"/>
      <c r="H769" s="7"/>
      <c r="I769" s="7"/>
      <c r="J769" s="7"/>
    </row>
    <row r="770" spans="1:10" x14ac:dyDescent="0.15">
      <c r="A770" s="15"/>
      <c r="H770" s="7"/>
      <c r="I770" s="7"/>
      <c r="J770" s="7"/>
    </row>
    <row r="771" spans="1:10" x14ac:dyDescent="0.15">
      <c r="A771" s="15"/>
      <c r="H771" s="7"/>
      <c r="I771" s="7"/>
      <c r="J771" s="7"/>
    </row>
    <row r="772" spans="1:10" x14ac:dyDescent="0.15">
      <c r="A772" s="15"/>
      <c r="H772" s="7"/>
      <c r="I772" s="7"/>
      <c r="J772" s="7"/>
    </row>
    <row r="773" spans="1:10" x14ac:dyDescent="0.15">
      <c r="A773" s="15"/>
      <c r="H773" s="7"/>
      <c r="I773" s="7"/>
      <c r="J773" s="7"/>
    </row>
    <row r="774" spans="1:10" x14ac:dyDescent="0.15">
      <c r="A774" s="15"/>
      <c r="H774" s="7"/>
      <c r="I774" s="7"/>
      <c r="J774" s="7"/>
    </row>
    <row r="775" spans="1:10" x14ac:dyDescent="0.15">
      <c r="A775" s="15"/>
      <c r="H775" s="7"/>
      <c r="I775" s="7"/>
      <c r="J775" s="7"/>
    </row>
    <row r="776" spans="1:10" x14ac:dyDescent="0.15">
      <c r="A776" s="15"/>
      <c r="H776" s="7"/>
      <c r="I776" s="7"/>
      <c r="J776" s="7"/>
    </row>
    <row r="777" spans="1:10" x14ac:dyDescent="0.15">
      <c r="A777" s="15"/>
      <c r="H777" s="7"/>
      <c r="I777" s="7"/>
      <c r="J777" s="7"/>
    </row>
    <row r="778" spans="1:10" x14ac:dyDescent="0.15">
      <c r="A778" s="15"/>
      <c r="H778" s="7"/>
      <c r="I778" s="7"/>
      <c r="J778" s="7"/>
    </row>
    <row r="779" spans="1:10" x14ac:dyDescent="0.15">
      <c r="A779" s="15"/>
      <c r="H779" s="7"/>
      <c r="I779" s="7"/>
      <c r="J779" s="7"/>
    </row>
    <row r="780" spans="1:10" x14ac:dyDescent="0.15">
      <c r="A780" s="15"/>
      <c r="H780" s="7"/>
      <c r="I780" s="7"/>
      <c r="J780" s="7"/>
    </row>
    <row r="781" spans="1:10" x14ac:dyDescent="0.15">
      <c r="A781" s="15"/>
      <c r="H781" s="7"/>
      <c r="I781" s="7"/>
      <c r="J781" s="7"/>
    </row>
    <row r="782" spans="1:10" x14ac:dyDescent="0.15">
      <c r="A782" s="15"/>
      <c r="H782" s="7"/>
      <c r="I782" s="7"/>
      <c r="J782" s="7"/>
    </row>
    <row r="783" spans="1:10" x14ac:dyDescent="0.15">
      <c r="A783" s="15"/>
      <c r="H783" s="7"/>
      <c r="I783" s="7"/>
      <c r="J783" s="7"/>
    </row>
    <row r="784" spans="1:10" x14ac:dyDescent="0.15">
      <c r="A784" s="15"/>
      <c r="H784" s="7"/>
      <c r="I784" s="7"/>
      <c r="J784" s="7"/>
    </row>
    <row r="785" spans="1:10" x14ac:dyDescent="0.15">
      <c r="A785" s="15"/>
      <c r="H785" s="7"/>
      <c r="I785" s="7"/>
      <c r="J785" s="7"/>
    </row>
    <row r="786" spans="1:10" x14ac:dyDescent="0.15">
      <c r="A786" s="15"/>
      <c r="H786" s="7"/>
      <c r="I786" s="7"/>
      <c r="J786" s="7"/>
    </row>
    <row r="787" spans="1:10" x14ac:dyDescent="0.15">
      <c r="A787" s="15"/>
      <c r="H787" s="7"/>
      <c r="I787" s="7"/>
      <c r="J787" s="7"/>
    </row>
    <row r="788" spans="1:10" x14ac:dyDescent="0.15">
      <c r="A788" s="15"/>
      <c r="H788" s="7"/>
      <c r="I788" s="7"/>
      <c r="J788" s="7"/>
    </row>
    <row r="789" spans="1:10" x14ac:dyDescent="0.15">
      <c r="A789" s="15"/>
      <c r="H789" s="7"/>
      <c r="I789" s="7"/>
      <c r="J789" s="7"/>
    </row>
    <row r="790" spans="1:10" x14ac:dyDescent="0.15">
      <c r="A790" s="15"/>
      <c r="H790" s="7"/>
      <c r="I790" s="7"/>
      <c r="J790" s="7"/>
    </row>
    <row r="791" spans="1:10" x14ac:dyDescent="0.15">
      <c r="A791" s="15"/>
      <c r="H791" s="7"/>
      <c r="I791" s="7"/>
      <c r="J791" s="7"/>
    </row>
    <row r="792" spans="1:10" x14ac:dyDescent="0.15">
      <c r="A792" s="15"/>
      <c r="H792" s="7"/>
      <c r="I792" s="7"/>
      <c r="J792" s="7"/>
    </row>
    <row r="793" spans="1:10" x14ac:dyDescent="0.15">
      <c r="A793" s="15"/>
      <c r="H793" s="7"/>
      <c r="I793" s="7"/>
      <c r="J793" s="7"/>
    </row>
    <row r="794" spans="1:10" x14ac:dyDescent="0.15">
      <c r="A794" s="15"/>
      <c r="H794" s="7"/>
      <c r="I794" s="7"/>
      <c r="J794" s="7"/>
    </row>
    <row r="795" spans="1:10" x14ac:dyDescent="0.15">
      <c r="A795" s="15"/>
      <c r="H795" s="7"/>
      <c r="I795" s="7"/>
      <c r="J795" s="7"/>
    </row>
    <row r="796" spans="1:10" x14ac:dyDescent="0.15">
      <c r="A796" s="15"/>
      <c r="H796" s="7"/>
      <c r="I796" s="7"/>
      <c r="J796" s="7"/>
    </row>
    <row r="797" spans="1:10" x14ac:dyDescent="0.15">
      <c r="A797" s="15"/>
      <c r="H797" s="7"/>
      <c r="I797" s="7"/>
      <c r="J797" s="7"/>
    </row>
    <row r="798" spans="1:10" x14ac:dyDescent="0.15">
      <c r="A798" s="15"/>
      <c r="H798" s="7"/>
      <c r="I798" s="7"/>
      <c r="J798" s="7"/>
    </row>
    <row r="799" spans="1:10" x14ac:dyDescent="0.15">
      <c r="A799" s="15"/>
      <c r="H799" s="7"/>
      <c r="I799" s="7"/>
      <c r="J799" s="7"/>
    </row>
    <row r="800" spans="1:10" x14ac:dyDescent="0.15">
      <c r="A800" s="15"/>
      <c r="H800" s="7"/>
      <c r="I800" s="7"/>
      <c r="J800" s="7"/>
    </row>
    <row r="801" spans="1:10" x14ac:dyDescent="0.15">
      <c r="A801" s="15"/>
      <c r="H801" s="7"/>
      <c r="I801" s="7"/>
      <c r="J801" s="7"/>
    </row>
    <row r="802" spans="1:10" x14ac:dyDescent="0.15">
      <c r="A802" s="15"/>
      <c r="H802" s="7"/>
      <c r="I802" s="7"/>
      <c r="J802" s="7"/>
    </row>
    <row r="803" spans="1:10" x14ac:dyDescent="0.15">
      <c r="A803" s="15"/>
      <c r="H803" s="7"/>
      <c r="I803" s="7"/>
      <c r="J803" s="7"/>
    </row>
    <row r="804" spans="1:10" x14ac:dyDescent="0.15">
      <c r="A804" s="15"/>
      <c r="H804" s="7"/>
      <c r="I804" s="7"/>
      <c r="J804" s="7"/>
    </row>
    <row r="805" spans="1:10" x14ac:dyDescent="0.15">
      <c r="A805" s="15"/>
      <c r="H805" s="7"/>
      <c r="I805" s="7"/>
      <c r="J805" s="7"/>
    </row>
    <row r="806" spans="1:10" x14ac:dyDescent="0.15">
      <c r="A806" s="15"/>
      <c r="H806" s="7"/>
      <c r="I806" s="7"/>
      <c r="J806" s="7"/>
    </row>
    <row r="807" spans="1:10" x14ac:dyDescent="0.15">
      <c r="A807" s="15"/>
      <c r="H807" s="7"/>
      <c r="I807" s="7"/>
      <c r="J807" s="7"/>
    </row>
    <row r="808" spans="1:10" x14ac:dyDescent="0.15">
      <c r="A808" s="15"/>
      <c r="H808" s="7"/>
      <c r="I808" s="7"/>
      <c r="J808" s="7"/>
    </row>
    <row r="809" spans="1:10" x14ac:dyDescent="0.15">
      <c r="A809" s="15"/>
      <c r="H809" s="7"/>
      <c r="I809" s="7"/>
      <c r="J809" s="7"/>
    </row>
    <row r="810" spans="1:10" x14ac:dyDescent="0.15">
      <c r="A810" s="15"/>
      <c r="H810" s="7"/>
      <c r="I810" s="7"/>
      <c r="J810" s="7"/>
    </row>
    <row r="811" spans="1:10" x14ac:dyDescent="0.15">
      <c r="A811" s="15"/>
      <c r="H811" s="7"/>
      <c r="I811" s="7"/>
      <c r="J811" s="7"/>
    </row>
    <row r="812" spans="1:10" x14ac:dyDescent="0.15">
      <c r="A812" s="15"/>
      <c r="H812" s="7"/>
      <c r="I812" s="7"/>
      <c r="J812" s="7"/>
    </row>
    <row r="813" spans="1:10" x14ac:dyDescent="0.15">
      <c r="A813" s="15"/>
      <c r="H813" s="7"/>
      <c r="I813" s="7"/>
      <c r="J813" s="7"/>
    </row>
    <row r="814" spans="1:10" x14ac:dyDescent="0.15">
      <c r="A814" s="15"/>
      <c r="H814" s="7"/>
      <c r="I814" s="7"/>
      <c r="J814" s="7"/>
    </row>
    <row r="815" spans="1:10" x14ac:dyDescent="0.15">
      <c r="A815" s="15"/>
      <c r="H815" s="7"/>
      <c r="I815" s="7"/>
      <c r="J815" s="7"/>
    </row>
    <row r="816" spans="1:10" x14ac:dyDescent="0.15">
      <c r="A816" s="15"/>
    </row>
    <row r="817" spans="1:1" x14ac:dyDescent="0.15">
      <c r="A817" s="15"/>
    </row>
    <row r="818" spans="1:1" x14ac:dyDescent="0.15">
      <c r="A818" s="15"/>
    </row>
  </sheetData>
  <phoneticPr fontId="2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5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15"/>
  <cols>
    <col min="1" max="1" width="7.625" style="1" customWidth="1"/>
    <col min="2" max="2" width="5.375" style="1" customWidth="1"/>
    <col min="3" max="3" width="8.625" style="5" customWidth="1"/>
    <col min="4" max="4" width="8.875" style="5" customWidth="1"/>
    <col min="5" max="5" width="8.625" style="5" customWidth="1"/>
    <col min="6" max="6" width="8.875" style="5" customWidth="1"/>
    <col min="7" max="7" width="6.875" style="5" customWidth="1"/>
    <col min="8" max="10" width="10.625" style="5" customWidth="1"/>
    <col min="11" max="11" width="9" style="8"/>
    <col min="12" max="12" width="17.625" style="8" customWidth="1"/>
    <col min="13" max="16384" width="9" style="8"/>
  </cols>
  <sheetData>
    <row r="1" spans="1:12" ht="28.5" x14ac:dyDescent="0.15">
      <c r="A1" s="11" t="s">
        <v>5</v>
      </c>
      <c r="B1" s="11" t="s">
        <v>4</v>
      </c>
      <c r="C1" s="12" t="s">
        <v>2</v>
      </c>
      <c r="D1" s="12" t="s">
        <v>0</v>
      </c>
      <c r="E1" s="12" t="s">
        <v>1</v>
      </c>
      <c r="F1" s="12" t="s">
        <v>3</v>
      </c>
      <c r="G1" s="9" t="s">
        <v>15</v>
      </c>
      <c r="H1" s="9" t="s">
        <v>14</v>
      </c>
      <c r="I1" s="9" t="s">
        <v>8</v>
      </c>
      <c r="J1" s="9" t="s">
        <v>13</v>
      </c>
      <c r="K1" s="10" t="s">
        <v>10</v>
      </c>
      <c r="L1" s="13" t="s">
        <v>11</v>
      </c>
    </row>
    <row r="2" spans="1:12" x14ac:dyDescent="0.15">
      <c r="A2" s="14">
        <v>2018</v>
      </c>
      <c r="B2" s="6">
        <v>6</v>
      </c>
      <c r="C2" s="21">
        <v>163.5</v>
      </c>
      <c r="D2" s="21">
        <v>163.5</v>
      </c>
      <c r="E2" s="21">
        <v>142</v>
      </c>
      <c r="F2" s="21">
        <v>147.5</v>
      </c>
      <c r="G2" s="18">
        <v>57</v>
      </c>
      <c r="H2" s="7">
        <v>126785</v>
      </c>
      <c r="I2" s="7">
        <f>H2/G2</f>
        <v>2224.2982456140353</v>
      </c>
      <c r="J2" s="7">
        <v>2015</v>
      </c>
      <c r="K2" s="7">
        <v>0</v>
      </c>
    </row>
    <row r="3" spans="1:12" x14ac:dyDescent="0.15">
      <c r="A3" s="14">
        <v>2019</v>
      </c>
      <c r="B3" s="6">
        <v>6</v>
      </c>
      <c r="C3" s="21">
        <v>149.80000000000001</v>
      </c>
      <c r="D3" s="21">
        <v>176.8</v>
      </c>
      <c r="E3" s="21">
        <v>120.4</v>
      </c>
      <c r="F3" s="21">
        <v>160.69999999999999</v>
      </c>
      <c r="G3" s="18">
        <v>241</v>
      </c>
      <c r="H3" s="7">
        <v>384275</v>
      </c>
      <c r="I3" s="7">
        <f t="shared" ref="I3:I4" si="0">H3/G3</f>
        <v>1594.5020746887967</v>
      </c>
      <c r="J3" s="7">
        <v>20</v>
      </c>
      <c r="K3" s="7">
        <v>3432</v>
      </c>
    </row>
    <row r="4" spans="1:12" x14ac:dyDescent="0.15">
      <c r="A4" s="14">
        <v>2020</v>
      </c>
      <c r="B4" s="6">
        <v>6</v>
      </c>
      <c r="C4" s="21">
        <v>160.1</v>
      </c>
      <c r="D4" s="21">
        <v>174.3</v>
      </c>
      <c r="E4" s="21">
        <v>113.1</v>
      </c>
      <c r="F4" s="21">
        <v>127.5</v>
      </c>
      <c r="G4" s="18">
        <v>245</v>
      </c>
      <c r="H4" s="7">
        <v>1552</v>
      </c>
      <c r="I4" s="7">
        <f t="shared" si="0"/>
        <v>6.33469387755102</v>
      </c>
      <c r="J4" s="7">
        <v>0</v>
      </c>
      <c r="K4" s="7">
        <v>30</v>
      </c>
    </row>
    <row r="5" spans="1:12" x14ac:dyDescent="0.15">
      <c r="A5" s="15"/>
    </row>
    <row r="6" spans="1:12" x14ac:dyDescent="0.15">
      <c r="A6" s="15"/>
    </row>
    <row r="7" spans="1:12" x14ac:dyDescent="0.15">
      <c r="A7" s="15"/>
    </row>
    <row r="8" spans="1:12" x14ac:dyDescent="0.15">
      <c r="A8" s="15"/>
    </row>
    <row r="9" spans="1:12" x14ac:dyDescent="0.15">
      <c r="A9" s="15"/>
    </row>
    <row r="10" spans="1:12" x14ac:dyDescent="0.15">
      <c r="A10" s="15"/>
    </row>
    <row r="11" spans="1:12" x14ac:dyDescent="0.15">
      <c r="A11" s="15"/>
    </row>
    <row r="12" spans="1:12" x14ac:dyDescent="0.15">
      <c r="A12" s="15"/>
    </row>
    <row r="13" spans="1:12" x14ac:dyDescent="0.15">
      <c r="A13" s="15"/>
    </row>
    <row r="14" spans="1:12" x14ac:dyDescent="0.15">
      <c r="A14" s="15"/>
    </row>
    <row r="15" spans="1:12" s="1" customFormat="1" x14ac:dyDescent="0.15">
      <c r="A15" s="15"/>
      <c r="C15" s="5"/>
      <c r="D15" s="5"/>
      <c r="E15" s="5"/>
      <c r="F15" s="5"/>
      <c r="G15" s="5"/>
      <c r="H15" s="5"/>
      <c r="I15" s="5"/>
      <c r="J15" s="5"/>
      <c r="K15" s="8"/>
      <c r="L15" s="8"/>
    </row>
    <row r="16" spans="1:12" s="1" customFormat="1" x14ac:dyDescent="0.15">
      <c r="A16" s="15"/>
      <c r="C16" s="5"/>
      <c r="D16" s="5"/>
      <c r="E16" s="5"/>
      <c r="F16" s="5"/>
      <c r="G16" s="5"/>
      <c r="H16" s="5"/>
      <c r="I16" s="5"/>
      <c r="J16" s="5"/>
      <c r="K16" s="8"/>
      <c r="L16" s="8"/>
    </row>
    <row r="17" spans="1:12" s="1" customFormat="1" x14ac:dyDescent="0.15">
      <c r="A17" s="15"/>
      <c r="C17" s="5"/>
      <c r="D17" s="5"/>
      <c r="E17" s="5"/>
      <c r="F17" s="5"/>
      <c r="G17" s="5"/>
      <c r="H17" s="5"/>
      <c r="I17" s="5"/>
      <c r="J17" s="5"/>
      <c r="K17" s="8"/>
      <c r="L17" s="8"/>
    </row>
    <row r="18" spans="1:12" s="1" customFormat="1" x14ac:dyDescent="0.15">
      <c r="A18" s="15"/>
      <c r="C18" s="5"/>
      <c r="D18" s="5"/>
      <c r="E18" s="5"/>
      <c r="F18" s="5"/>
      <c r="G18" s="5"/>
      <c r="H18" s="5"/>
      <c r="I18" s="5"/>
      <c r="J18" s="5"/>
      <c r="K18" s="8"/>
      <c r="L18" s="8"/>
    </row>
    <row r="19" spans="1:12" s="1" customFormat="1" x14ac:dyDescent="0.15">
      <c r="A19" s="15"/>
      <c r="C19" s="5"/>
      <c r="D19" s="5"/>
      <c r="E19" s="5"/>
      <c r="F19" s="5"/>
      <c r="G19" s="5"/>
      <c r="H19" s="5"/>
      <c r="I19" s="5"/>
      <c r="J19" s="5"/>
      <c r="K19" s="8"/>
      <c r="L19" s="8"/>
    </row>
    <row r="20" spans="1:12" s="1" customFormat="1" x14ac:dyDescent="0.15">
      <c r="A20" s="15"/>
      <c r="C20" s="5"/>
      <c r="D20" s="5"/>
      <c r="E20" s="5"/>
      <c r="F20" s="5"/>
      <c r="G20" s="5"/>
      <c r="H20" s="5"/>
      <c r="I20" s="5"/>
      <c r="J20" s="5"/>
      <c r="K20" s="8"/>
      <c r="L20" s="8"/>
    </row>
    <row r="21" spans="1:12" s="1" customFormat="1" x14ac:dyDescent="0.15">
      <c r="A21" s="15"/>
      <c r="C21" s="5"/>
      <c r="D21" s="5"/>
      <c r="E21" s="5"/>
      <c r="F21" s="5"/>
      <c r="G21" s="5"/>
      <c r="H21" s="5"/>
      <c r="I21" s="5"/>
      <c r="J21" s="5"/>
      <c r="K21" s="8"/>
      <c r="L21" s="8"/>
    </row>
    <row r="22" spans="1:12" s="1" customFormat="1" x14ac:dyDescent="0.15">
      <c r="A22" s="15"/>
      <c r="C22" s="5"/>
      <c r="D22" s="5"/>
      <c r="E22" s="5"/>
      <c r="F22" s="5"/>
      <c r="G22" s="5"/>
      <c r="H22" s="5"/>
      <c r="I22" s="5"/>
      <c r="J22" s="5"/>
      <c r="K22" s="8"/>
      <c r="L22" s="8"/>
    </row>
    <row r="23" spans="1:12" s="1" customFormat="1" x14ac:dyDescent="0.15">
      <c r="A23" s="15"/>
      <c r="C23" s="5"/>
      <c r="D23" s="5"/>
      <c r="E23" s="5"/>
      <c r="F23" s="5"/>
      <c r="G23" s="5"/>
      <c r="H23" s="5"/>
      <c r="I23" s="5"/>
      <c r="J23" s="5"/>
      <c r="K23" s="8"/>
      <c r="L23" s="8"/>
    </row>
    <row r="24" spans="1:12" s="1" customFormat="1" x14ac:dyDescent="0.15">
      <c r="A24" s="15"/>
      <c r="C24" s="5"/>
      <c r="D24" s="5"/>
      <c r="E24" s="5"/>
      <c r="F24" s="5"/>
      <c r="G24" s="5"/>
      <c r="H24" s="5"/>
      <c r="I24" s="5"/>
      <c r="J24" s="5"/>
      <c r="K24" s="8"/>
      <c r="L24" s="8"/>
    </row>
    <row r="25" spans="1:12" s="1" customFormat="1" x14ac:dyDescent="0.15">
      <c r="A25" s="15"/>
      <c r="C25" s="5"/>
      <c r="D25" s="5"/>
      <c r="E25" s="5"/>
      <c r="F25" s="5"/>
      <c r="G25" s="5"/>
      <c r="H25" s="5"/>
      <c r="I25" s="5"/>
      <c r="J25" s="5"/>
      <c r="K25" s="8"/>
      <c r="L25" s="8"/>
    </row>
    <row r="26" spans="1:12" s="1" customFormat="1" x14ac:dyDescent="0.15">
      <c r="A26" s="15"/>
      <c r="C26" s="5"/>
      <c r="D26" s="5"/>
      <c r="E26" s="5"/>
      <c r="F26" s="5"/>
      <c r="G26" s="5"/>
      <c r="H26" s="5"/>
      <c r="I26" s="5"/>
      <c r="J26" s="5"/>
      <c r="K26" s="8"/>
      <c r="L26" s="8"/>
    </row>
    <row r="27" spans="1:12" s="1" customFormat="1" x14ac:dyDescent="0.15">
      <c r="A27" s="15"/>
      <c r="C27" s="5"/>
      <c r="D27" s="5"/>
      <c r="E27" s="5"/>
      <c r="F27" s="5"/>
      <c r="G27" s="5"/>
      <c r="H27" s="5"/>
      <c r="I27" s="5"/>
      <c r="J27" s="5"/>
      <c r="K27" s="8"/>
      <c r="L27" s="8"/>
    </row>
    <row r="28" spans="1:12" s="1" customFormat="1" x14ac:dyDescent="0.15">
      <c r="A28" s="15"/>
      <c r="C28" s="5"/>
      <c r="D28" s="5"/>
      <c r="E28" s="5"/>
      <c r="F28" s="5"/>
      <c r="G28" s="5"/>
      <c r="H28" s="5"/>
      <c r="I28" s="5"/>
      <c r="J28" s="5"/>
      <c r="K28" s="8"/>
      <c r="L28" s="8"/>
    </row>
    <row r="29" spans="1:12" s="1" customFormat="1" x14ac:dyDescent="0.15">
      <c r="A29" s="15"/>
      <c r="C29" s="5"/>
      <c r="D29" s="5"/>
      <c r="E29" s="5"/>
      <c r="F29" s="5"/>
      <c r="G29" s="5"/>
      <c r="H29" s="5"/>
      <c r="I29" s="5"/>
      <c r="J29" s="5"/>
      <c r="K29" s="8"/>
      <c r="L29" s="8"/>
    </row>
    <row r="30" spans="1:12" s="1" customFormat="1" x14ac:dyDescent="0.15">
      <c r="A30" s="15"/>
      <c r="C30" s="5"/>
      <c r="D30" s="5"/>
      <c r="E30" s="5"/>
      <c r="F30" s="5"/>
      <c r="G30" s="5"/>
      <c r="H30" s="5"/>
      <c r="I30" s="5"/>
      <c r="J30" s="5"/>
      <c r="K30" s="8"/>
      <c r="L30" s="8"/>
    </row>
    <row r="31" spans="1:12" s="1" customFormat="1" x14ac:dyDescent="0.15">
      <c r="A31" s="15"/>
      <c r="C31" s="5"/>
      <c r="D31" s="5"/>
      <c r="E31" s="5"/>
      <c r="F31" s="5"/>
      <c r="G31" s="5"/>
      <c r="H31" s="5"/>
      <c r="I31" s="5"/>
      <c r="J31" s="5"/>
      <c r="K31" s="8"/>
      <c r="L31" s="8"/>
    </row>
    <row r="32" spans="1:12" s="1" customFormat="1" x14ac:dyDescent="0.15">
      <c r="A32" s="15"/>
      <c r="C32" s="5"/>
      <c r="D32" s="5"/>
      <c r="E32" s="5"/>
      <c r="F32" s="5"/>
      <c r="G32" s="5"/>
      <c r="H32" s="5"/>
      <c r="I32" s="5"/>
      <c r="J32" s="5"/>
      <c r="K32" s="8"/>
      <c r="L32" s="8"/>
    </row>
    <row r="33" spans="1:12" s="1" customFormat="1" x14ac:dyDescent="0.15">
      <c r="A33" s="15"/>
      <c r="C33" s="5"/>
      <c r="D33" s="5"/>
      <c r="E33" s="5"/>
      <c r="F33" s="5"/>
      <c r="G33" s="5"/>
      <c r="H33" s="5"/>
      <c r="I33" s="5"/>
      <c r="J33" s="5"/>
      <c r="K33" s="8"/>
      <c r="L33" s="8"/>
    </row>
    <row r="34" spans="1:12" s="1" customFormat="1" x14ac:dyDescent="0.15">
      <c r="A34" s="15"/>
      <c r="C34" s="5"/>
      <c r="D34" s="5"/>
      <c r="E34" s="5"/>
      <c r="F34" s="5"/>
      <c r="G34" s="5"/>
      <c r="H34" s="5"/>
      <c r="I34" s="5"/>
      <c r="J34" s="5"/>
      <c r="K34" s="8"/>
      <c r="L34" s="8"/>
    </row>
    <row r="35" spans="1:12" s="1" customFormat="1" x14ac:dyDescent="0.15">
      <c r="A35" s="15"/>
      <c r="C35" s="5"/>
      <c r="D35" s="5"/>
      <c r="E35" s="5"/>
      <c r="F35" s="5"/>
      <c r="G35" s="5"/>
      <c r="H35" s="5"/>
      <c r="I35" s="5"/>
      <c r="J35" s="5"/>
      <c r="K35" s="8"/>
      <c r="L35" s="8"/>
    </row>
    <row r="36" spans="1:12" s="1" customFormat="1" x14ac:dyDescent="0.15">
      <c r="A36" s="15"/>
      <c r="C36" s="5"/>
      <c r="D36" s="5"/>
      <c r="E36" s="5"/>
      <c r="F36" s="5"/>
      <c r="G36" s="5"/>
      <c r="H36" s="5"/>
      <c r="I36" s="5"/>
      <c r="J36" s="5"/>
      <c r="K36" s="8"/>
      <c r="L36" s="8"/>
    </row>
    <row r="37" spans="1:12" s="1" customFormat="1" x14ac:dyDescent="0.15">
      <c r="A37" s="15"/>
      <c r="C37" s="5"/>
      <c r="D37" s="5"/>
      <c r="E37" s="5"/>
      <c r="F37" s="5"/>
      <c r="G37" s="5"/>
      <c r="H37" s="5"/>
      <c r="I37" s="5"/>
      <c r="J37" s="5"/>
      <c r="K37" s="8"/>
      <c r="L37" s="8"/>
    </row>
    <row r="38" spans="1:12" s="1" customFormat="1" x14ac:dyDescent="0.15">
      <c r="A38" s="15"/>
      <c r="C38" s="5"/>
      <c r="D38" s="5"/>
      <c r="E38" s="5"/>
      <c r="F38" s="5"/>
      <c r="G38" s="5"/>
      <c r="H38" s="5"/>
      <c r="I38" s="5"/>
      <c r="J38" s="5"/>
      <c r="K38" s="8"/>
      <c r="L38" s="8"/>
    </row>
    <row r="39" spans="1:12" s="1" customFormat="1" x14ac:dyDescent="0.15">
      <c r="A39" s="15"/>
      <c r="C39" s="5"/>
      <c r="D39" s="5"/>
      <c r="E39" s="5"/>
      <c r="F39" s="5"/>
      <c r="G39" s="5"/>
      <c r="H39" s="5"/>
      <c r="I39" s="5"/>
      <c r="J39" s="5"/>
      <c r="K39" s="8"/>
      <c r="L39" s="8"/>
    </row>
    <row r="40" spans="1:12" s="1" customFormat="1" x14ac:dyDescent="0.15">
      <c r="A40" s="15"/>
      <c r="C40" s="5"/>
      <c r="D40" s="5"/>
      <c r="E40" s="5"/>
      <c r="F40" s="5"/>
      <c r="G40" s="5"/>
      <c r="H40" s="5"/>
      <c r="I40" s="5"/>
      <c r="J40" s="5"/>
      <c r="K40" s="8"/>
      <c r="L40" s="8"/>
    </row>
    <row r="41" spans="1:12" s="1" customFormat="1" x14ac:dyDescent="0.15">
      <c r="A41" s="15"/>
      <c r="C41" s="5"/>
      <c r="D41" s="5"/>
      <c r="E41" s="5"/>
      <c r="F41" s="5"/>
      <c r="G41" s="5"/>
      <c r="H41" s="5"/>
      <c r="I41" s="5"/>
      <c r="J41" s="5"/>
      <c r="K41" s="8"/>
      <c r="L41" s="8"/>
    </row>
    <row r="42" spans="1:12" s="1" customFormat="1" x14ac:dyDescent="0.15">
      <c r="A42" s="15"/>
      <c r="C42" s="5"/>
      <c r="D42" s="5"/>
      <c r="E42" s="5"/>
      <c r="F42" s="5"/>
      <c r="G42" s="5"/>
      <c r="H42" s="5"/>
      <c r="I42" s="5"/>
      <c r="J42" s="5"/>
      <c r="K42" s="8"/>
      <c r="L42" s="8"/>
    </row>
    <row r="43" spans="1:12" s="1" customFormat="1" x14ac:dyDescent="0.15">
      <c r="A43" s="15"/>
      <c r="C43" s="5"/>
      <c r="D43" s="5"/>
      <c r="E43" s="5"/>
      <c r="F43" s="5"/>
      <c r="G43" s="5"/>
      <c r="H43" s="5"/>
      <c r="I43" s="5"/>
      <c r="J43" s="5"/>
      <c r="K43" s="8"/>
      <c r="L43" s="8"/>
    </row>
    <row r="44" spans="1:12" s="1" customFormat="1" x14ac:dyDescent="0.15">
      <c r="A44" s="15"/>
      <c r="C44" s="5"/>
      <c r="D44" s="5"/>
      <c r="E44" s="5"/>
      <c r="F44" s="5"/>
      <c r="G44" s="5"/>
      <c r="H44" s="5"/>
      <c r="I44" s="5"/>
      <c r="J44" s="5"/>
      <c r="K44" s="8"/>
      <c r="L44" s="8"/>
    </row>
    <row r="45" spans="1:12" s="1" customFormat="1" x14ac:dyDescent="0.15">
      <c r="A45" s="15"/>
      <c r="C45" s="5"/>
      <c r="D45" s="5"/>
      <c r="E45" s="5"/>
      <c r="F45" s="5"/>
      <c r="G45" s="5"/>
      <c r="H45" s="5"/>
      <c r="I45" s="5"/>
      <c r="J45" s="5"/>
      <c r="K45" s="8"/>
      <c r="L45" s="8"/>
    </row>
    <row r="46" spans="1:12" s="1" customFormat="1" x14ac:dyDescent="0.15">
      <c r="A46" s="15"/>
      <c r="C46" s="5"/>
      <c r="D46" s="5"/>
      <c r="E46" s="5"/>
      <c r="F46" s="5"/>
      <c r="G46" s="5"/>
      <c r="H46" s="5"/>
      <c r="I46" s="5"/>
      <c r="J46" s="5"/>
      <c r="K46" s="8"/>
      <c r="L46" s="8"/>
    </row>
    <row r="47" spans="1:12" s="1" customFormat="1" x14ac:dyDescent="0.15">
      <c r="A47" s="15"/>
      <c r="C47" s="5"/>
      <c r="D47" s="5"/>
      <c r="E47" s="5"/>
      <c r="F47" s="5"/>
      <c r="G47" s="5"/>
      <c r="H47" s="5"/>
      <c r="I47" s="5"/>
      <c r="J47" s="5"/>
      <c r="K47" s="8"/>
      <c r="L47" s="8"/>
    </row>
    <row r="48" spans="1:12" s="1" customFormat="1" x14ac:dyDescent="0.15">
      <c r="A48" s="15"/>
      <c r="C48" s="5"/>
      <c r="D48" s="5"/>
      <c r="E48" s="5"/>
      <c r="F48" s="5"/>
      <c r="G48" s="5"/>
      <c r="H48" s="5"/>
      <c r="I48" s="5"/>
      <c r="J48" s="5"/>
      <c r="K48" s="8"/>
      <c r="L48" s="8"/>
    </row>
    <row r="49" spans="1:12" s="1" customFormat="1" x14ac:dyDescent="0.15">
      <c r="A49" s="15"/>
      <c r="C49" s="5"/>
      <c r="D49" s="5"/>
      <c r="E49" s="5"/>
      <c r="F49" s="5"/>
      <c r="G49" s="5"/>
      <c r="H49" s="5"/>
      <c r="I49" s="5"/>
      <c r="J49" s="5"/>
      <c r="K49" s="8"/>
      <c r="L49" s="8"/>
    </row>
    <row r="50" spans="1:12" s="1" customFormat="1" x14ac:dyDescent="0.15">
      <c r="A50" s="15"/>
      <c r="C50" s="5"/>
      <c r="D50" s="5"/>
      <c r="E50" s="5"/>
      <c r="F50" s="5"/>
      <c r="G50" s="5"/>
      <c r="H50" s="5"/>
      <c r="I50" s="5"/>
      <c r="J50" s="5"/>
      <c r="K50" s="8"/>
      <c r="L50" s="8"/>
    </row>
    <row r="51" spans="1:12" s="1" customFormat="1" x14ac:dyDescent="0.15">
      <c r="A51" s="15"/>
      <c r="C51" s="5"/>
      <c r="D51" s="5"/>
      <c r="E51" s="5"/>
      <c r="F51" s="5"/>
      <c r="G51" s="5"/>
      <c r="H51" s="5"/>
      <c r="I51" s="5"/>
      <c r="J51" s="5"/>
      <c r="K51" s="8"/>
      <c r="L51" s="8"/>
    </row>
    <row r="52" spans="1:12" s="1" customFormat="1" x14ac:dyDescent="0.15">
      <c r="A52" s="15"/>
      <c r="C52" s="5"/>
      <c r="D52" s="5"/>
      <c r="E52" s="5"/>
      <c r="F52" s="5"/>
      <c r="G52" s="5"/>
      <c r="H52" s="5"/>
      <c r="I52" s="5"/>
      <c r="J52" s="5"/>
      <c r="K52" s="8"/>
      <c r="L52" s="8"/>
    </row>
    <row r="53" spans="1:12" s="1" customFormat="1" x14ac:dyDescent="0.15">
      <c r="A53" s="15"/>
      <c r="C53" s="5"/>
      <c r="D53" s="5"/>
      <c r="E53" s="5"/>
      <c r="F53" s="5"/>
      <c r="G53" s="5"/>
      <c r="H53" s="5"/>
      <c r="I53" s="5"/>
      <c r="J53" s="5"/>
      <c r="K53" s="8"/>
      <c r="L53" s="8"/>
    </row>
    <row r="54" spans="1:12" s="1" customFormat="1" x14ac:dyDescent="0.15">
      <c r="A54" s="15"/>
      <c r="C54" s="5"/>
      <c r="D54" s="5"/>
      <c r="E54" s="5"/>
      <c r="F54" s="5"/>
      <c r="G54" s="5"/>
      <c r="H54" s="5"/>
      <c r="I54" s="5"/>
      <c r="J54" s="5"/>
      <c r="K54" s="8"/>
      <c r="L54" s="8"/>
    </row>
    <row r="55" spans="1:12" s="1" customFormat="1" x14ac:dyDescent="0.15">
      <c r="A55" s="15"/>
      <c r="C55" s="5"/>
      <c r="D55" s="5"/>
      <c r="E55" s="5"/>
      <c r="F55" s="5"/>
      <c r="G55" s="5"/>
      <c r="H55" s="5"/>
      <c r="I55" s="5"/>
      <c r="J55" s="5"/>
      <c r="K55" s="8"/>
      <c r="L55" s="8"/>
    </row>
    <row r="56" spans="1:12" s="1" customFormat="1" x14ac:dyDescent="0.15">
      <c r="A56" s="15"/>
      <c r="C56" s="5"/>
      <c r="D56" s="5"/>
      <c r="E56" s="5"/>
      <c r="F56" s="5"/>
      <c r="G56" s="5"/>
      <c r="H56" s="5"/>
      <c r="I56" s="5"/>
      <c r="J56" s="5"/>
      <c r="K56" s="8"/>
      <c r="L56" s="8"/>
    </row>
    <row r="57" spans="1:12" s="1" customFormat="1" x14ac:dyDescent="0.15">
      <c r="A57" s="15"/>
      <c r="C57" s="5"/>
      <c r="D57" s="5"/>
      <c r="E57" s="5"/>
      <c r="F57" s="5"/>
      <c r="G57" s="5"/>
      <c r="H57" s="5"/>
      <c r="I57" s="5"/>
      <c r="J57" s="5"/>
      <c r="K57" s="8"/>
      <c r="L57" s="8"/>
    </row>
    <row r="58" spans="1:12" s="1" customFormat="1" x14ac:dyDescent="0.15">
      <c r="A58" s="15"/>
      <c r="C58" s="5"/>
      <c r="D58" s="5"/>
      <c r="E58" s="5"/>
      <c r="F58" s="5"/>
      <c r="G58" s="5"/>
      <c r="H58" s="5"/>
      <c r="I58" s="5"/>
      <c r="J58" s="5"/>
      <c r="K58" s="8"/>
      <c r="L58" s="8"/>
    </row>
    <row r="59" spans="1:12" s="1" customFormat="1" x14ac:dyDescent="0.15">
      <c r="A59" s="15"/>
      <c r="C59" s="5"/>
      <c r="D59" s="5"/>
      <c r="E59" s="5"/>
      <c r="F59" s="5"/>
      <c r="G59" s="5"/>
      <c r="H59" s="5"/>
      <c r="I59" s="5"/>
      <c r="J59" s="5"/>
      <c r="K59" s="8"/>
      <c r="L59" s="8"/>
    </row>
    <row r="60" spans="1:12" s="1" customFormat="1" x14ac:dyDescent="0.15">
      <c r="A60" s="15"/>
      <c r="C60" s="5"/>
      <c r="D60" s="5"/>
      <c r="E60" s="5"/>
      <c r="F60" s="5"/>
      <c r="G60" s="5"/>
      <c r="H60" s="5"/>
      <c r="I60" s="5"/>
      <c r="J60" s="5"/>
      <c r="K60" s="8"/>
      <c r="L60" s="8"/>
    </row>
    <row r="61" spans="1:12" s="1" customFormat="1" x14ac:dyDescent="0.15">
      <c r="A61" s="15"/>
      <c r="C61" s="5"/>
      <c r="D61" s="5"/>
      <c r="E61" s="5"/>
      <c r="F61" s="5"/>
      <c r="G61" s="5"/>
      <c r="H61" s="5"/>
      <c r="I61" s="5"/>
      <c r="J61" s="5"/>
      <c r="K61" s="8"/>
      <c r="L61" s="8"/>
    </row>
    <row r="62" spans="1:12" s="1" customFormat="1" x14ac:dyDescent="0.15">
      <c r="A62" s="15"/>
      <c r="C62" s="5"/>
      <c r="D62" s="5"/>
      <c r="E62" s="5"/>
      <c r="F62" s="5"/>
      <c r="G62" s="5"/>
      <c r="H62" s="5"/>
      <c r="I62" s="5"/>
      <c r="J62" s="5"/>
      <c r="K62" s="8"/>
      <c r="L62" s="8"/>
    </row>
    <row r="63" spans="1:12" s="1" customFormat="1" x14ac:dyDescent="0.15">
      <c r="A63" s="15"/>
      <c r="C63" s="5"/>
      <c r="D63" s="5"/>
      <c r="E63" s="5"/>
      <c r="F63" s="5"/>
      <c r="G63" s="5"/>
      <c r="H63" s="5"/>
      <c r="I63" s="5"/>
      <c r="J63" s="5"/>
      <c r="K63" s="8"/>
      <c r="L63" s="8"/>
    </row>
    <row r="64" spans="1:12" s="1" customFormat="1" x14ac:dyDescent="0.15">
      <c r="A64" s="15"/>
      <c r="C64" s="5"/>
      <c r="D64" s="5"/>
      <c r="E64" s="5"/>
      <c r="F64" s="5"/>
      <c r="G64" s="5"/>
      <c r="H64" s="5"/>
      <c r="I64" s="5"/>
      <c r="J64" s="5"/>
      <c r="K64" s="8"/>
      <c r="L64" s="8"/>
    </row>
    <row r="65" spans="1:12" s="1" customFormat="1" x14ac:dyDescent="0.15">
      <c r="A65" s="15"/>
      <c r="C65" s="5"/>
      <c r="D65" s="5"/>
      <c r="E65" s="5"/>
      <c r="F65" s="5"/>
      <c r="G65" s="5"/>
      <c r="H65" s="5"/>
      <c r="I65" s="5"/>
      <c r="J65" s="5"/>
      <c r="K65" s="8"/>
      <c r="L65" s="8"/>
    </row>
    <row r="66" spans="1:12" s="1" customFormat="1" x14ac:dyDescent="0.15">
      <c r="A66" s="15"/>
      <c r="C66" s="5"/>
      <c r="D66" s="5"/>
      <c r="E66" s="5"/>
      <c r="F66" s="5"/>
      <c r="G66" s="5"/>
      <c r="H66" s="5"/>
      <c r="I66" s="5"/>
      <c r="J66" s="5"/>
      <c r="K66" s="8"/>
      <c r="L66" s="8"/>
    </row>
    <row r="67" spans="1:12" s="1" customFormat="1" x14ac:dyDescent="0.15">
      <c r="A67" s="15"/>
      <c r="C67" s="5"/>
      <c r="D67" s="5"/>
      <c r="E67" s="5"/>
      <c r="F67" s="5"/>
      <c r="G67" s="5"/>
      <c r="H67" s="5"/>
      <c r="I67" s="5"/>
      <c r="J67" s="5"/>
      <c r="K67" s="8"/>
      <c r="L67" s="8"/>
    </row>
    <row r="68" spans="1:12" s="1" customFormat="1" x14ac:dyDescent="0.15">
      <c r="A68" s="15"/>
      <c r="C68" s="5"/>
      <c r="D68" s="5"/>
      <c r="E68" s="5"/>
      <c r="F68" s="5"/>
      <c r="G68" s="5"/>
      <c r="H68" s="5"/>
      <c r="I68" s="5"/>
      <c r="J68" s="5"/>
      <c r="K68" s="8"/>
      <c r="L68" s="8"/>
    </row>
    <row r="69" spans="1:12" s="1" customFormat="1" x14ac:dyDescent="0.15">
      <c r="A69" s="15"/>
      <c r="C69" s="5"/>
      <c r="D69" s="5"/>
      <c r="E69" s="5"/>
      <c r="F69" s="5"/>
      <c r="G69" s="5"/>
      <c r="H69" s="5"/>
      <c r="I69" s="5"/>
      <c r="J69" s="5"/>
      <c r="K69" s="8"/>
      <c r="L69" s="8"/>
    </row>
    <row r="70" spans="1:12" s="1" customFormat="1" x14ac:dyDescent="0.15">
      <c r="A70" s="15"/>
      <c r="C70" s="5"/>
      <c r="D70" s="5"/>
      <c r="E70" s="5"/>
      <c r="F70" s="5"/>
      <c r="G70" s="5"/>
      <c r="H70" s="5"/>
      <c r="I70" s="5"/>
      <c r="J70" s="5"/>
      <c r="K70" s="8"/>
      <c r="L70" s="8"/>
    </row>
    <row r="71" spans="1:12" s="1" customFormat="1" x14ac:dyDescent="0.15">
      <c r="A71" s="15"/>
      <c r="C71" s="5"/>
      <c r="D71" s="5"/>
      <c r="E71" s="5"/>
      <c r="F71" s="5"/>
      <c r="G71" s="5"/>
      <c r="H71" s="5"/>
      <c r="I71" s="5"/>
      <c r="J71" s="5"/>
      <c r="K71" s="8"/>
      <c r="L71" s="8"/>
    </row>
    <row r="72" spans="1:12" s="1" customFormat="1" x14ac:dyDescent="0.15">
      <c r="A72" s="15"/>
      <c r="C72" s="5"/>
      <c r="D72" s="5"/>
      <c r="E72" s="5"/>
      <c r="F72" s="5"/>
      <c r="G72" s="5"/>
      <c r="H72" s="5"/>
      <c r="I72" s="5"/>
      <c r="J72" s="5"/>
      <c r="K72" s="8"/>
      <c r="L72" s="8"/>
    </row>
    <row r="73" spans="1:12" s="1" customFormat="1" x14ac:dyDescent="0.15">
      <c r="A73" s="15"/>
      <c r="C73" s="5"/>
      <c r="D73" s="5"/>
      <c r="E73" s="5"/>
      <c r="F73" s="5"/>
      <c r="G73" s="5"/>
      <c r="H73" s="5"/>
      <c r="I73" s="5"/>
      <c r="J73" s="5"/>
      <c r="K73" s="8"/>
      <c r="L73" s="8"/>
    </row>
    <row r="74" spans="1:12" s="1" customFormat="1" x14ac:dyDescent="0.15">
      <c r="A74" s="15"/>
      <c r="C74" s="5"/>
      <c r="D74" s="5"/>
      <c r="E74" s="5"/>
      <c r="F74" s="5"/>
      <c r="G74" s="5"/>
      <c r="H74" s="5"/>
      <c r="I74" s="5"/>
      <c r="J74" s="5"/>
      <c r="K74" s="8"/>
      <c r="L74" s="8"/>
    </row>
    <row r="75" spans="1:12" s="1" customFormat="1" x14ac:dyDescent="0.15">
      <c r="A75" s="15"/>
      <c r="C75" s="5"/>
      <c r="D75" s="5"/>
      <c r="E75" s="5"/>
      <c r="F75" s="5"/>
      <c r="G75" s="5"/>
      <c r="H75" s="5"/>
      <c r="I75" s="5"/>
      <c r="J75" s="5"/>
      <c r="K75" s="8"/>
      <c r="L75" s="8"/>
    </row>
    <row r="76" spans="1:12" s="1" customFormat="1" x14ac:dyDescent="0.15">
      <c r="A76" s="15"/>
      <c r="C76" s="5"/>
      <c r="D76" s="5"/>
      <c r="E76" s="5"/>
      <c r="F76" s="5"/>
      <c r="G76" s="5"/>
      <c r="H76" s="5"/>
      <c r="I76" s="5"/>
      <c r="J76" s="5"/>
      <c r="K76" s="8"/>
      <c r="L76" s="8"/>
    </row>
    <row r="77" spans="1:12" s="1" customFormat="1" x14ac:dyDescent="0.15">
      <c r="A77" s="15"/>
      <c r="C77" s="5"/>
      <c r="D77" s="5"/>
      <c r="E77" s="5"/>
      <c r="F77" s="5"/>
      <c r="G77" s="5"/>
      <c r="H77" s="5"/>
      <c r="I77" s="5"/>
      <c r="J77" s="5"/>
      <c r="K77" s="8"/>
      <c r="L77" s="8"/>
    </row>
    <row r="78" spans="1:12" s="1" customFormat="1" x14ac:dyDescent="0.15">
      <c r="A78" s="15"/>
      <c r="C78" s="5"/>
      <c r="D78" s="5"/>
      <c r="E78" s="5"/>
      <c r="F78" s="5"/>
      <c r="G78" s="5"/>
      <c r="H78" s="5"/>
      <c r="I78" s="5"/>
      <c r="J78" s="5"/>
      <c r="K78" s="8"/>
      <c r="L78" s="8"/>
    </row>
    <row r="79" spans="1:12" s="1" customFormat="1" x14ac:dyDescent="0.15">
      <c r="A79" s="15"/>
      <c r="C79" s="5"/>
      <c r="D79" s="5"/>
      <c r="E79" s="5"/>
      <c r="F79" s="5"/>
      <c r="G79" s="5"/>
      <c r="H79" s="5"/>
      <c r="I79" s="5"/>
      <c r="J79" s="5"/>
      <c r="K79" s="8"/>
      <c r="L79" s="8"/>
    </row>
    <row r="80" spans="1:12" s="1" customFormat="1" x14ac:dyDescent="0.15">
      <c r="A80" s="15"/>
      <c r="C80" s="5"/>
      <c r="D80" s="5"/>
      <c r="E80" s="5"/>
      <c r="F80" s="5"/>
      <c r="G80" s="5"/>
      <c r="H80" s="5"/>
      <c r="I80" s="5"/>
      <c r="J80" s="5"/>
      <c r="K80" s="8"/>
      <c r="L80" s="8"/>
    </row>
    <row r="81" spans="1:12" s="1" customFormat="1" x14ac:dyDescent="0.15">
      <c r="A81" s="15"/>
      <c r="C81" s="5"/>
      <c r="D81" s="5"/>
      <c r="E81" s="5"/>
      <c r="F81" s="5"/>
      <c r="G81" s="5"/>
      <c r="H81" s="5"/>
      <c r="I81" s="5"/>
      <c r="J81" s="5"/>
      <c r="K81" s="8"/>
      <c r="L81" s="8"/>
    </row>
    <row r="82" spans="1:12" s="1" customFormat="1" x14ac:dyDescent="0.15">
      <c r="A82" s="15"/>
      <c r="C82" s="5"/>
      <c r="D82" s="5"/>
      <c r="E82" s="5"/>
      <c r="F82" s="5"/>
      <c r="G82" s="5"/>
      <c r="H82" s="5"/>
      <c r="I82" s="5"/>
      <c r="J82" s="5"/>
      <c r="K82" s="8"/>
      <c r="L82" s="8"/>
    </row>
    <row r="83" spans="1:12" s="1" customFormat="1" x14ac:dyDescent="0.15">
      <c r="A83" s="15"/>
      <c r="C83" s="5"/>
      <c r="D83" s="5"/>
      <c r="E83" s="5"/>
      <c r="F83" s="5"/>
      <c r="G83" s="5"/>
      <c r="H83" s="5"/>
      <c r="I83" s="5"/>
      <c r="J83" s="5"/>
      <c r="K83" s="8"/>
      <c r="L83" s="8"/>
    </row>
    <row r="84" spans="1:12" s="1" customFormat="1" x14ac:dyDescent="0.15">
      <c r="A84" s="15"/>
      <c r="C84" s="5"/>
      <c r="D84" s="5"/>
      <c r="E84" s="5"/>
      <c r="F84" s="5"/>
      <c r="G84" s="5"/>
      <c r="H84" s="5"/>
      <c r="I84" s="5"/>
      <c r="J84" s="5"/>
      <c r="K84" s="8"/>
      <c r="L84" s="8"/>
    </row>
    <row r="85" spans="1:12" s="1" customFormat="1" x14ac:dyDescent="0.15">
      <c r="A85" s="15"/>
      <c r="C85" s="5"/>
      <c r="D85" s="5"/>
      <c r="E85" s="5"/>
      <c r="F85" s="5"/>
      <c r="G85" s="5"/>
      <c r="H85" s="5"/>
      <c r="I85" s="5"/>
      <c r="J85" s="5"/>
      <c r="K85" s="8"/>
      <c r="L85" s="8"/>
    </row>
    <row r="86" spans="1:12" s="1" customFormat="1" x14ac:dyDescent="0.15">
      <c r="A86" s="15"/>
      <c r="C86" s="5"/>
      <c r="D86" s="5"/>
      <c r="E86" s="5"/>
      <c r="F86" s="5"/>
      <c r="G86" s="5"/>
      <c r="H86" s="5"/>
      <c r="I86" s="5"/>
      <c r="J86" s="5"/>
      <c r="K86" s="8"/>
      <c r="L86" s="8"/>
    </row>
    <row r="87" spans="1:12" s="1" customFormat="1" x14ac:dyDescent="0.15">
      <c r="A87" s="15"/>
      <c r="C87" s="5"/>
      <c r="D87" s="5"/>
      <c r="E87" s="5"/>
      <c r="F87" s="5"/>
      <c r="G87" s="5"/>
      <c r="H87" s="5"/>
      <c r="I87" s="5"/>
      <c r="J87" s="5"/>
      <c r="K87" s="8"/>
      <c r="L87" s="8"/>
    </row>
    <row r="88" spans="1:12" s="1" customFormat="1" x14ac:dyDescent="0.15">
      <c r="A88" s="15"/>
      <c r="C88" s="5"/>
      <c r="D88" s="5"/>
      <c r="E88" s="5"/>
      <c r="F88" s="5"/>
      <c r="G88" s="5"/>
      <c r="H88" s="5"/>
      <c r="I88" s="5"/>
      <c r="J88" s="5"/>
      <c r="K88" s="8"/>
      <c r="L88" s="8"/>
    </row>
    <row r="89" spans="1:12" s="1" customFormat="1" x14ac:dyDescent="0.15">
      <c r="A89" s="15"/>
      <c r="C89" s="5"/>
      <c r="D89" s="5"/>
      <c r="E89" s="5"/>
      <c r="F89" s="5"/>
      <c r="G89" s="5"/>
      <c r="H89" s="5"/>
      <c r="I89" s="5"/>
      <c r="J89" s="5"/>
      <c r="K89" s="8"/>
      <c r="L89" s="8"/>
    </row>
    <row r="90" spans="1:12" s="1" customFormat="1" x14ac:dyDescent="0.15">
      <c r="A90" s="15"/>
      <c r="C90" s="5"/>
      <c r="D90" s="5"/>
      <c r="E90" s="5"/>
      <c r="F90" s="5"/>
      <c r="G90" s="5"/>
      <c r="H90" s="5"/>
      <c r="I90" s="5"/>
      <c r="J90" s="5"/>
      <c r="K90" s="8"/>
      <c r="L90" s="8"/>
    </row>
    <row r="91" spans="1:12" s="1" customFormat="1" x14ac:dyDescent="0.15">
      <c r="A91" s="15"/>
      <c r="C91" s="5"/>
      <c r="D91" s="5"/>
      <c r="E91" s="5"/>
      <c r="F91" s="5"/>
      <c r="G91" s="5"/>
      <c r="H91" s="5"/>
      <c r="I91" s="5"/>
      <c r="J91" s="5"/>
      <c r="K91" s="8"/>
      <c r="L91" s="8"/>
    </row>
    <row r="92" spans="1:12" s="1" customFormat="1" x14ac:dyDescent="0.15">
      <c r="A92" s="15"/>
      <c r="C92" s="5"/>
      <c r="D92" s="5"/>
      <c r="E92" s="5"/>
      <c r="F92" s="5"/>
      <c r="G92" s="5"/>
      <c r="H92" s="5"/>
      <c r="I92" s="5"/>
      <c r="J92" s="5"/>
      <c r="K92" s="8"/>
      <c r="L92" s="8"/>
    </row>
    <row r="93" spans="1:12" s="1" customFormat="1" x14ac:dyDescent="0.15">
      <c r="A93" s="15"/>
      <c r="C93" s="5"/>
      <c r="D93" s="5"/>
      <c r="E93" s="5"/>
      <c r="F93" s="5"/>
      <c r="G93" s="5"/>
      <c r="H93" s="5"/>
      <c r="I93" s="5"/>
      <c r="J93" s="5"/>
      <c r="K93" s="8"/>
      <c r="L93" s="8"/>
    </row>
    <row r="94" spans="1:12" s="1" customFormat="1" x14ac:dyDescent="0.15">
      <c r="A94" s="15"/>
      <c r="C94" s="5"/>
      <c r="D94" s="5"/>
      <c r="E94" s="5"/>
      <c r="F94" s="5"/>
      <c r="G94" s="5"/>
      <c r="H94" s="5"/>
      <c r="I94" s="5"/>
      <c r="J94" s="5"/>
      <c r="K94" s="8"/>
      <c r="L94" s="8"/>
    </row>
    <row r="95" spans="1:12" s="1" customFormat="1" x14ac:dyDescent="0.15">
      <c r="A95" s="15"/>
      <c r="C95" s="5"/>
      <c r="D95" s="5"/>
      <c r="E95" s="5"/>
      <c r="F95" s="5"/>
      <c r="G95" s="5"/>
      <c r="H95" s="5"/>
      <c r="I95" s="5"/>
      <c r="J95" s="5"/>
      <c r="K95" s="8"/>
      <c r="L95" s="8"/>
    </row>
    <row r="96" spans="1:12" s="1" customFormat="1" x14ac:dyDescent="0.15">
      <c r="A96" s="15"/>
      <c r="C96" s="5"/>
      <c r="D96" s="5"/>
      <c r="E96" s="5"/>
      <c r="F96" s="5"/>
      <c r="G96" s="5"/>
      <c r="H96" s="5"/>
      <c r="I96" s="5"/>
      <c r="J96" s="5"/>
      <c r="K96" s="8"/>
      <c r="L96" s="8"/>
    </row>
    <row r="97" spans="1:12" s="1" customFormat="1" x14ac:dyDescent="0.15">
      <c r="A97" s="15"/>
      <c r="C97" s="5"/>
      <c r="D97" s="5"/>
      <c r="E97" s="5"/>
      <c r="F97" s="5"/>
      <c r="G97" s="5"/>
      <c r="H97" s="5"/>
      <c r="I97" s="5"/>
      <c r="J97" s="5"/>
      <c r="K97" s="8"/>
      <c r="L97" s="8"/>
    </row>
    <row r="98" spans="1:12" s="1" customFormat="1" x14ac:dyDescent="0.15">
      <c r="A98" s="15"/>
      <c r="C98" s="5"/>
      <c r="D98" s="5"/>
      <c r="E98" s="5"/>
      <c r="F98" s="5"/>
      <c r="G98" s="5"/>
      <c r="H98" s="5"/>
      <c r="I98" s="5"/>
      <c r="J98" s="5"/>
      <c r="K98" s="8"/>
      <c r="L98" s="8"/>
    </row>
    <row r="99" spans="1:12" s="1" customFormat="1" x14ac:dyDescent="0.15">
      <c r="A99" s="15"/>
      <c r="C99" s="5"/>
      <c r="D99" s="5"/>
      <c r="E99" s="5"/>
      <c r="F99" s="5"/>
      <c r="G99" s="5"/>
      <c r="H99" s="5"/>
      <c r="I99" s="5"/>
      <c r="J99" s="5"/>
      <c r="K99" s="8"/>
      <c r="L99" s="8"/>
    </row>
    <row r="100" spans="1:12" s="1" customFormat="1" x14ac:dyDescent="0.15">
      <c r="A100" s="15"/>
      <c r="C100" s="5"/>
      <c r="D100" s="5"/>
      <c r="E100" s="5"/>
      <c r="F100" s="5"/>
      <c r="G100" s="5"/>
      <c r="H100" s="5"/>
      <c r="I100" s="5"/>
      <c r="J100" s="5"/>
      <c r="K100" s="8"/>
      <c r="L100" s="8"/>
    </row>
    <row r="101" spans="1:12" s="1" customFormat="1" x14ac:dyDescent="0.15">
      <c r="A101" s="15"/>
      <c r="C101" s="5"/>
      <c r="D101" s="5"/>
      <c r="E101" s="5"/>
      <c r="F101" s="5"/>
      <c r="G101" s="5"/>
      <c r="H101" s="5"/>
      <c r="I101" s="5"/>
      <c r="J101" s="5"/>
      <c r="K101" s="8"/>
      <c r="L101" s="8"/>
    </row>
    <row r="102" spans="1:12" s="1" customFormat="1" x14ac:dyDescent="0.15">
      <c r="A102" s="15"/>
      <c r="C102" s="5"/>
      <c r="D102" s="5"/>
      <c r="E102" s="5"/>
      <c r="F102" s="5"/>
      <c r="G102" s="5"/>
      <c r="H102" s="5"/>
      <c r="I102" s="5"/>
      <c r="J102" s="5"/>
      <c r="K102" s="8"/>
      <c r="L102" s="8"/>
    </row>
    <row r="103" spans="1:12" s="1" customFormat="1" x14ac:dyDescent="0.15">
      <c r="A103" s="15"/>
      <c r="C103" s="5"/>
      <c r="D103" s="5"/>
      <c r="E103" s="5"/>
      <c r="F103" s="5"/>
      <c r="G103" s="5"/>
      <c r="H103" s="5"/>
      <c r="I103" s="5"/>
      <c r="J103" s="5"/>
      <c r="K103" s="8"/>
      <c r="L103" s="8"/>
    </row>
    <row r="104" spans="1:12" s="1" customFormat="1" x14ac:dyDescent="0.15">
      <c r="A104" s="15"/>
      <c r="C104" s="5"/>
      <c r="D104" s="5"/>
      <c r="E104" s="5"/>
      <c r="F104" s="5"/>
      <c r="G104" s="5"/>
      <c r="H104" s="5"/>
      <c r="I104" s="5"/>
      <c r="J104" s="5"/>
      <c r="K104" s="8"/>
      <c r="L104" s="8"/>
    </row>
    <row r="105" spans="1:12" s="1" customFormat="1" x14ac:dyDescent="0.15">
      <c r="A105" s="15"/>
      <c r="C105" s="5"/>
      <c r="D105" s="5"/>
      <c r="E105" s="5"/>
      <c r="F105" s="5"/>
      <c r="G105" s="5"/>
      <c r="H105" s="5"/>
      <c r="I105" s="5"/>
      <c r="J105" s="5"/>
      <c r="K105" s="8"/>
      <c r="L105" s="8"/>
    </row>
    <row r="106" spans="1:12" s="1" customFormat="1" x14ac:dyDescent="0.15">
      <c r="A106" s="15"/>
      <c r="C106" s="5"/>
      <c r="D106" s="5"/>
      <c r="E106" s="5"/>
      <c r="F106" s="5"/>
      <c r="G106" s="5"/>
      <c r="H106" s="5"/>
      <c r="I106" s="5"/>
      <c r="J106" s="5"/>
      <c r="K106" s="8"/>
      <c r="L106" s="8"/>
    </row>
    <row r="107" spans="1:12" s="1" customFormat="1" x14ac:dyDescent="0.15">
      <c r="A107" s="15"/>
      <c r="C107" s="5"/>
      <c r="D107" s="5"/>
      <c r="E107" s="5"/>
      <c r="F107" s="5"/>
      <c r="G107" s="5"/>
      <c r="H107" s="5"/>
      <c r="I107" s="5"/>
      <c r="J107" s="5"/>
      <c r="K107" s="8"/>
      <c r="L107" s="8"/>
    </row>
    <row r="108" spans="1:12" s="1" customFormat="1" x14ac:dyDescent="0.15">
      <c r="A108" s="15"/>
      <c r="C108" s="5"/>
      <c r="D108" s="5"/>
      <c r="E108" s="5"/>
      <c r="F108" s="5"/>
      <c r="G108" s="5"/>
      <c r="H108" s="5"/>
      <c r="I108" s="5"/>
      <c r="J108" s="5"/>
      <c r="K108" s="8"/>
      <c r="L108" s="8"/>
    </row>
    <row r="109" spans="1:12" s="1" customFormat="1" x14ac:dyDescent="0.15">
      <c r="A109" s="15"/>
      <c r="C109" s="5"/>
      <c r="D109" s="5"/>
      <c r="E109" s="5"/>
      <c r="F109" s="5"/>
      <c r="G109" s="5"/>
      <c r="H109" s="5"/>
      <c r="I109" s="5"/>
      <c r="J109" s="5"/>
      <c r="K109" s="8"/>
      <c r="L109" s="8"/>
    </row>
    <row r="110" spans="1:12" s="1" customFormat="1" x14ac:dyDescent="0.15">
      <c r="A110" s="15"/>
      <c r="C110" s="5"/>
      <c r="D110" s="5"/>
      <c r="E110" s="5"/>
      <c r="F110" s="5"/>
      <c r="G110" s="5"/>
      <c r="H110" s="5"/>
      <c r="I110" s="5"/>
      <c r="J110" s="5"/>
      <c r="K110" s="8"/>
      <c r="L110" s="8"/>
    </row>
    <row r="111" spans="1:12" s="1" customFormat="1" x14ac:dyDescent="0.15">
      <c r="A111" s="15"/>
      <c r="C111" s="5"/>
      <c r="D111" s="5"/>
      <c r="E111" s="5"/>
      <c r="F111" s="5"/>
      <c r="G111" s="5"/>
      <c r="H111" s="5"/>
      <c r="I111" s="5"/>
      <c r="J111" s="5"/>
      <c r="K111" s="8"/>
      <c r="L111" s="8"/>
    </row>
    <row r="112" spans="1:12" s="1" customFormat="1" x14ac:dyDescent="0.15">
      <c r="A112" s="15"/>
      <c r="C112" s="5"/>
      <c r="D112" s="5"/>
      <c r="E112" s="5"/>
      <c r="F112" s="5"/>
      <c r="G112" s="5"/>
      <c r="H112" s="5"/>
      <c r="I112" s="5"/>
      <c r="J112" s="5"/>
      <c r="K112" s="8"/>
      <c r="L112" s="8"/>
    </row>
    <row r="113" spans="1:12" s="1" customFormat="1" x14ac:dyDescent="0.15">
      <c r="A113" s="15"/>
      <c r="C113" s="5"/>
      <c r="D113" s="5"/>
      <c r="E113" s="5"/>
      <c r="F113" s="5"/>
      <c r="G113" s="5"/>
      <c r="H113" s="5"/>
      <c r="I113" s="5"/>
      <c r="J113" s="5"/>
      <c r="K113" s="8"/>
      <c r="L113" s="8"/>
    </row>
    <row r="114" spans="1:12" s="1" customFormat="1" x14ac:dyDescent="0.15">
      <c r="A114" s="15"/>
      <c r="C114" s="5"/>
      <c r="D114" s="5"/>
      <c r="E114" s="5"/>
      <c r="F114" s="5"/>
      <c r="G114" s="5"/>
      <c r="H114" s="5"/>
      <c r="I114" s="5"/>
      <c r="J114" s="5"/>
      <c r="K114" s="8"/>
      <c r="L114" s="8"/>
    </row>
    <row r="115" spans="1:12" s="1" customFormat="1" x14ac:dyDescent="0.15">
      <c r="A115" s="15"/>
      <c r="C115" s="5"/>
      <c r="D115" s="5"/>
      <c r="E115" s="5"/>
      <c r="F115" s="5"/>
      <c r="G115" s="5"/>
      <c r="H115" s="5"/>
      <c r="I115" s="5"/>
      <c r="J115" s="5"/>
      <c r="K115" s="8"/>
      <c r="L115" s="8"/>
    </row>
    <row r="116" spans="1:12" s="1" customFormat="1" x14ac:dyDescent="0.15">
      <c r="A116" s="15"/>
      <c r="C116" s="5"/>
      <c r="D116" s="5"/>
      <c r="E116" s="5"/>
      <c r="F116" s="5"/>
      <c r="G116" s="5"/>
      <c r="H116" s="5"/>
      <c r="I116" s="5"/>
      <c r="J116" s="5"/>
      <c r="K116" s="8"/>
      <c r="L116" s="8"/>
    </row>
    <row r="117" spans="1:12" s="1" customFormat="1" x14ac:dyDescent="0.15">
      <c r="A117" s="15"/>
      <c r="C117" s="5"/>
      <c r="D117" s="5"/>
      <c r="E117" s="5"/>
      <c r="F117" s="5"/>
      <c r="G117" s="5"/>
      <c r="H117" s="5"/>
      <c r="I117" s="5"/>
      <c r="J117" s="5"/>
      <c r="K117" s="8"/>
      <c r="L117" s="8"/>
    </row>
    <row r="118" spans="1:12" s="1" customFormat="1" x14ac:dyDescent="0.15">
      <c r="A118" s="15"/>
      <c r="C118" s="5"/>
      <c r="D118" s="5"/>
      <c r="E118" s="5"/>
      <c r="F118" s="5"/>
      <c r="G118" s="5"/>
      <c r="H118" s="5"/>
      <c r="I118" s="5"/>
      <c r="J118" s="5"/>
      <c r="K118" s="8"/>
      <c r="L118" s="8"/>
    </row>
    <row r="119" spans="1:12" s="1" customFormat="1" x14ac:dyDescent="0.15">
      <c r="A119" s="15"/>
      <c r="C119" s="5"/>
      <c r="D119" s="5"/>
      <c r="E119" s="5"/>
      <c r="F119" s="5"/>
      <c r="G119" s="5"/>
      <c r="H119" s="5"/>
      <c r="I119" s="5"/>
      <c r="J119" s="5"/>
      <c r="K119" s="8"/>
      <c r="L119" s="8"/>
    </row>
    <row r="120" spans="1:12" s="1" customFormat="1" x14ac:dyDescent="0.15">
      <c r="A120" s="15"/>
      <c r="C120" s="5"/>
      <c r="D120" s="5"/>
      <c r="E120" s="5"/>
      <c r="F120" s="5"/>
      <c r="G120" s="5"/>
      <c r="H120" s="5"/>
      <c r="I120" s="5"/>
      <c r="J120" s="5"/>
      <c r="K120" s="8"/>
      <c r="L120" s="8"/>
    </row>
    <row r="121" spans="1:12" s="1" customFormat="1" x14ac:dyDescent="0.15">
      <c r="A121" s="15"/>
      <c r="C121" s="5"/>
      <c r="D121" s="5"/>
      <c r="E121" s="5"/>
      <c r="F121" s="5"/>
      <c r="G121" s="5"/>
      <c r="H121" s="5"/>
      <c r="I121" s="5"/>
      <c r="J121" s="5"/>
      <c r="K121" s="8"/>
      <c r="L121" s="8"/>
    </row>
    <row r="122" spans="1:12" s="1" customFormat="1" x14ac:dyDescent="0.15">
      <c r="A122" s="15"/>
      <c r="C122" s="5"/>
      <c r="D122" s="5"/>
      <c r="E122" s="5"/>
      <c r="F122" s="5"/>
      <c r="G122" s="5"/>
      <c r="H122" s="5"/>
      <c r="I122" s="5"/>
      <c r="J122" s="5"/>
      <c r="K122" s="8"/>
      <c r="L122" s="8"/>
    </row>
    <row r="123" spans="1:12" s="1" customFormat="1" x14ac:dyDescent="0.15">
      <c r="A123" s="15"/>
      <c r="C123" s="5"/>
      <c r="D123" s="5"/>
      <c r="E123" s="5"/>
      <c r="F123" s="5"/>
      <c r="G123" s="5"/>
      <c r="H123" s="5"/>
      <c r="I123" s="5"/>
      <c r="J123" s="5"/>
      <c r="K123" s="8"/>
      <c r="L123" s="8"/>
    </row>
    <row r="124" spans="1:12" s="1" customFormat="1" x14ac:dyDescent="0.15">
      <c r="A124" s="15"/>
      <c r="C124" s="5"/>
      <c r="D124" s="5"/>
      <c r="E124" s="5"/>
      <c r="F124" s="5"/>
      <c r="G124" s="5"/>
      <c r="H124" s="5"/>
      <c r="I124" s="5"/>
      <c r="J124" s="5"/>
      <c r="K124" s="8"/>
      <c r="L124" s="8"/>
    </row>
    <row r="125" spans="1:12" s="1" customFormat="1" x14ac:dyDescent="0.15">
      <c r="A125" s="15"/>
      <c r="C125" s="5"/>
      <c r="D125" s="5"/>
      <c r="E125" s="5"/>
      <c r="F125" s="5"/>
      <c r="G125" s="5"/>
      <c r="H125" s="5"/>
      <c r="I125" s="5"/>
      <c r="J125" s="5"/>
      <c r="K125" s="8"/>
      <c r="L125" s="8"/>
    </row>
    <row r="126" spans="1:12" s="1" customFormat="1" x14ac:dyDescent="0.15">
      <c r="A126" s="15"/>
      <c r="C126" s="5"/>
      <c r="D126" s="5"/>
      <c r="E126" s="5"/>
      <c r="F126" s="5"/>
      <c r="G126" s="5"/>
      <c r="H126" s="5"/>
      <c r="I126" s="5"/>
      <c r="J126" s="5"/>
      <c r="K126" s="8"/>
      <c r="L126" s="8"/>
    </row>
    <row r="127" spans="1:12" s="1" customFormat="1" x14ac:dyDescent="0.15">
      <c r="A127" s="15"/>
      <c r="C127" s="5"/>
      <c r="D127" s="5"/>
      <c r="E127" s="5"/>
      <c r="F127" s="5"/>
      <c r="G127" s="5"/>
      <c r="H127" s="5"/>
      <c r="I127" s="5"/>
      <c r="J127" s="5"/>
      <c r="K127" s="8"/>
      <c r="L127" s="8"/>
    </row>
    <row r="128" spans="1:12" s="1" customFormat="1" x14ac:dyDescent="0.15">
      <c r="A128" s="15"/>
      <c r="C128" s="5"/>
      <c r="D128" s="5"/>
      <c r="E128" s="5"/>
      <c r="F128" s="5"/>
      <c r="G128" s="5"/>
      <c r="H128" s="5"/>
      <c r="I128" s="5"/>
      <c r="J128" s="5"/>
      <c r="K128" s="8"/>
      <c r="L128" s="8"/>
    </row>
    <row r="129" spans="1:12" s="1" customFormat="1" x14ac:dyDescent="0.15">
      <c r="A129" s="15"/>
      <c r="C129" s="5"/>
      <c r="D129" s="5"/>
      <c r="E129" s="5"/>
      <c r="F129" s="5"/>
      <c r="G129" s="5"/>
      <c r="H129" s="5"/>
      <c r="I129" s="5"/>
      <c r="J129" s="5"/>
      <c r="K129" s="8"/>
      <c r="L129" s="8"/>
    </row>
    <row r="130" spans="1:12" s="1" customFormat="1" x14ac:dyDescent="0.15">
      <c r="A130" s="15"/>
      <c r="C130" s="5"/>
      <c r="D130" s="5"/>
      <c r="E130" s="5"/>
      <c r="F130" s="5"/>
      <c r="G130" s="5"/>
      <c r="H130" s="5"/>
      <c r="I130" s="5"/>
      <c r="J130" s="5"/>
      <c r="K130" s="8"/>
      <c r="L130" s="8"/>
    </row>
    <row r="131" spans="1:12" s="1" customFormat="1" x14ac:dyDescent="0.15">
      <c r="A131" s="15"/>
      <c r="C131" s="5"/>
      <c r="D131" s="5"/>
      <c r="E131" s="5"/>
      <c r="F131" s="5"/>
      <c r="G131" s="5"/>
      <c r="H131" s="5"/>
      <c r="I131" s="5"/>
      <c r="J131" s="5"/>
      <c r="K131" s="8"/>
      <c r="L131" s="8"/>
    </row>
    <row r="132" spans="1:12" s="1" customFormat="1" x14ac:dyDescent="0.15">
      <c r="A132" s="15"/>
      <c r="C132" s="5"/>
      <c r="D132" s="5"/>
      <c r="E132" s="5"/>
      <c r="F132" s="5"/>
      <c r="G132" s="5"/>
      <c r="H132" s="5"/>
      <c r="I132" s="5"/>
      <c r="J132" s="5"/>
      <c r="K132" s="8"/>
      <c r="L132" s="8"/>
    </row>
    <row r="133" spans="1:12" s="1" customFormat="1" x14ac:dyDescent="0.15">
      <c r="A133" s="15"/>
      <c r="C133" s="5"/>
      <c r="D133" s="5"/>
      <c r="E133" s="5"/>
      <c r="F133" s="5"/>
      <c r="G133" s="5"/>
      <c r="H133" s="5"/>
      <c r="I133" s="5"/>
      <c r="J133" s="5"/>
      <c r="K133" s="8"/>
      <c r="L133" s="8"/>
    </row>
    <row r="134" spans="1:12" s="1" customFormat="1" x14ac:dyDescent="0.15">
      <c r="A134" s="15"/>
      <c r="C134" s="5"/>
      <c r="D134" s="5"/>
      <c r="E134" s="5"/>
      <c r="F134" s="5"/>
      <c r="G134" s="5"/>
      <c r="H134" s="5"/>
      <c r="I134" s="5"/>
      <c r="J134" s="5"/>
      <c r="K134" s="8"/>
      <c r="L134" s="8"/>
    </row>
    <row r="135" spans="1:12" s="1" customFormat="1" x14ac:dyDescent="0.15">
      <c r="A135" s="15"/>
      <c r="C135" s="5"/>
      <c r="D135" s="5"/>
      <c r="E135" s="5"/>
      <c r="F135" s="5"/>
      <c r="G135" s="5"/>
      <c r="H135" s="5"/>
      <c r="I135" s="5"/>
      <c r="J135" s="5"/>
      <c r="K135" s="8"/>
      <c r="L135" s="8"/>
    </row>
    <row r="136" spans="1:12" s="1" customFormat="1" x14ac:dyDescent="0.15">
      <c r="A136" s="15"/>
      <c r="C136" s="5"/>
      <c r="D136" s="5"/>
      <c r="E136" s="5"/>
      <c r="F136" s="5"/>
      <c r="G136" s="5"/>
      <c r="H136" s="5"/>
      <c r="I136" s="5"/>
      <c r="J136" s="5"/>
      <c r="K136" s="8"/>
      <c r="L136" s="8"/>
    </row>
    <row r="137" spans="1:12" s="1" customFormat="1" x14ac:dyDescent="0.15">
      <c r="A137" s="15"/>
      <c r="C137" s="5"/>
      <c r="D137" s="5"/>
      <c r="E137" s="5"/>
      <c r="F137" s="5"/>
      <c r="G137" s="5"/>
      <c r="H137" s="5"/>
      <c r="I137" s="5"/>
      <c r="J137" s="5"/>
      <c r="K137" s="8"/>
      <c r="L137" s="8"/>
    </row>
    <row r="138" spans="1:12" s="1" customFormat="1" x14ac:dyDescent="0.15">
      <c r="A138" s="15"/>
      <c r="C138" s="5"/>
      <c r="D138" s="5"/>
      <c r="E138" s="5"/>
      <c r="F138" s="5"/>
      <c r="G138" s="5"/>
      <c r="H138" s="5"/>
      <c r="I138" s="5"/>
      <c r="J138" s="5"/>
      <c r="K138" s="8"/>
      <c r="L138" s="8"/>
    </row>
    <row r="139" spans="1:12" s="1" customFormat="1" x14ac:dyDescent="0.15">
      <c r="A139" s="15"/>
      <c r="C139" s="5"/>
      <c r="D139" s="5"/>
      <c r="E139" s="5"/>
      <c r="F139" s="5"/>
      <c r="G139" s="5"/>
      <c r="H139" s="5"/>
      <c r="I139" s="5"/>
      <c r="J139" s="5"/>
      <c r="K139" s="8"/>
      <c r="L139" s="8"/>
    </row>
    <row r="140" spans="1:12" s="1" customFormat="1" x14ac:dyDescent="0.15">
      <c r="A140" s="15"/>
      <c r="C140" s="5"/>
      <c r="D140" s="5"/>
      <c r="E140" s="5"/>
      <c r="F140" s="5"/>
      <c r="G140" s="5"/>
      <c r="H140" s="5"/>
      <c r="I140" s="5"/>
      <c r="J140" s="5"/>
      <c r="K140" s="8"/>
      <c r="L140" s="8"/>
    </row>
    <row r="141" spans="1:12" s="1" customFormat="1" x14ac:dyDescent="0.15">
      <c r="A141" s="15"/>
      <c r="C141" s="5"/>
      <c r="D141" s="5"/>
      <c r="E141" s="5"/>
      <c r="F141" s="5"/>
      <c r="G141" s="5"/>
      <c r="H141" s="5"/>
      <c r="I141" s="5"/>
      <c r="J141" s="5"/>
      <c r="K141" s="8"/>
      <c r="L141" s="8"/>
    </row>
    <row r="142" spans="1:12" s="1" customFormat="1" x14ac:dyDescent="0.15">
      <c r="A142" s="15"/>
      <c r="C142" s="5"/>
      <c r="D142" s="5"/>
      <c r="E142" s="5"/>
      <c r="F142" s="5"/>
      <c r="G142" s="5"/>
      <c r="H142" s="5"/>
      <c r="I142" s="5"/>
      <c r="J142" s="5"/>
      <c r="K142" s="8"/>
      <c r="L142" s="8"/>
    </row>
    <row r="143" spans="1:12" s="1" customFormat="1" x14ac:dyDescent="0.15">
      <c r="A143" s="15"/>
      <c r="C143" s="5"/>
      <c r="D143" s="5"/>
      <c r="E143" s="5"/>
      <c r="F143" s="5"/>
      <c r="G143" s="5"/>
      <c r="H143" s="5"/>
      <c r="I143" s="5"/>
      <c r="J143" s="5"/>
      <c r="K143" s="8"/>
      <c r="L143" s="8"/>
    </row>
    <row r="144" spans="1:12" s="1" customFormat="1" x14ac:dyDescent="0.15">
      <c r="A144" s="15"/>
      <c r="C144" s="5"/>
      <c r="D144" s="5"/>
      <c r="E144" s="5"/>
      <c r="F144" s="5"/>
      <c r="G144" s="5"/>
      <c r="H144" s="5"/>
      <c r="I144" s="5"/>
      <c r="J144" s="5"/>
      <c r="K144" s="8"/>
      <c r="L144" s="8"/>
    </row>
    <row r="145" spans="1:12" s="1" customFormat="1" x14ac:dyDescent="0.15">
      <c r="A145" s="15"/>
      <c r="C145" s="5"/>
      <c r="D145" s="5"/>
      <c r="E145" s="5"/>
      <c r="F145" s="5"/>
      <c r="G145" s="5"/>
      <c r="H145" s="5"/>
      <c r="I145" s="5"/>
      <c r="J145" s="5"/>
      <c r="K145" s="8"/>
      <c r="L145" s="8"/>
    </row>
    <row r="146" spans="1:12" s="1" customFormat="1" x14ac:dyDescent="0.15">
      <c r="A146" s="15"/>
      <c r="C146" s="5"/>
      <c r="D146" s="5"/>
      <c r="E146" s="5"/>
      <c r="F146" s="5"/>
      <c r="G146" s="5"/>
      <c r="H146" s="5"/>
      <c r="I146" s="5"/>
      <c r="J146" s="5"/>
      <c r="K146" s="8"/>
      <c r="L146" s="8"/>
    </row>
    <row r="147" spans="1:12" s="1" customFormat="1" x14ac:dyDescent="0.15">
      <c r="A147" s="15"/>
      <c r="C147" s="5"/>
      <c r="D147" s="5"/>
      <c r="E147" s="5"/>
      <c r="F147" s="5"/>
      <c r="G147" s="5"/>
      <c r="H147" s="5"/>
      <c r="I147" s="5"/>
      <c r="J147" s="5"/>
      <c r="K147" s="8"/>
      <c r="L147" s="8"/>
    </row>
    <row r="148" spans="1:12" s="1" customFormat="1" x14ac:dyDescent="0.15">
      <c r="A148" s="15"/>
      <c r="C148" s="5"/>
      <c r="D148" s="5"/>
      <c r="E148" s="5"/>
      <c r="F148" s="5"/>
      <c r="G148" s="5"/>
      <c r="H148" s="5"/>
      <c r="I148" s="5"/>
      <c r="J148" s="5"/>
      <c r="K148" s="8"/>
      <c r="L148" s="8"/>
    </row>
    <row r="149" spans="1:12" s="1" customFormat="1" x14ac:dyDescent="0.15">
      <c r="A149" s="15"/>
      <c r="C149" s="5"/>
      <c r="D149" s="5"/>
      <c r="E149" s="5"/>
      <c r="F149" s="5"/>
      <c r="G149" s="5"/>
      <c r="H149" s="5"/>
      <c r="I149" s="5"/>
      <c r="J149" s="5"/>
      <c r="K149" s="8"/>
      <c r="L149" s="8"/>
    </row>
    <row r="150" spans="1:12" s="1" customFormat="1" x14ac:dyDescent="0.15">
      <c r="A150" s="15"/>
      <c r="C150" s="5"/>
      <c r="D150" s="5"/>
      <c r="E150" s="5"/>
      <c r="F150" s="5"/>
      <c r="G150" s="5"/>
      <c r="H150" s="5"/>
      <c r="I150" s="5"/>
      <c r="J150" s="5"/>
      <c r="K150" s="8"/>
      <c r="L150" s="8"/>
    </row>
    <row r="151" spans="1:12" s="1" customFormat="1" x14ac:dyDescent="0.15">
      <c r="A151" s="15"/>
      <c r="C151" s="5"/>
      <c r="D151" s="5"/>
      <c r="E151" s="5"/>
      <c r="F151" s="5"/>
      <c r="G151" s="5"/>
      <c r="H151" s="5"/>
      <c r="I151" s="5"/>
      <c r="J151" s="5"/>
      <c r="K151" s="8"/>
      <c r="L151" s="8"/>
    </row>
    <row r="152" spans="1:12" s="1" customFormat="1" x14ac:dyDescent="0.15">
      <c r="A152" s="15"/>
      <c r="C152" s="5"/>
      <c r="D152" s="5"/>
      <c r="E152" s="5"/>
      <c r="F152" s="5"/>
      <c r="G152" s="5"/>
      <c r="H152" s="5"/>
      <c r="I152" s="5"/>
      <c r="J152" s="5"/>
      <c r="K152" s="8"/>
      <c r="L152" s="8"/>
    </row>
    <row r="153" spans="1:12" s="1" customFormat="1" x14ac:dyDescent="0.15">
      <c r="A153" s="15"/>
      <c r="C153" s="5"/>
      <c r="D153" s="5"/>
      <c r="E153" s="5"/>
      <c r="F153" s="5"/>
      <c r="G153" s="5"/>
      <c r="H153" s="5"/>
      <c r="I153" s="5"/>
      <c r="J153" s="5"/>
      <c r="K153" s="8"/>
      <c r="L153" s="8"/>
    </row>
    <row r="154" spans="1:12" s="1" customFormat="1" x14ac:dyDescent="0.15">
      <c r="A154" s="15"/>
      <c r="C154" s="5"/>
      <c r="D154" s="5"/>
      <c r="E154" s="5"/>
      <c r="F154" s="5"/>
      <c r="G154" s="5"/>
      <c r="H154" s="5"/>
      <c r="I154" s="5"/>
      <c r="J154" s="5"/>
      <c r="K154" s="8"/>
      <c r="L154" s="8"/>
    </row>
    <row r="155" spans="1:12" s="1" customFormat="1" x14ac:dyDescent="0.15">
      <c r="A155" s="15"/>
      <c r="C155" s="5"/>
      <c r="D155" s="5"/>
      <c r="E155" s="5"/>
      <c r="F155" s="5"/>
      <c r="G155" s="5"/>
      <c r="H155" s="5"/>
      <c r="I155" s="5"/>
      <c r="J155" s="5"/>
      <c r="K155" s="8"/>
      <c r="L155" s="8"/>
    </row>
    <row r="156" spans="1:12" s="1" customFormat="1" x14ac:dyDescent="0.15">
      <c r="A156" s="15"/>
      <c r="C156" s="5"/>
      <c r="D156" s="5"/>
      <c r="E156" s="5"/>
      <c r="F156" s="5"/>
      <c r="G156" s="5"/>
      <c r="H156" s="5"/>
      <c r="I156" s="5"/>
      <c r="J156" s="5"/>
      <c r="K156" s="8"/>
      <c r="L156" s="8"/>
    </row>
    <row r="157" spans="1:12" s="1" customFormat="1" x14ac:dyDescent="0.15">
      <c r="A157" s="15"/>
      <c r="C157" s="5"/>
      <c r="D157" s="5"/>
      <c r="E157" s="5"/>
      <c r="F157" s="5"/>
      <c r="G157" s="5"/>
      <c r="H157" s="5"/>
      <c r="I157" s="5"/>
      <c r="J157" s="5"/>
      <c r="K157" s="8"/>
      <c r="L157" s="8"/>
    </row>
    <row r="158" spans="1:12" s="1" customFormat="1" x14ac:dyDescent="0.15">
      <c r="A158" s="15"/>
      <c r="C158" s="5"/>
      <c r="D158" s="5"/>
      <c r="E158" s="5"/>
      <c r="F158" s="5"/>
      <c r="G158" s="5"/>
      <c r="H158" s="5"/>
      <c r="I158" s="5"/>
      <c r="J158" s="5"/>
      <c r="K158" s="8"/>
      <c r="L158" s="8"/>
    </row>
    <row r="159" spans="1:12" s="1" customFormat="1" x14ac:dyDescent="0.15">
      <c r="A159" s="15"/>
      <c r="C159" s="5"/>
      <c r="D159" s="5"/>
      <c r="E159" s="5"/>
      <c r="F159" s="5"/>
      <c r="G159" s="5"/>
      <c r="H159" s="5"/>
      <c r="I159" s="5"/>
      <c r="J159" s="5"/>
      <c r="K159" s="8"/>
      <c r="L159" s="8"/>
    </row>
    <row r="160" spans="1:12" s="1" customFormat="1" x14ac:dyDescent="0.15">
      <c r="A160" s="15"/>
      <c r="C160" s="5"/>
      <c r="D160" s="5"/>
      <c r="E160" s="5"/>
      <c r="F160" s="5"/>
      <c r="G160" s="5"/>
      <c r="H160" s="5"/>
      <c r="I160" s="5"/>
      <c r="J160" s="5"/>
      <c r="K160" s="8"/>
      <c r="L160" s="8"/>
    </row>
    <row r="161" spans="1:12" s="1" customFormat="1" x14ac:dyDescent="0.15">
      <c r="A161" s="15"/>
      <c r="C161" s="5"/>
      <c r="D161" s="5"/>
      <c r="E161" s="5"/>
      <c r="F161" s="5"/>
      <c r="G161" s="5"/>
      <c r="H161" s="5"/>
      <c r="I161" s="5"/>
      <c r="J161" s="5"/>
      <c r="K161" s="8"/>
      <c r="L161" s="8"/>
    </row>
    <row r="162" spans="1:12" s="1" customFormat="1" x14ac:dyDescent="0.15">
      <c r="A162" s="15"/>
      <c r="C162" s="5"/>
      <c r="D162" s="5"/>
      <c r="E162" s="5"/>
      <c r="F162" s="5"/>
      <c r="G162" s="5"/>
      <c r="H162" s="5"/>
      <c r="I162" s="5"/>
      <c r="J162" s="5"/>
      <c r="K162" s="8"/>
      <c r="L162" s="8"/>
    </row>
    <row r="163" spans="1:12" s="1" customFormat="1" x14ac:dyDescent="0.15">
      <c r="A163" s="15"/>
      <c r="C163" s="5"/>
      <c r="D163" s="5"/>
      <c r="E163" s="5"/>
      <c r="F163" s="5"/>
      <c r="G163" s="5"/>
      <c r="H163" s="5"/>
      <c r="I163" s="5"/>
      <c r="J163" s="5"/>
      <c r="K163" s="8"/>
      <c r="L163" s="8"/>
    </row>
    <row r="164" spans="1:12" s="1" customFormat="1" x14ac:dyDescent="0.15">
      <c r="A164" s="15"/>
      <c r="C164" s="5"/>
      <c r="D164" s="5"/>
      <c r="E164" s="5"/>
      <c r="F164" s="5"/>
      <c r="G164" s="5"/>
      <c r="H164" s="5"/>
      <c r="I164" s="5"/>
      <c r="J164" s="5"/>
      <c r="K164" s="8"/>
      <c r="L164" s="8"/>
    </row>
    <row r="165" spans="1:12" s="1" customFormat="1" x14ac:dyDescent="0.15">
      <c r="A165" s="15"/>
      <c r="C165" s="5"/>
      <c r="D165" s="5"/>
      <c r="E165" s="5"/>
      <c r="F165" s="5"/>
      <c r="G165" s="5"/>
      <c r="H165" s="5"/>
      <c r="I165" s="5"/>
      <c r="J165" s="5"/>
      <c r="K165" s="8"/>
      <c r="L165" s="8"/>
    </row>
    <row r="166" spans="1:12" s="1" customFormat="1" x14ac:dyDescent="0.15">
      <c r="A166" s="15"/>
      <c r="C166" s="5"/>
      <c r="D166" s="5"/>
      <c r="E166" s="5"/>
      <c r="F166" s="5"/>
      <c r="G166" s="5"/>
      <c r="H166" s="5"/>
      <c r="I166" s="5"/>
      <c r="J166" s="5"/>
      <c r="K166" s="8"/>
      <c r="L166" s="8"/>
    </row>
    <row r="167" spans="1:12" s="1" customFormat="1" x14ac:dyDescent="0.15">
      <c r="A167" s="15"/>
      <c r="C167" s="5"/>
      <c r="D167" s="5"/>
      <c r="E167" s="5"/>
      <c r="F167" s="5"/>
      <c r="G167" s="5"/>
      <c r="H167" s="5"/>
      <c r="I167" s="5"/>
      <c r="J167" s="5"/>
      <c r="K167" s="8"/>
      <c r="L167" s="8"/>
    </row>
    <row r="168" spans="1:12" s="1" customFormat="1" x14ac:dyDescent="0.15">
      <c r="A168" s="15"/>
      <c r="C168" s="5"/>
      <c r="D168" s="5"/>
      <c r="E168" s="5"/>
      <c r="F168" s="5"/>
      <c r="G168" s="5"/>
      <c r="H168" s="5"/>
      <c r="I168" s="5"/>
      <c r="J168" s="5"/>
      <c r="K168" s="8"/>
      <c r="L168" s="8"/>
    </row>
    <row r="169" spans="1:12" s="1" customFormat="1" x14ac:dyDescent="0.15">
      <c r="A169" s="15"/>
      <c r="C169" s="5"/>
      <c r="D169" s="5"/>
      <c r="E169" s="5"/>
      <c r="F169" s="5"/>
      <c r="G169" s="5"/>
      <c r="H169" s="5"/>
      <c r="I169" s="5"/>
      <c r="J169" s="5"/>
      <c r="K169" s="8"/>
      <c r="L169" s="8"/>
    </row>
    <row r="170" spans="1:12" s="1" customFormat="1" x14ac:dyDescent="0.15">
      <c r="A170" s="15"/>
      <c r="C170" s="5"/>
      <c r="D170" s="5"/>
      <c r="E170" s="5"/>
      <c r="F170" s="5"/>
      <c r="G170" s="5"/>
      <c r="H170" s="5"/>
      <c r="I170" s="5"/>
      <c r="J170" s="5"/>
      <c r="K170" s="8"/>
      <c r="L170" s="8"/>
    </row>
    <row r="171" spans="1:12" s="1" customFormat="1" x14ac:dyDescent="0.15">
      <c r="A171" s="15"/>
      <c r="C171" s="5"/>
      <c r="D171" s="5"/>
      <c r="E171" s="5"/>
      <c r="F171" s="5"/>
      <c r="G171" s="5"/>
      <c r="H171" s="5"/>
      <c r="I171" s="5"/>
      <c r="J171" s="5"/>
      <c r="K171" s="8"/>
      <c r="L171" s="8"/>
    </row>
    <row r="172" spans="1:12" s="1" customFormat="1" x14ac:dyDescent="0.15">
      <c r="A172" s="15"/>
      <c r="C172" s="5"/>
      <c r="D172" s="5"/>
      <c r="E172" s="5"/>
      <c r="F172" s="5"/>
      <c r="G172" s="5"/>
      <c r="H172" s="5"/>
      <c r="I172" s="5"/>
      <c r="J172" s="5"/>
      <c r="K172" s="8"/>
      <c r="L172" s="8"/>
    </row>
    <row r="173" spans="1:12" s="1" customFormat="1" x14ac:dyDescent="0.15">
      <c r="A173" s="15"/>
      <c r="C173" s="5"/>
      <c r="D173" s="5"/>
      <c r="E173" s="5"/>
      <c r="F173" s="5"/>
      <c r="G173" s="5"/>
      <c r="H173" s="5"/>
      <c r="I173" s="5"/>
      <c r="J173" s="5"/>
      <c r="K173" s="8"/>
      <c r="L173" s="8"/>
    </row>
    <row r="174" spans="1:12" s="1" customFormat="1" x14ac:dyDescent="0.15">
      <c r="A174" s="15"/>
      <c r="C174" s="5"/>
      <c r="D174" s="5"/>
      <c r="E174" s="5"/>
      <c r="F174" s="5"/>
      <c r="G174" s="5"/>
      <c r="H174" s="5"/>
      <c r="I174" s="5"/>
      <c r="J174" s="5"/>
      <c r="K174" s="8"/>
      <c r="L174" s="8"/>
    </row>
    <row r="175" spans="1:12" s="1" customFormat="1" x14ac:dyDescent="0.15">
      <c r="A175" s="15"/>
      <c r="C175" s="5"/>
      <c r="D175" s="5"/>
      <c r="E175" s="5"/>
      <c r="F175" s="5"/>
      <c r="G175" s="5"/>
      <c r="H175" s="5"/>
      <c r="I175" s="5"/>
      <c r="J175" s="5"/>
      <c r="K175" s="8"/>
      <c r="L175" s="8"/>
    </row>
    <row r="176" spans="1:12" s="1" customFormat="1" x14ac:dyDescent="0.15">
      <c r="A176" s="15"/>
      <c r="C176" s="5"/>
      <c r="D176" s="5"/>
      <c r="E176" s="5"/>
      <c r="F176" s="5"/>
      <c r="G176" s="5"/>
      <c r="H176" s="5"/>
      <c r="I176" s="5"/>
      <c r="J176" s="5"/>
      <c r="K176" s="8"/>
      <c r="L176" s="8"/>
    </row>
    <row r="177" spans="1:12" s="1" customFormat="1" x14ac:dyDescent="0.15">
      <c r="A177" s="15"/>
      <c r="C177" s="5"/>
      <c r="D177" s="5"/>
      <c r="E177" s="5"/>
      <c r="F177" s="5"/>
      <c r="G177" s="5"/>
      <c r="H177" s="5"/>
      <c r="I177" s="5"/>
      <c r="J177" s="5"/>
      <c r="K177" s="8"/>
      <c r="L177" s="8"/>
    </row>
    <row r="178" spans="1:12" s="1" customFormat="1" x14ac:dyDescent="0.15">
      <c r="A178" s="15"/>
      <c r="C178" s="5"/>
      <c r="D178" s="5"/>
      <c r="E178" s="5"/>
      <c r="F178" s="5"/>
      <c r="G178" s="5"/>
      <c r="H178" s="5"/>
      <c r="I178" s="5"/>
      <c r="J178" s="5"/>
      <c r="K178" s="8"/>
      <c r="L178" s="8"/>
    </row>
    <row r="179" spans="1:12" s="1" customFormat="1" x14ac:dyDescent="0.15">
      <c r="A179" s="15"/>
      <c r="C179" s="5"/>
      <c r="D179" s="5"/>
      <c r="E179" s="5"/>
      <c r="F179" s="5"/>
      <c r="G179" s="5"/>
      <c r="H179" s="5"/>
      <c r="I179" s="5"/>
      <c r="J179" s="5"/>
      <c r="K179" s="8"/>
      <c r="L179" s="8"/>
    </row>
    <row r="180" spans="1:12" s="1" customFormat="1" x14ac:dyDescent="0.15">
      <c r="A180" s="15"/>
      <c r="C180" s="5"/>
      <c r="D180" s="5"/>
      <c r="E180" s="5"/>
      <c r="F180" s="5"/>
      <c r="G180" s="5"/>
      <c r="H180" s="5"/>
      <c r="I180" s="5"/>
      <c r="J180" s="5"/>
      <c r="K180" s="8"/>
      <c r="L180" s="8"/>
    </row>
    <row r="181" spans="1:12" s="1" customFormat="1" x14ac:dyDescent="0.15">
      <c r="A181" s="15"/>
      <c r="C181" s="5"/>
      <c r="D181" s="5"/>
      <c r="E181" s="5"/>
      <c r="F181" s="5"/>
      <c r="G181" s="5"/>
      <c r="H181" s="5"/>
      <c r="I181" s="5"/>
      <c r="J181" s="5"/>
      <c r="K181" s="8"/>
      <c r="L181" s="8"/>
    </row>
    <row r="182" spans="1:12" s="1" customFormat="1" x14ac:dyDescent="0.15">
      <c r="A182" s="15"/>
      <c r="C182" s="5"/>
      <c r="D182" s="5"/>
      <c r="E182" s="5"/>
      <c r="F182" s="5"/>
      <c r="G182" s="5"/>
      <c r="H182" s="5"/>
      <c r="I182" s="5"/>
      <c r="J182" s="5"/>
      <c r="K182" s="8"/>
      <c r="L182" s="8"/>
    </row>
    <row r="183" spans="1:12" s="1" customFormat="1" x14ac:dyDescent="0.15">
      <c r="A183" s="15"/>
      <c r="C183" s="5"/>
      <c r="D183" s="5"/>
      <c r="E183" s="5"/>
      <c r="F183" s="5"/>
      <c r="G183" s="5"/>
      <c r="H183" s="5"/>
      <c r="I183" s="5"/>
      <c r="J183" s="5"/>
      <c r="K183" s="8"/>
      <c r="L183" s="8"/>
    </row>
    <row r="184" spans="1:12" s="1" customFormat="1" x14ac:dyDescent="0.15">
      <c r="A184" s="15"/>
      <c r="C184" s="5"/>
      <c r="D184" s="5"/>
      <c r="E184" s="5"/>
      <c r="F184" s="5"/>
      <c r="G184" s="5"/>
      <c r="H184" s="5"/>
      <c r="I184" s="5"/>
      <c r="J184" s="5"/>
      <c r="K184" s="8"/>
      <c r="L184" s="8"/>
    </row>
    <row r="185" spans="1:12" s="1" customFormat="1" x14ac:dyDescent="0.15">
      <c r="A185" s="15"/>
      <c r="C185" s="5"/>
      <c r="D185" s="5"/>
      <c r="E185" s="5"/>
      <c r="F185" s="5"/>
      <c r="G185" s="5"/>
      <c r="H185" s="5"/>
      <c r="I185" s="5"/>
      <c r="J185" s="5"/>
      <c r="K185" s="8"/>
      <c r="L185" s="8"/>
    </row>
    <row r="186" spans="1:12" s="1" customFormat="1" x14ac:dyDescent="0.15">
      <c r="A186" s="15"/>
      <c r="C186" s="5"/>
      <c r="D186" s="5"/>
      <c r="E186" s="5"/>
      <c r="F186" s="5"/>
      <c r="G186" s="5"/>
      <c r="H186" s="5"/>
      <c r="I186" s="5"/>
      <c r="J186" s="5"/>
      <c r="K186" s="8"/>
      <c r="L186" s="8"/>
    </row>
    <row r="187" spans="1:12" s="1" customFormat="1" x14ac:dyDescent="0.15">
      <c r="A187" s="15"/>
      <c r="C187" s="5"/>
      <c r="D187" s="5"/>
      <c r="E187" s="5"/>
      <c r="F187" s="5"/>
      <c r="G187" s="5"/>
      <c r="H187" s="5"/>
      <c r="I187" s="5"/>
      <c r="J187" s="5"/>
      <c r="K187" s="8"/>
      <c r="L187" s="8"/>
    </row>
    <row r="188" spans="1:12" s="1" customFormat="1" x14ac:dyDescent="0.15">
      <c r="A188" s="15"/>
      <c r="C188" s="5"/>
      <c r="D188" s="5"/>
      <c r="E188" s="5"/>
      <c r="F188" s="5"/>
      <c r="G188" s="5"/>
      <c r="H188" s="5"/>
      <c r="I188" s="5"/>
      <c r="J188" s="5"/>
      <c r="K188" s="8"/>
      <c r="L188" s="8"/>
    </row>
    <row r="189" spans="1:12" s="1" customFormat="1" x14ac:dyDescent="0.15">
      <c r="A189" s="15"/>
      <c r="C189" s="5"/>
      <c r="D189" s="5"/>
      <c r="E189" s="5"/>
      <c r="F189" s="5"/>
      <c r="G189" s="5"/>
      <c r="H189" s="5"/>
      <c r="I189" s="5"/>
      <c r="J189" s="5"/>
      <c r="K189" s="8"/>
      <c r="L189" s="8"/>
    </row>
    <row r="190" spans="1:12" s="1" customFormat="1" x14ac:dyDescent="0.15">
      <c r="A190" s="15"/>
      <c r="C190" s="5"/>
      <c r="D190" s="5"/>
      <c r="E190" s="5"/>
      <c r="F190" s="5"/>
      <c r="G190" s="5"/>
      <c r="H190" s="5"/>
      <c r="I190" s="5"/>
      <c r="J190" s="5"/>
      <c r="K190" s="8"/>
      <c r="L190" s="8"/>
    </row>
    <row r="191" spans="1:12" s="1" customFormat="1" x14ac:dyDescent="0.15">
      <c r="A191" s="15"/>
      <c r="C191" s="5"/>
      <c r="D191" s="5"/>
      <c r="E191" s="5"/>
      <c r="F191" s="5"/>
      <c r="G191" s="5"/>
      <c r="H191" s="5"/>
      <c r="I191" s="5"/>
      <c r="J191" s="5"/>
      <c r="K191" s="8"/>
      <c r="L191" s="8"/>
    </row>
    <row r="192" spans="1:12" s="1" customFormat="1" x14ac:dyDescent="0.15">
      <c r="A192" s="15"/>
      <c r="C192" s="5"/>
      <c r="D192" s="5"/>
      <c r="E192" s="5"/>
      <c r="F192" s="5"/>
      <c r="G192" s="5"/>
      <c r="H192" s="5"/>
      <c r="I192" s="5"/>
      <c r="J192" s="5"/>
      <c r="K192" s="8"/>
      <c r="L192" s="8"/>
    </row>
    <row r="193" spans="1:12" s="1" customFormat="1" x14ac:dyDescent="0.15">
      <c r="A193" s="15"/>
      <c r="C193" s="5"/>
      <c r="D193" s="5"/>
      <c r="E193" s="5"/>
      <c r="F193" s="5"/>
      <c r="G193" s="5"/>
      <c r="H193" s="5"/>
      <c r="I193" s="5"/>
      <c r="J193" s="5"/>
      <c r="K193" s="8"/>
      <c r="L193" s="8"/>
    </row>
    <row r="194" spans="1:12" s="1" customFormat="1" x14ac:dyDescent="0.15">
      <c r="A194" s="15"/>
      <c r="C194" s="5"/>
      <c r="D194" s="5"/>
      <c r="E194" s="5"/>
      <c r="F194" s="5"/>
      <c r="G194" s="5"/>
      <c r="H194" s="5"/>
      <c r="I194" s="5"/>
      <c r="J194" s="5"/>
      <c r="K194" s="8"/>
      <c r="L194" s="8"/>
    </row>
    <row r="195" spans="1:12" s="1" customFormat="1" x14ac:dyDescent="0.15">
      <c r="A195" s="15"/>
      <c r="C195" s="5"/>
      <c r="D195" s="5"/>
      <c r="E195" s="5"/>
      <c r="F195" s="5"/>
      <c r="G195" s="5"/>
      <c r="H195" s="5"/>
      <c r="I195" s="5"/>
      <c r="J195" s="5"/>
      <c r="K195" s="8"/>
      <c r="L195" s="8"/>
    </row>
    <row r="196" spans="1:12" s="1" customFormat="1" x14ac:dyDescent="0.15">
      <c r="A196" s="15"/>
      <c r="C196" s="5"/>
      <c r="D196" s="5"/>
      <c r="E196" s="5"/>
      <c r="F196" s="5"/>
      <c r="G196" s="5"/>
      <c r="H196" s="5"/>
      <c r="I196" s="5"/>
      <c r="J196" s="5"/>
      <c r="K196" s="8"/>
      <c r="L196" s="8"/>
    </row>
    <row r="197" spans="1:12" s="1" customFormat="1" x14ac:dyDescent="0.15">
      <c r="A197" s="15"/>
      <c r="C197" s="5"/>
      <c r="D197" s="5"/>
      <c r="E197" s="5"/>
      <c r="F197" s="5"/>
      <c r="G197" s="5"/>
      <c r="H197" s="5"/>
      <c r="I197" s="5"/>
      <c r="J197" s="5"/>
      <c r="K197" s="8"/>
      <c r="L197" s="8"/>
    </row>
    <row r="198" spans="1:12" s="1" customFormat="1" x14ac:dyDescent="0.15">
      <c r="A198" s="15"/>
      <c r="C198" s="5"/>
      <c r="D198" s="5"/>
      <c r="E198" s="5"/>
      <c r="F198" s="5"/>
      <c r="G198" s="5"/>
      <c r="H198" s="5"/>
      <c r="I198" s="5"/>
      <c r="J198" s="5"/>
      <c r="K198" s="8"/>
      <c r="L198" s="8"/>
    </row>
    <row r="199" spans="1:12" s="1" customFormat="1" x14ac:dyDescent="0.15">
      <c r="A199" s="15"/>
      <c r="C199" s="5"/>
      <c r="D199" s="5"/>
      <c r="E199" s="5"/>
      <c r="F199" s="5"/>
      <c r="G199" s="5"/>
      <c r="H199" s="5"/>
      <c r="I199" s="5"/>
      <c r="J199" s="5"/>
      <c r="K199" s="8"/>
      <c r="L199" s="8"/>
    </row>
    <row r="200" spans="1:12" s="1" customFormat="1" x14ac:dyDescent="0.15">
      <c r="A200" s="15"/>
      <c r="C200" s="5"/>
      <c r="D200" s="5"/>
      <c r="E200" s="5"/>
      <c r="F200" s="5"/>
      <c r="G200" s="5"/>
      <c r="H200" s="5"/>
      <c r="I200" s="5"/>
      <c r="J200" s="5"/>
      <c r="K200" s="8"/>
      <c r="L200" s="8"/>
    </row>
    <row r="201" spans="1:12" s="1" customFormat="1" x14ac:dyDescent="0.15">
      <c r="A201" s="15"/>
      <c r="C201" s="5"/>
      <c r="D201" s="5"/>
      <c r="E201" s="5"/>
      <c r="F201" s="5"/>
      <c r="G201" s="5"/>
      <c r="H201" s="5"/>
      <c r="I201" s="5"/>
      <c r="J201" s="5"/>
      <c r="K201" s="8"/>
      <c r="L201" s="8"/>
    </row>
    <row r="202" spans="1:12" s="1" customFormat="1" x14ac:dyDescent="0.15">
      <c r="A202" s="15"/>
      <c r="C202" s="5"/>
      <c r="D202" s="5"/>
      <c r="E202" s="5"/>
      <c r="F202" s="5"/>
      <c r="G202" s="5"/>
      <c r="H202" s="5"/>
      <c r="I202" s="5"/>
      <c r="J202" s="5"/>
      <c r="K202" s="8"/>
      <c r="L202" s="8"/>
    </row>
    <row r="203" spans="1:12" s="1" customFormat="1" x14ac:dyDescent="0.15">
      <c r="A203" s="15"/>
      <c r="C203" s="5"/>
      <c r="D203" s="5"/>
      <c r="E203" s="5"/>
      <c r="F203" s="5"/>
      <c r="G203" s="5"/>
      <c r="H203" s="5"/>
      <c r="I203" s="5"/>
      <c r="J203" s="5"/>
      <c r="K203" s="8"/>
      <c r="L203" s="8"/>
    </row>
    <row r="204" spans="1:12" s="1" customFormat="1" x14ac:dyDescent="0.15">
      <c r="A204" s="15"/>
      <c r="C204" s="5"/>
      <c r="D204" s="5"/>
      <c r="E204" s="5"/>
      <c r="F204" s="5"/>
      <c r="G204" s="5"/>
      <c r="H204" s="5"/>
      <c r="I204" s="5"/>
      <c r="J204" s="5"/>
      <c r="K204" s="8"/>
      <c r="L204" s="8"/>
    </row>
    <row r="205" spans="1:12" s="1" customFormat="1" x14ac:dyDescent="0.15">
      <c r="A205" s="15"/>
      <c r="C205" s="5"/>
      <c r="D205" s="5"/>
      <c r="E205" s="5"/>
      <c r="F205" s="5"/>
      <c r="G205" s="5"/>
      <c r="H205" s="5"/>
      <c r="I205" s="5"/>
      <c r="J205" s="5"/>
      <c r="K205" s="8"/>
      <c r="L205" s="8"/>
    </row>
    <row r="206" spans="1:12" s="1" customFormat="1" x14ac:dyDescent="0.15">
      <c r="A206" s="15"/>
      <c r="C206" s="5"/>
      <c r="D206" s="5"/>
      <c r="E206" s="5"/>
      <c r="F206" s="5"/>
      <c r="G206" s="5"/>
      <c r="H206" s="5"/>
      <c r="I206" s="5"/>
      <c r="J206" s="5"/>
      <c r="K206" s="8"/>
      <c r="L206" s="8"/>
    </row>
    <row r="207" spans="1:12" s="1" customFormat="1" x14ac:dyDescent="0.15">
      <c r="A207" s="15"/>
      <c r="C207" s="5"/>
      <c r="D207" s="5"/>
      <c r="E207" s="5"/>
      <c r="F207" s="5"/>
      <c r="G207" s="5"/>
      <c r="H207" s="5"/>
      <c r="I207" s="5"/>
      <c r="J207" s="5"/>
      <c r="K207" s="8"/>
      <c r="L207" s="8"/>
    </row>
    <row r="208" spans="1:12" s="1" customFormat="1" x14ac:dyDescent="0.15">
      <c r="A208" s="15"/>
      <c r="C208" s="5"/>
      <c r="D208" s="5"/>
      <c r="E208" s="5"/>
      <c r="F208" s="5"/>
      <c r="G208" s="5"/>
      <c r="H208" s="5"/>
      <c r="I208" s="5"/>
      <c r="J208" s="5"/>
      <c r="K208" s="8"/>
      <c r="L208" s="8"/>
    </row>
    <row r="209" spans="1:12" s="1" customFormat="1" x14ac:dyDescent="0.15">
      <c r="A209" s="15"/>
      <c r="C209" s="5"/>
      <c r="D209" s="5"/>
      <c r="E209" s="5"/>
      <c r="F209" s="5"/>
      <c r="G209" s="5"/>
      <c r="H209" s="5"/>
      <c r="I209" s="5"/>
      <c r="J209" s="5"/>
      <c r="K209" s="8"/>
      <c r="L209" s="8"/>
    </row>
    <row r="210" spans="1:12" s="1" customFormat="1" x14ac:dyDescent="0.15">
      <c r="A210" s="15"/>
      <c r="C210" s="5"/>
      <c r="D210" s="5"/>
      <c r="E210" s="5"/>
      <c r="F210" s="5"/>
      <c r="G210" s="5"/>
      <c r="H210" s="5"/>
      <c r="I210" s="5"/>
      <c r="J210" s="5"/>
      <c r="K210" s="8"/>
      <c r="L210" s="8"/>
    </row>
    <row r="211" spans="1:12" s="1" customFormat="1" x14ac:dyDescent="0.15">
      <c r="A211" s="15"/>
      <c r="C211" s="5"/>
      <c r="D211" s="5"/>
      <c r="E211" s="5"/>
      <c r="F211" s="5"/>
      <c r="G211" s="5"/>
      <c r="H211" s="5"/>
      <c r="I211" s="5"/>
      <c r="J211" s="5"/>
      <c r="K211" s="8"/>
      <c r="L211" s="8"/>
    </row>
    <row r="212" spans="1:12" s="1" customFormat="1" x14ac:dyDescent="0.15">
      <c r="A212" s="15"/>
      <c r="C212" s="5"/>
      <c r="D212" s="5"/>
      <c r="E212" s="5"/>
      <c r="F212" s="5"/>
      <c r="G212" s="5"/>
      <c r="H212" s="5"/>
      <c r="I212" s="5"/>
      <c r="J212" s="5"/>
      <c r="K212" s="8"/>
      <c r="L212" s="8"/>
    </row>
    <row r="213" spans="1:12" s="1" customFormat="1" x14ac:dyDescent="0.15">
      <c r="A213" s="15"/>
      <c r="C213" s="5"/>
      <c r="D213" s="5"/>
      <c r="E213" s="5"/>
      <c r="F213" s="5"/>
      <c r="G213" s="5"/>
      <c r="H213" s="5"/>
      <c r="I213" s="5"/>
      <c r="J213" s="5"/>
      <c r="K213" s="8"/>
      <c r="L213" s="8"/>
    </row>
    <row r="214" spans="1:12" s="1" customFormat="1" x14ac:dyDescent="0.15">
      <c r="A214" s="15"/>
      <c r="C214" s="5"/>
      <c r="D214" s="5"/>
      <c r="E214" s="5"/>
      <c r="F214" s="5"/>
      <c r="G214" s="5"/>
      <c r="H214" s="5"/>
      <c r="I214" s="5"/>
      <c r="J214" s="5"/>
      <c r="K214" s="8"/>
      <c r="L214" s="8"/>
    </row>
    <row r="215" spans="1:12" s="1" customFormat="1" x14ac:dyDescent="0.15">
      <c r="A215" s="15"/>
      <c r="C215" s="5"/>
      <c r="D215" s="5"/>
      <c r="E215" s="5"/>
      <c r="F215" s="5"/>
      <c r="G215" s="5"/>
      <c r="H215" s="5"/>
      <c r="I215" s="5"/>
      <c r="J215" s="5"/>
      <c r="K215" s="8"/>
      <c r="L215" s="8"/>
    </row>
    <row r="216" spans="1:12" s="1" customFormat="1" x14ac:dyDescent="0.15">
      <c r="A216" s="15"/>
      <c r="C216" s="5"/>
      <c r="D216" s="5"/>
      <c r="E216" s="5"/>
      <c r="F216" s="5"/>
      <c r="G216" s="5"/>
      <c r="H216" s="5"/>
      <c r="I216" s="5"/>
      <c r="J216" s="5"/>
      <c r="K216" s="8"/>
      <c r="L216" s="8"/>
    </row>
    <row r="217" spans="1:12" s="1" customFormat="1" x14ac:dyDescent="0.15">
      <c r="A217" s="15"/>
      <c r="C217" s="5"/>
      <c r="D217" s="5"/>
      <c r="E217" s="5"/>
      <c r="F217" s="5"/>
      <c r="G217" s="5"/>
      <c r="H217" s="5"/>
      <c r="I217" s="5"/>
      <c r="J217" s="5"/>
      <c r="K217" s="8"/>
      <c r="L217" s="8"/>
    </row>
    <row r="218" spans="1:12" s="1" customFormat="1" x14ac:dyDescent="0.15">
      <c r="A218" s="15"/>
      <c r="C218" s="5"/>
      <c r="D218" s="5"/>
      <c r="E218" s="5"/>
      <c r="F218" s="5"/>
      <c r="G218" s="5"/>
      <c r="H218" s="5"/>
      <c r="I218" s="5"/>
      <c r="J218" s="5"/>
      <c r="K218" s="8"/>
      <c r="L218" s="8"/>
    </row>
    <row r="219" spans="1:12" s="1" customFormat="1" x14ac:dyDescent="0.15">
      <c r="A219" s="15"/>
      <c r="C219" s="5"/>
      <c r="D219" s="5"/>
      <c r="E219" s="5"/>
      <c r="F219" s="5"/>
      <c r="G219" s="5"/>
      <c r="H219" s="5"/>
      <c r="I219" s="5"/>
      <c r="J219" s="5"/>
      <c r="K219" s="8"/>
      <c r="L219" s="8"/>
    </row>
    <row r="220" spans="1:12" s="1" customFormat="1" x14ac:dyDescent="0.15">
      <c r="A220" s="15"/>
      <c r="C220" s="5"/>
      <c r="D220" s="5"/>
      <c r="E220" s="5"/>
      <c r="F220" s="5"/>
      <c r="G220" s="5"/>
      <c r="H220" s="5"/>
      <c r="I220" s="5"/>
      <c r="J220" s="5"/>
      <c r="K220" s="8"/>
      <c r="L220" s="8"/>
    </row>
    <row r="221" spans="1:12" s="1" customFormat="1" x14ac:dyDescent="0.15">
      <c r="A221" s="15"/>
      <c r="C221" s="5"/>
      <c r="D221" s="5"/>
      <c r="E221" s="5"/>
      <c r="F221" s="5"/>
      <c r="G221" s="5"/>
      <c r="H221" s="5"/>
      <c r="I221" s="5"/>
      <c r="J221" s="5"/>
      <c r="K221" s="8"/>
      <c r="L221" s="8"/>
    </row>
    <row r="222" spans="1:12" s="1" customFormat="1" x14ac:dyDescent="0.15">
      <c r="A222" s="15"/>
      <c r="C222" s="5"/>
      <c r="D222" s="5"/>
      <c r="E222" s="5"/>
      <c r="F222" s="5"/>
      <c r="G222" s="5"/>
      <c r="H222" s="5"/>
      <c r="I222" s="5"/>
      <c r="J222" s="5"/>
      <c r="K222" s="8"/>
      <c r="L222" s="8"/>
    </row>
    <row r="223" spans="1:12" s="1" customFormat="1" x14ac:dyDescent="0.15">
      <c r="A223" s="15"/>
      <c r="C223" s="5"/>
      <c r="D223" s="5"/>
      <c r="E223" s="5"/>
      <c r="F223" s="5"/>
      <c r="G223" s="5"/>
      <c r="H223" s="5"/>
      <c r="I223" s="5"/>
      <c r="J223" s="5"/>
      <c r="K223" s="8"/>
      <c r="L223" s="8"/>
    </row>
    <row r="224" spans="1:12" s="1" customFormat="1" x14ac:dyDescent="0.15">
      <c r="A224" s="15"/>
      <c r="C224" s="5"/>
      <c r="D224" s="5"/>
      <c r="E224" s="5"/>
      <c r="F224" s="5"/>
      <c r="G224" s="5"/>
      <c r="H224" s="5"/>
      <c r="I224" s="5"/>
      <c r="J224" s="5"/>
      <c r="K224" s="8"/>
      <c r="L224" s="8"/>
    </row>
    <row r="225" spans="1:12" s="1" customFormat="1" x14ac:dyDescent="0.15">
      <c r="A225" s="15"/>
      <c r="C225" s="5"/>
      <c r="D225" s="5"/>
      <c r="E225" s="5"/>
      <c r="F225" s="5"/>
      <c r="G225" s="5"/>
      <c r="H225" s="5"/>
      <c r="I225" s="5"/>
      <c r="J225" s="5"/>
      <c r="K225" s="8"/>
      <c r="L225" s="8"/>
    </row>
    <row r="226" spans="1:12" s="1" customFormat="1" x14ac:dyDescent="0.15">
      <c r="A226" s="15"/>
      <c r="C226" s="5"/>
      <c r="D226" s="5"/>
      <c r="E226" s="5"/>
      <c r="F226" s="5"/>
      <c r="G226" s="5"/>
      <c r="H226" s="5"/>
      <c r="I226" s="5"/>
      <c r="J226" s="5"/>
      <c r="K226" s="8"/>
      <c r="L226" s="8"/>
    </row>
    <row r="227" spans="1:12" s="1" customFormat="1" x14ac:dyDescent="0.15">
      <c r="A227" s="15"/>
      <c r="C227" s="5"/>
      <c r="D227" s="5"/>
      <c r="E227" s="5"/>
      <c r="F227" s="5"/>
      <c r="G227" s="5"/>
      <c r="H227" s="5"/>
      <c r="I227" s="5"/>
      <c r="J227" s="5"/>
      <c r="K227" s="8"/>
      <c r="L227" s="8"/>
    </row>
    <row r="228" spans="1:12" s="1" customFormat="1" x14ac:dyDescent="0.15">
      <c r="A228" s="15"/>
      <c r="C228" s="5"/>
      <c r="D228" s="5"/>
      <c r="E228" s="5"/>
      <c r="F228" s="5"/>
      <c r="G228" s="5"/>
      <c r="H228" s="5"/>
      <c r="I228" s="5"/>
      <c r="J228" s="5"/>
      <c r="K228" s="8"/>
      <c r="L228" s="8"/>
    </row>
    <row r="229" spans="1:12" s="1" customFormat="1" x14ac:dyDescent="0.15">
      <c r="A229" s="15"/>
      <c r="C229" s="5"/>
      <c r="D229" s="5"/>
      <c r="E229" s="5"/>
      <c r="F229" s="5"/>
      <c r="G229" s="5"/>
      <c r="H229" s="5"/>
      <c r="I229" s="5"/>
      <c r="J229" s="5"/>
      <c r="K229" s="8"/>
      <c r="L229" s="8"/>
    </row>
    <row r="230" spans="1:12" s="1" customFormat="1" x14ac:dyDescent="0.15">
      <c r="A230" s="15"/>
      <c r="C230" s="5"/>
      <c r="D230" s="5"/>
      <c r="E230" s="5"/>
      <c r="F230" s="5"/>
      <c r="G230" s="5"/>
      <c r="H230" s="5"/>
      <c r="I230" s="5"/>
      <c r="J230" s="5"/>
      <c r="K230" s="8"/>
      <c r="L230" s="8"/>
    </row>
    <row r="231" spans="1:12" s="1" customFormat="1" x14ac:dyDescent="0.15">
      <c r="A231" s="15"/>
      <c r="C231" s="5"/>
      <c r="D231" s="5"/>
      <c r="E231" s="5"/>
      <c r="F231" s="5"/>
      <c r="G231" s="5"/>
      <c r="H231" s="5"/>
      <c r="I231" s="5"/>
      <c r="J231" s="5"/>
      <c r="K231" s="8"/>
      <c r="L231" s="8"/>
    </row>
    <row r="232" spans="1:12" s="1" customFormat="1" x14ac:dyDescent="0.15">
      <c r="A232" s="15"/>
      <c r="C232" s="5"/>
      <c r="D232" s="5"/>
      <c r="E232" s="5"/>
      <c r="F232" s="5"/>
      <c r="G232" s="5"/>
      <c r="H232" s="5"/>
      <c r="I232" s="5"/>
      <c r="J232" s="5"/>
      <c r="K232" s="8"/>
      <c r="L232" s="8"/>
    </row>
    <row r="233" spans="1:12" s="1" customFormat="1" x14ac:dyDescent="0.15">
      <c r="A233" s="15"/>
      <c r="C233" s="5"/>
      <c r="D233" s="5"/>
      <c r="E233" s="5"/>
      <c r="F233" s="5"/>
      <c r="G233" s="5"/>
      <c r="H233" s="5"/>
      <c r="I233" s="5"/>
      <c r="J233" s="5"/>
      <c r="K233" s="8"/>
      <c r="L233" s="8"/>
    </row>
    <row r="234" spans="1:12" s="1" customFormat="1" x14ac:dyDescent="0.15">
      <c r="A234" s="15"/>
      <c r="C234" s="5"/>
      <c r="D234" s="5"/>
      <c r="E234" s="5"/>
      <c r="F234" s="5"/>
      <c r="G234" s="5"/>
      <c r="H234" s="5"/>
      <c r="I234" s="5"/>
      <c r="J234" s="5"/>
      <c r="K234" s="8"/>
      <c r="L234" s="8"/>
    </row>
    <row r="235" spans="1:12" s="1" customFormat="1" x14ac:dyDescent="0.15">
      <c r="A235" s="15"/>
      <c r="C235" s="5"/>
      <c r="D235" s="5"/>
      <c r="E235" s="5"/>
      <c r="F235" s="5"/>
      <c r="G235" s="5"/>
      <c r="H235" s="5"/>
      <c r="I235" s="5"/>
      <c r="J235" s="5"/>
      <c r="K235" s="8"/>
      <c r="L235" s="8"/>
    </row>
    <row r="236" spans="1:12" s="1" customFormat="1" x14ac:dyDescent="0.15">
      <c r="A236" s="15"/>
      <c r="C236" s="5"/>
      <c r="D236" s="5"/>
      <c r="E236" s="5"/>
      <c r="F236" s="5"/>
      <c r="G236" s="5"/>
      <c r="H236" s="5"/>
      <c r="I236" s="5"/>
      <c r="J236" s="5"/>
      <c r="K236" s="8"/>
      <c r="L236" s="8"/>
    </row>
    <row r="237" spans="1:12" s="1" customFormat="1" x14ac:dyDescent="0.15">
      <c r="A237" s="15"/>
      <c r="C237" s="5"/>
      <c r="D237" s="5"/>
      <c r="E237" s="5"/>
      <c r="F237" s="5"/>
      <c r="G237" s="5"/>
      <c r="H237" s="5"/>
      <c r="I237" s="5"/>
      <c r="J237" s="5"/>
      <c r="K237" s="8"/>
      <c r="L237" s="8"/>
    </row>
    <row r="238" spans="1:12" s="1" customFormat="1" x14ac:dyDescent="0.15">
      <c r="A238" s="15"/>
      <c r="C238" s="5"/>
      <c r="D238" s="5"/>
      <c r="E238" s="5"/>
      <c r="F238" s="5"/>
      <c r="G238" s="5"/>
      <c r="H238" s="5"/>
      <c r="I238" s="5"/>
      <c r="J238" s="5"/>
      <c r="K238" s="8"/>
      <c r="L238" s="8"/>
    </row>
    <row r="239" spans="1:12" s="1" customFormat="1" x14ac:dyDescent="0.15">
      <c r="A239" s="15"/>
      <c r="C239" s="5"/>
      <c r="D239" s="5"/>
      <c r="E239" s="5"/>
      <c r="F239" s="5"/>
      <c r="G239" s="5"/>
      <c r="H239" s="5"/>
      <c r="I239" s="5"/>
      <c r="J239" s="5"/>
      <c r="K239" s="8"/>
      <c r="L239" s="8"/>
    </row>
    <row r="240" spans="1:12" s="1" customFormat="1" x14ac:dyDescent="0.15">
      <c r="A240" s="15"/>
      <c r="C240" s="5"/>
      <c r="D240" s="5"/>
      <c r="E240" s="5"/>
      <c r="F240" s="5"/>
      <c r="G240" s="5"/>
      <c r="H240" s="5"/>
      <c r="I240" s="5"/>
      <c r="J240" s="5"/>
      <c r="K240" s="8"/>
      <c r="L240" s="8"/>
    </row>
    <row r="241" spans="1:12" s="1" customFormat="1" x14ac:dyDescent="0.15">
      <c r="A241" s="15"/>
      <c r="C241" s="5"/>
      <c r="D241" s="5"/>
      <c r="E241" s="5"/>
      <c r="F241" s="5"/>
      <c r="G241" s="5"/>
      <c r="H241" s="5"/>
      <c r="I241" s="5"/>
      <c r="J241" s="5"/>
      <c r="K241" s="8"/>
      <c r="L241" s="8"/>
    </row>
    <row r="242" spans="1:12" s="1" customFormat="1" x14ac:dyDescent="0.15">
      <c r="A242" s="15"/>
      <c r="C242" s="5"/>
      <c r="D242" s="5"/>
      <c r="E242" s="5"/>
      <c r="F242" s="5"/>
      <c r="G242" s="5"/>
      <c r="H242" s="5"/>
      <c r="I242" s="5"/>
      <c r="J242" s="5"/>
      <c r="K242" s="8"/>
      <c r="L242" s="8"/>
    </row>
    <row r="243" spans="1:12" s="1" customFormat="1" x14ac:dyDescent="0.15">
      <c r="A243" s="15"/>
      <c r="C243" s="5"/>
      <c r="D243" s="5"/>
      <c r="E243" s="5"/>
      <c r="F243" s="5"/>
      <c r="G243" s="5"/>
      <c r="H243" s="5"/>
      <c r="I243" s="5"/>
      <c r="J243" s="5"/>
      <c r="K243" s="8"/>
      <c r="L243" s="8"/>
    </row>
    <row r="244" spans="1:12" s="1" customFormat="1" x14ac:dyDescent="0.15">
      <c r="A244" s="15"/>
      <c r="C244" s="5"/>
      <c r="D244" s="5"/>
      <c r="E244" s="5"/>
      <c r="F244" s="5"/>
      <c r="G244" s="5"/>
      <c r="H244" s="5"/>
      <c r="I244" s="5"/>
      <c r="J244" s="5"/>
      <c r="K244" s="8"/>
      <c r="L244" s="8"/>
    </row>
    <row r="245" spans="1:12" s="1" customFormat="1" x14ac:dyDescent="0.15">
      <c r="A245" s="15"/>
      <c r="C245" s="5"/>
      <c r="D245" s="5"/>
      <c r="E245" s="5"/>
      <c r="F245" s="5"/>
      <c r="G245" s="5"/>
      <c r="H245" s="5"/>
      <c r="I245" s="5"/>
      <c r="J245" s="5"/>
      <c r="K245" s="8"/>
      <c r="L245" s="8"/>
    </row>
    <row r="246" spans="1:12" s="1" customFormat="1" x14ac:dyDescent="0.15">
      <c r="A246" s="15"/>
      <c r="C246" s="5"/>
      <c r="D246" s="5"/>
      <c r="E246" s="5"/>
      <c r="F246" s="5"/>
      <c r="G246" s="5"/>
      <c r="H246" s="5"/>
      <c r="I246" s="5"/>
      <c r="J246" s="5"/>
      <c r="K246" s="8"/>
      <c r="L246" s="8"/>
    </row>
    <row r="247" spans="1:12" s="1" customFormat="1" x14ac:dyDescent="0.15">
      <c r="A247" s="15"/>
      <c r="C247" s="5"/>
      <c r="D247" s="5"/>
      <c r="E247" s="5"/>
      <c r="F247" s="5"/>
      <c r="G247" s="5"/>
      <c r="H247" s="5"/>
      <c r="I247" s="5"/>
      <c r="J247" s="5"/>
      <c r="K247" s="8"/>
      <c r="L247" s="8"/>
    </row>
    <row r="248" spans="1:12" s="1" customFormat="1" x14ac:dyDescent="0.15">
      <c r="A248" s="15"/>
      <c r="C248" s="5"/>
      <c r="D248" s="5"/>
      <c r="E248" s="5"/>
      <c r="F248" s="5"/>
      <c r="G248" s="5"/>
      <c r="H248" s="5"/>
      <c r="I248" s="5"/>
      <c r="J248" s="5"/>
      <c r="K248" s="8"/>
      <c r="L248" s="8"/>
    </row>
    <row r="249" spans="1:12" s="1" customFormat="1" x14ac:dyDescent="0.15">
      <c r="A249" s="15"/>
      <c r="C249" s="5"/>
      <c r="D249" s="5"/>
      <c r="E249" s="5"/>
      <c r="F249" s="5"/>
      <c r="G249" s="5"/>
      <c r="H249" s="5"/>
      <c r="I249" s="5"/>
      <c r="J249" s="5"/>
      <c r="K249" s="8"/>
      <c r="L249" s="8"/>
    </row>
    <row r="250" spans="1:12" s="1" customFormat="1" x14ac:dyDescent="0.15">
      <c r="A250" s="15"/>
      <c r="C250" s="5"/>
      <c r="D250" s="5"/>
      <c r="E250" s="5"/>
      <c r="F250" s="5"/>
      <c r="G250" s="5"/>
      <c r="H250" s="5"/>
      <c r="I250" s="5"/>
      <c r="J250" s="5"/>
      <c r="K250" s="8"/>
      <c r="L250" s="8"/>
    </row>
    <row r="251" spans="1:12" s="1" customFormat="1" x14ac:dyDescent="0.15">
      <c r="A251" s="15"/>
      <c r="C251" s="5"/>
      <c r="D251" s="5"/>
      <c r="E251" s="5"/>
      <c r="F251" s="5"/>
      <c r="G251" s="5"/>
      <c r="H251" s="5"/>
      <c r="I251" s="5"/>
      <c r="J251" s="5"/>
      <c r="K251" s="8"/>
      <c r="L251" s="8"/>
    </row>
    <row r="252" spans="1:12" s="1" customFormat="1" x14ac:dyDescent="0.15">
      <c r="A252" s="15"/>
      <c r="C252" s="5"/>
      <c r="D252" s="5"/>
      <c r="E252" s="5"/>
      <c r="F252" s="5"/>
      <c r="G252" s="5"/>
      <c r="H252" s="5"/>
      <c r="I252" s="5"/>
      <c r="J252" s="5"/>
      <c r="K252" s="8"/>
      <c r="L252" s="8"/>
    </row>
    <row r="253" spans="1:12" s="1" customFormat="1" x14ac:dyDescent="0.15">
      <c r="A253" s="15"/>
      <c r="C253" s="5"/>
      <c r="D253" s="5"/>
      <c r="E253" s="5"/>
      <c r="F253" s="5"/>
      <c r="G253" s="5"/>
      <c r="H253" s="5"/>
      <c r="I253" s="5"/>
      <c r="J253" s="5"/>
      <c r="K253" s="8"/>
      <c r="L253" s="8"/>
    </row>
    <row r="254" spans="1:12" s="1" customFormat="1" x14ac:dyDescent="0.15">
      <c r="A254" s="15"/>
      <c r="C254" s="5"/>
      <c r="D254" s="5"/>
      <c r="E254" s="5"/>
      <c r="F254" s="5"/>
      <c r="G254" s="5"/>
      <c r="H254" s="5"/>
      <c r="I254" s="5"/>
      <c r="J254" s="5"/>
      <c r="K254" s="8"/>
      <c r="L254" s="8"/>
    </row>
    <row r="255" spans="1:12" s="1" customFormat="1" x14ac:dyDescent="0.15">
      <c r="A255" s="15"/>
      <c r="C255" s="5"/>
      <c r="D255" s="5"/>
      <c r="E255" s="5"/>
      <c r="F255" s="5"/>
      <c r="G255" s="5"/>
      <c r="H255" s="5"/>
      <c r="I255" s="5"/>
      <c r="J255" s="5"/>
      <c r="K255" s="8"/>
      <c r="L255" s="8"/>
    </row>
    <row r="256" spans="1:12" s="1" customFormat="1" x14ac:dyDescent="0.15">
      <c r="A256" s="15"/>
      <c r="C256" s="5"/>
      <c r="D256" s="5"/>
      <c r="E256" s="5"/>
      <c r="F256" s="5"/>
      <c r="G256" s="5"/>
      <c r="H256" s="5"/>
      <c r="I256" s="5"/>
      <c r="J256" s="5"/>
      <c r="K256" s="8"/>
      <c r="L256" s="8"/>
    </row>
    <row r="257" spans="1:12" s="1" customFormat="1" x14ac:dyDescent="0.15">
      <c r="A257" s="15"/>
      <c r="C257" s="5"/>
      <c r="D257" s="5"/>
      <c r="E257" s="5"/>
      <c r="F257" s="5"/>
      <c r="G257" s="5"/>
      <c r="H257" s="5"/>
      <c r="I257" s="5"/>
      <c r="J257" s="5"/>
      <c r="K257" s="8"/>
      <c r="L257" s="8"/>
    </row>
    <row r="258" spans="1:12" s="1" customFormat="1" x14ac:dyDescent="0.15">
      <c r="A258" s="15"/>
      <c r="C258" s="5"/>
      <c r="D258" s="5"/>
      <c r="E258" s="5"/>
      <c r="F258" s="5"/>
      <c r="G258" s="5"/>
      <c r="H258" s="5"/>
      <c r="I258" s="5"/>
      <c r="J258" s="5"/>
      <c r="K258" s="8"/>
      <c r="L258" s="8"/>
    </row>
    <row r="259" spans="1:12" s="1" customFormat="1" x14ac:dyDescent="0.15">
      <c r="A259" s="15"/>
      <c r="C259" s="5"/>
      <c r="D259" s="5"/>
      <c r="E259" s="5"/>
      <c r="F259" s="5"/>
      <c r="G259" s="5"/>
      <c r="H259" s="5"/>
      <c r="I259" s="5"/>
      <c r="J259" s="5"/>
      <c r="K259" s="8"/>
      <c r="L259" s="8"/>
    </row>
    <row r="260" spans="1:12" s="1" customFormat="1" x14ac:dyDescent="0.15">
      <c r="A260" s="15"/>
      <c r="C260" s="5"/>
      <c r="D260" s="5"/>
      <c r="E260" s="5"/>
      <c r="F260" s="5"/>
      <c r="G260" s="5"/>
      <c r="H260" s="5"/>
      <c r="I260" s="5"/>
      <c r="J260" s="5"/>
      <c r="K260" s="8"/>
      <c r="L260" s="8"/>
    </row>
    <row r="261" spans="1:12" s="1" customFormat="1" x14ac:dyDescent="0.15">
      <c r="A261" s="15"/>
      <c r="C261" s="5"/>
      <c r="D261" s="5"/>
      <c r="E261" s="5"/>
      <c r="F261" s="5"/>
      <c r="G261" s="5"/>
      <c r="H261" s="5"/>
      <c r="I261" s="5"/>
      <c r="J261" s="5"/>
      <c r="K261" s="8"/>
      <c r="L261" s="8"/>
    </row>
    <row r="262" spans="1:12" s="1" customFormat="1" x14ac:dyDescent="0.15">
      <c r="A262" s="15"/>
      <c r="C262" s="5"/>
      <c r="D262" s="5"/>
      <c r="E262" s="5"/>
      <c r="F262" s="5"/>
      <c r="G262" s="5"/>
      <c r="H262" s="5"/>
      <c r="I262" s="5"/>
      <c r="J262" s="5"/>
      <c r="K262" s="8"/>
      <c r="L262" s="8"/>
    </row>
    <row r="263" spans="1:12" s="1" customFormat="1" x14ac:dyDescent="0.15">
      <c r="A263" s="15"/>
      <c r="C263" s="5"/>
      <c r="D263" s="5"/>
      <c r="E263" s="5"/>
      <c r="F263" s="5"/>
      <c r="G263" s="5"/>
      <c r="H263" s="5"/>
      <c r="I263" s="5"/>
      <c r="J263" s="5"/>
      <c r="K263" s="8"/>
      <c r="L263" s="8"/>
    </row>
    <row r="264" spans="1:12" s="1" customFormat="1" x14ac:dyDescent="0.15">
      <c r="A264" s="15"/>
      <c r="C264" s="5"/>
      <c r="D264" s="5"/>
      <c r="E264" s="5"/>
      <c r="F264" s="5"/>
      <c r="G264" s="5"/>
      <c r="H264" s="5"/>
      <c r="I264" s="5"/>
      <c r="J264" s="5"/>
      <c r="K264" s="8"/>
      <c r="L264" s="8"/>
    </row>
    <row r="265" spans="1:12" s="1" customFormat="1" x14ac:dyDescent="0.15">
      <c r="A265" s="15"/>
      <c r="C265" s="5"/>
      <c r="D265" s="5"/>
      <c r="E265" s="5"/>
      <c r="F265" s="5"/>
      <c r="G265" s="5"/>
      <c r="H265" s="5"/>
      <c r="I265" s="5"/>
      <c r="J265" s="5"/>
      <c r="K265" s="8"/>
      <c r="L265" s="8"/>
    </row>
    <row r="266" spans="1:12" s="1" customFormat="1" x14ac:dyDescent="0.15">
      <c r="A266" s="15"/>
      <c r="C266" s="5"/>
      <c r="D266" s="5"/>
      <c r="E266" s="5"/>
      <c r="F266" s="5"/>
      <c r="G266" s="5"/>
      <c r="H266" s="5"/>
      <c r="I266" s="5"/>
      <c r="J266" s="5"/>
      <c r="K266" s="8"/>
      <c r="L266" s="8"/>
    </row>
    <row r="267" spans="1:12" s="1" customFormat="1" x14ac:dyDescent="0.15">
      <c r="A267" s="15"/>
      <c r="C267" s="5"/>
      <c r="D267" s="5"/>
      <c r="E267" s="5"/>
      <c r="F267" s="5"/>
      <c r="G267" s="5"/>
      <c r="H267" s="5"/>
      <c r="I267" s="5"/>
      <c r="J267" s="5"/>
      <c r="K267" s="8"/>
      <c r="L267" s="8"/>
    </row>
    <row r="268" spans="1:12" s="1" customFormat="1" x14ac:dyDescent="0.15">
      <c r="A268" s="15"/>
      <c r="C268" s="5"/>
      <c r="D268" s="5"/>
      <c r="E268" s="5"/>
      <c r="F268" s="5"/>
      <c r="G268" s="5"/>
      <c r="H268" s="5"/>
      <c r="I268" s="5"/>
      <c r="J268" s="5"/>
      <c r="K268" s="8"/>
      <c r="L268" s="8"/>
    </row>
    <row r="269" spans="1:12" s="1" customFormat="1" x14ac:dyDescent="0.15">
      <c r="A269" s="15"/>
      <c r="C269" s="5"/>
      <c r="D269" s="5"/>
      <c r="E269" s="5"/>
      <c r="F269" s="5"/>
      <c r="G269" s="5"/>
      <c r="H269" s="5"/>
      <c r="I269" s="5"/>
      <c r="J269" s="5"/>
      <c r="K269" s="8"/>
      <c r="L269" s="8"/>
    </row>
    <row r="270" spans="1:12" s="1" customFormat="1" x14ac:dyDescent="0.15">
      <c r="A270" s="15"/>
      <c r="C270" s="5"/>
      <c r="D270" s="5"/>
      <c r="E270" s="5"/>
      <c r="F270" s="5"/>
      <c r="G270" s="5"/>
      <c r="H270" s="5"/>
      <c r="I270" s="5"/>
      <c r="J270" s="5"/>
      <c r="K270" s="8"/>
      <c r="L270" s="8"/>
    </row>
    <row r="271" spans="1:12" s="1" customFormat="1" x14ac:dyDescent="0.15">
      <c r="A271" s="15"/>
      <c r="C271" s="5"/>
      <c r="D271" s="5"/>
      <c r="E271" s="5"/>
      <c r="F271" s="5"/>
      <c r="G271" s="5"/>
      <c r="H271" s="5"/>
      <c r="I271" s="5"/>
      <c r="J271" s="5"/>
      <c r="K271" s="8"/>
      <c r="L271" s="8"/>
    </row>
    <row r="272" spans="1:12" s="1" customFormat="1" x14ac:dyDescent="0.15">
      <c r="A272" s="15"/>
      <c r="C272" s="5"/>
      <c r="D272" s="5"/>
      <c r="E272" s="5"/>
      <c r="F272" s="5"/>
      <c r="G272" s="5"/>
      <c r="H272" s="5"/>
      <c r="I272" s="5"/>
      <c r="J272" s="5"/>
      <c r="K272" s="8"/>
      <c r="L272" s="8"/>
    </row>
    <row r="273" spans="1:12" s="1" customFormat="1" x14ac:dyDescent="0.15">
      <c r="A273" s="15"/>
      <c r="C273" s="5"/>
      <c r="D273" s="5"/>
      <c r="E273" s="5"/>
      <c r="F273" s="5"/>
      <c r="G273" s="5"/>
      <c r="H273" s="5"/>
      <c r="I273" s="5"/>
      <c r="J273" s="5"/>
      <c r="K273" s="8"/>
      <c r="L273" s="8"/>
    </row>
    <row r="274" spans="1:12" s="1" customFormat="1" x14ac:dyDescent="0.15">
      <c r="A274" s="15"/>
      <c r="C274" s="5"/>
      <c r="D274" s="5"/>
      <c r="E274" s="5"/>
      <c r="F274" s="5"/>
      <c r="G274" s="5"/>
      <c r="H274" s="5"/>
      <c r="I274" s="5"/>
      <c r="J274" s="5"/>
      <c r="K274" s="8"/>
      <c r="L274" s="8"/>
    </row>
    <row r="275" spans="1:12" s="1" customFormat="1" x14ac:dyDescent="0.15">
      <c r="A275" s="15"/>
      <c r="C275" s="5"/>
      <c r="D275" s="5"/>
      <c r="E275" s="5"/>
      <c r="F275" s="5"/>
      <c r="G275" s="5"/>
      <c r="H275" s="5"/>
      <c r="I275" s="5"/>
      <c r="J275" s="5"/>
      <c r="K275" s="8"/>
      <c r="L275" s="8"/>
    </row>
    <row r="276" spans="1:12" s="1" customFormat="1" x14ac:dyDescent="0.15">
      <c r="A276" s="15"/>
      <c r="C276" s="5"/>
      <c r="D276" s="5"/>
      <c r="E276" s="5"/>
      <c r="F276" s="5"/>
      <c r="G276" s="5"/>
      <c r="H276" s="5"/>
      <c r="I276" s="5"/>
      <c r="J276" s="5"/>
      <c r="K276" s="8"/>
      <c r="L276" s="8"/>
    </row>
    <row r="277" spans="1:12" s="1" customFormat="1" x14ac:dyDescent="0.15">
      <c r="A277" s="15"/>
      <c r="C277" s="5"/>
      <c r="D277" s="5"/>
      <c r="E277" s="5"/>
      <c r="F277" s="5"/>
      <c r="G277" s="5"/>
      <c r="H277" s="5"/>
      <c r="I277" s="5"/>
      <c r="J277" s="5"/>
      <c r="K277" s="8"/>
      <c r="L277" s="8"/>
    </row>
    <row r="278" spans="1:12" s="1" customFormat="1" x14ac:dyDescent="0.15">
      <c r="A278" s="15"/>
      <c r="C278" s="5"/>
      <c r="D278" s="5"/>
      <c r="E278" s="5"/>
      <c r="F278" s="5"/>
      <c r="G278" s="5"/>
      <c r="H278" s="5"/>
      <c r="I278" s="5"/>
      <c r="J278" s="5"/>
      <c r="K278" s="8"/>
      <c r="L278" s="8"/>
    </row>
    <row r="279" spans="1:12" s="1" customFormat="1" x14ac:dyDescent="0.15">
      <c r="A279" s="15"/>
      <c r="C279" s="5"/>
      <c r="D279" s="5"/>
      <c r="E279" s="5"/>
      <c r="F279" s="5"/>
      <c r="G279" s="5"/>
      <c r="H279" s="5"/>
      <c r="I279" s="5"/>
      <c r="J279" s="5"/>
      <c r="K279" s="8"/>
      <c r="L279" s="8"/>
    </row>
    <row r="280" spans="1:12" s="1" customFormat="1" x14ac:dyDescent="0.15">
      <c r="A280" s="15"/>
      <c r="C280" s="5"/>
      <c r="D280" s="5"/>
      <c r="E280" s="5"/>
      <c r="F280" s="5"/>
      <c r="G280" s="5"/>
      <c r="H280" s="5"/>
      <c r="I280" s="5"/>
      <c r="J280" s="5"/>
      <c r="K280" s="8"/>
      <c r="L280" s="8"/>
    </row>
    <row r="281" spans="1:12" s="1" customFormat="1" x14ac:dyDescent="0.15">
      <c r="A281" s="15"/>
      <c r="C281" s="5"/>
      <c r="D281" s="5"/>
      <c r="E281" s="5"/>
      <c r="F281" s="5"/>
      <c r="G281" s="5"/>
      <c r="H281" s="5"/>
      <c r="I281" s="5"/>
      <c r="J281" s="5"/>
      <c r="K281" s="8"/>
      <c r="L281" s="8"/>
    </row>
    <row r="282" spans="1:12" s="1" customFormat="1" x14ac:dyDescent="0.15">
      <c r="A282" s="15"/>
      <c r="C282" s="5"/>
      <c r="D282" s="5"/>
      <c r="E282" s="5"/>
      <c r="F282" s="5"/>
      <c r="G282" s="5"/>
      <c r="H282" s="5"/>
      <c r="I282" s="5"/>
      <c r="J282" s="5"/>
      <c r="K282" s="8"/>
      <c r="L282" s="8"/>
    </row>
    <row r="283" spans="1:12" s="1" customFormat="1" x14ac:dyDescent="0.15">
      <c r="A283" s="15"/>
      <c r="C283" s="5"/>
      <c r="D283" s="5"/>
      <c r="E283" s="5"/>
      <c r="F283" s="5"/>
      <c r="G283" s="5"/>
      <c r="H283" s="5"/>
      <c r="I283" s="5"/>
      <c r="J283" s="5"/>
      <c r="K283" s="8"/>
      <c r="L283" s="8"/>
    </row>
    <row r="284" spans="1:12" s="1" customFormat="1" x14ac:dyDescent="0.15">
      <c r="A284" s="15"/>
      <c r="C284" s="5"/>
      <c r="D284" s="5"/>
      <c r="E284" s="5"/>
      <c r="F284" s="5"/>
      <c r="G284" s="5"/>
      <c r="H284" s="5"/>
      <c r="I284" s="5"/>
      <c r="J284" s="5"/>
      <c r="K284" s="8"/>
      <c r="L284" s="8"/>
    </row>
    <row r="285" spans="1:12" s="1" customFormat="1" x14ac:dyDescent="0.15">
      <c r="A285" s="15"/>
      <c r="C285" s="5"/>
      <c r="D285" s="5"/>
      <c r="E285" s="5"/>
      <c r="F285" s="5"/>
      <c r="G285" s="5"/>
      <c r="H285" s="5"/>
      <c r="I285" s="5"/>
      <c r="J285" s="5"/>
      <c r="K285" s="8"/>
      <c r="L285" s="8"/>
    </row>
    <row r="286" spans="1:12" s="1" customFormat="1" x14ac:dyDescent="0.15">
      <c r="A286" s="15"/>
      <c r="C286" s="5"/>
      <c r="D286" s="5"/>
      <c r="E286" s="5"/>
      <c r="F286" s="5"/>
      <c r="G286" s="5"/>
      <c r="H286" s="5"/>
      <c r="I286" s="5"/>
      <c r="J286" s="5"/>
      <c r="K286" s="8"/>
      <c r="L286" s="8"/>
    </row>
    <row r="287" spans="1:12" s="1" customFormat="1" x14ac:dyDescent="0.15">
      <c r="A287" s="15"/>
      <c r="C287" s="5"/>
      <c r="D287" s="5"/>
      <c r="E287" s="5"/>
      <c r="F287" s="5"/>
      <c r="G287" s="5"/>
      <c r="H287" s="5"/>
      <c r="I287" s="5"/>
      <c r="J287" s="5"/>
      <c r="K287" s="8"/>
      <c r="L287" s="8"/>
    </row>
    <row r="288" spans="1:12" s="1" customFormat="1" x14ac:dyDescent="0.15">
      <c r="A288" s="15"/>
      <c r="C288" s="5"/>
      <c r="D288" s="5"/>
      <c r="E288" s="5"/>
      <c r="F288" s="5"/>
      <c r="G288" s="5"/>
      <c r="H288" s="5"/>
      <c r="I288" s="5"/>
      <c r="J288" s="5"/>
      <c r="K288" s="8"/>
      <c r="L288" s="8"/>
    </row>
    <row r="289" spans="1:12" s="1" customFormat="1" x14ac:dyDescent="0.15">
      <c r="A289" s="15"/>
      <c r="C289" s="5"/>
      <c r="D289" s="5"/>
      <c r="E289" s="5"/>
      <c r="F289" s="5"/>
      <c r="G289" s="5"/>
      <c r="H289" s="5"/>
      <c r="I289" s="5"/>
      <c r="J289" s="5"/>
      <c r="K289" s="8"/>
      <c r="L289" s="8"/>
    </row>
    <row r="290" spans="1:12" s="1" customFormat="1" x14ac:dyDescent="0.15">
      <c r="A290" s="15"/>
      <c r="C290" s="5"/>
      <c r="D290" s="5"/>
      <c r="E290" s="5"/>
      <c r="F290" s="5"/>
      <c r="G290" s="5"/>
      <c r="H290" s="5"/>
      <c r="I290" s="5"/>
      <c r="J290" s="5"/>
      <c r="K290" s="8"/>
      <c r="L290" s="8"/>
    </row>
    <row r="291" spans="1:12" s="1" customFormat="1" x14ac:dyDescent="0.15">
      <c r="A291" s="15"/>
      <c r="C291" s="5"/>
      <c r="D291" s="5"/>
      <c r="E291" s="5"/>
      <c r="F291" s="5"/>
      <c r="G291" s="5"/>
      <c r="H291" s="5"/>
      <c r="I291" s="5"/>
      <c r="J291" s="5"/>
      <c r="K291" s="8"/>
      <c r="L291" s="8"/>
    </row>
    <row r="292" spans="1:12" s="1" customFormat="1" x14ac:dyDescent="0.15">
      <c r="A292" s="15"/>
      <c r="C292" s="5"/>
      <c r="D292" s="5"/>
      <c r="E292" s="5"/>
      <c r="F292" s="5"/>
      <c r="G292" s="5"/>
      <c r="H292" s="5"/>
      <c r="I292" s="5"/>
      <c r="J292" s="5"/>
      <c r="K292" s="8"/>
      <c r="L292" s="8"/>
    </row>
    <row r="293" spans="1:12" s="1" customFormat="1" x14ac:dyDescent="0.15">
      <c r="A293" s="15"/>
      <c r="C293" s="5"/>
      <c r="D293" s="5"/>
      <c r="E293" s="5"/>
      <c r="F293" s="5"/>
      <c r="G293" s="5"/>
      <c r="H293" s="5"/>
      <c r="I293" s="5"/>
      <c r="J293" s="5"/>
      <c r="K293" s="8"/>
      <c r="L293" s="8"/>
    </row>
    <row r="294" spans="1:12" s="1" customFormat="1" x14ac:dyDescent="0.15">
      <c r="A294" s="15"/>
      <c r="C294" s="5"/>
      <c r="D294" s="5"/>
      <c r="E294" s="5"/>
      <c r="F294" s="5"/>
      <c r="G294" s="5"/>
      <c r="H294" s="5"/>
      <c r="I294" s="5"/>
      <c r="J294" s="5"/>
      <c r="K294" s="8"/>
      <c r="L294" s="8"/>
    </row>
    <row r="295" spans="1:12" s="1" customFormat="1" x14ac:dyDescent="0.15">
      <c r="A295" s="15"/>
      <c r="C295" s="5"/>
      <c r="D295" s="5"/>
      <c r="E295" s="5"/>
      <c r="F295" s="5"/>
      <c r="G295" s="5"/>
      <c r="H295" s="5"/>
      <c r="I295" s="5"/>
      <c r="J295" s="5"/>
      <c r="K295" s="8"/>
      <c r="L295" s="8"/>
    </row>
    <row r="296" spans="1:12" s="1" customFormat="1" x14ac:dyDescent="0.15">
      <c r="A296" s="15"/>
      <c r="C296" s="5"/>
      <c r="D296" s="5"/>
      <c r="E296" s="5"/>
      <c r="F296" s="5"/>
      <c r="G296" s="5"/>
      <c r="H296" s="5"/>
      <c r="I296" s="5"/>
      <c r="J296" s="5"/>
      <c r="K296" s="8"/>
      <c r="L296" s="8"/>
    </row>
    <row r="297" spans="1:12" s="1" customFormat="1" x14ac:dyDescent="0.15">
      <c r="A297" s="15"/>
      <c r="C297" s="5"/>
      <c r="D297" s="5"/>
      <c r="E297" s="5"/>
      <c r="F297" s="5"/>
      <c r="G297" s="5"/>
      <c r="H297" s="5"/>
      <c r="I297" s="5"/>
      <c r="J297" s="5"/>
      <c r="K297" s="8"/>
      <c r="L297" s="8"/>
    </row>
    <row r="298" spans="1:12" s="1" customFormat="1" x14ac:dyDescent="0.15">
      <c r="A298" s="15"/>
      <c r="C298" s="5"/>
      <c r="D298" s="5"/>
      <c r="E298" s="5"/>
      <c r="F298" s="5"/>
      <c r="G298" s="5"/>
      <c r="H298" s="5"/>
      <c r="I298" s="5"/>
      <c r="J298" s="5"/>
      <c r="K298" s="8"/>
      <c r="L298" s="8"/>
    </row>
    <row r="299" spans="1:12" s="1" customFormat="1" x14ac:dyDescent="0.15">
      <c r="A299" s="15"/>
      <c r="C299" s="5"/>
      <c r="D299" s="5"/>
      <c r="E299" s="5"/>
      <c r="F299" s="5"/>
      <c r="G299" s="5"/>
      <c r="H299" s="5"/>
      <c r="I299" s="5"/>
      <c r="J299" s="5"/>
      <c r="K299" s="8"/>
      <c r="L299" s="8"/>
    </row>
    <row r="300" spans="1:12" s="1" customFormat="1" x14ac:dyDescent="0.15">
      <c r="A300" s="15"/>
      <c r="C300" s="5"/>
      <c r="D300" s="5"/>
      <c r="E300" s="5"/>
      <c r="F300" s="5"/>
      <c r="G300" s="5"/>
      <c r="H300" s="5"/>
      <c r="I300" s="5"/>
      <c r="J300" s="5"/>
      <c r="K300" s="8"/>
      <c r="L300" s="8"/>
    </row>
    <row r="301" spans="1:12" s="1" customFormat="1" x14ac:dyDescent="0.15">
      <c r="A301" s="15"/>
      <c r="C301" s="5"/>
      <c r="D301" s="5"/>
      <c r="E301" s="5"/>
      <c r="F301" s="5"/>
      <c r="G301" s="5"/>
      <c r="H301" s="5"/>
      <c r="I301" s="5"/>
      <c r="J301" s="5"/>
      <c r="K301" s="8"/>
      <c r="L301" s="8"/>
    </row>
    <row r="302" spans="1:12" s="1" customFormat="1" x14ac:dyDescent="0.15">
      <c r="A302" s="15"/>
      <c r="C302" s="5"/>
      <c r="D302" s="5"/>
      <c r="E302" s="5"/>
      <c r="F302" s="5"/>
      <c r="G302" s="5"/>
      <c r="H302" s="5"/>
      <c r="I302" s="5"/>
      <c r="J302" s="5"/>
      <c r="K302" s="8"/>
      <c r="L302" s="8"/>
    </row>
    <row r="303" spans="1:12" s="1" customFormat="1" x14ac:dyDescent="0.15">
      <c r="A303" s="15"/>
      <c r="C303" s="5"/>
      <c r="D303" s="5"/>
      <c r="E303" s="5"/>
      <c r="F303" s="5"/>
      <c r="G303" s="5"/>
      <c r="H303" s="5"/>
      <c r="I303" s="5"/>
      <c r="J303" s="5"/>
      <c r="K303" s="8"/>
      <c r="L303" s="8"/>
    </row>
    <row r="304" spans="1:12" s="1" customFormat="1" x14ac:dyDescent="0.15">
      <c r="A304" s="15"/>
      <c r="C304" s="5"/>
      <c r="D304" s="5"/>
      <c r="E304" s="5"/>
      <c r="F304" s="5"/>
      <c r="G304" s="5"/>
      <c r="H304" s="5"/>
      <c r="I304" s="5"/>
      <c r="J304" s="5"/>
      <c r="K304" s="8"/>
      <c r="L304" s="8"/>
    </row>
    <row r="305" spans="1:12" s="1" customFormat="1" x14ac:dyDescent="0.15">
      <c r="A305" s="15"/>
      <c r="C305" s="5"/>
      <c r="D305" s="5"/>
      <c r="E305" s="5"/>
      <c r="F305" s="5"/>
      <c r="G305" s="5"/>
      <c r="H305" s="5"/>
      <c r="I305" s="5"/>
      <c r="J305" s="5"/>
      <c r="K305" s="8"/>
      <c r="L305" s="8"/>
    </row>
    <row r="306" spans="1:12" s="1" customFormat="1" x14ac:dyDescent="0.15">
      <c r="A306" s="15"/>
      <c r="C306" s="5"/>
      <c r="D306" s="5"/>
      <c r="E306" s="5"/>
      <c r="F306" s="5"/>
      <c r="G306" s="5"/>
      <c r="H306" s="5"/>
      <c r="I306" s="5"/>
      <c r="J306" s="5"/>
      <c r="K306" s="8"/>
      <c r="L306" s="8"/>
    </row>
    <row r="307" spans="1:12" s="1" customFormat="1" x14ac:dyDescent="0.15">
      <c r="A307" s="15"/>
      <c r="C307" s="5"/>
      <c r="D307" s="5"/>
      <c r="E307" s="5"/>
      <c r="F307" s="5"/>
      <c r="G307" s="5"/>
      <c r="H307" s="5"/>
      <c r="I307" s="5"/>
      <c r="J307" s="5"/>
      <c r="K307" s="8"/>
      <c r="L307" s="8"/>
    </row>
    <row r="308" spans="1:12" s="1" customFormat="1" x14ac:dyDescent="0.15">
      <c r="A308" s="15"/>
      <c r="C308" s="5"/>
      <c r="D308" s="5"/>
      <c r="E308" s="5"/>
      <c r="F308" s="5"/>
      <c r="G308" s="5"/>
      <c r="H308" s="5"/>
      <c r="I308" s="5"/>
      <c r="J308" s="5"/>
      <c r="K308" s="8"/>
      <c r="L308" s="8"/>
    </row>
    <row r="309" spans="1:12" s="1" customFormat="1" x14ac:dyDescent="0.15">
      <c r="A309" s="15"/>
      <c r="C309" s="5"/>
      <c r="D309" s="5"/>
      <c r="E309" s="5"/>
      <c r="F309" s="5"/>
      <c r="G309" s="5"/>
      <c r="H309" s="5"/>
      <c r="I309" s="5"/>
      <c r="J309" s="5"/>
      <c r="K309" s="8"/>
      <c r="L309" s="8"/>
    </row>
    <row r="310" spans="1:12" s="1" customFormat="1" x14ac:dyDescent="0.15">
      <c r="A310" s="15"/>
      <c r="C310" s="5"/>
      <c r="D310" s="5"/>
      <c r="E310" s="5"/>
      <c r="F310" s="5"/>
      <c r="G310" s="5"/>
      <c r="H310" s="5"/>
      <c r="I310" s="5"/>
      <c r="J310" s="5"/>
      <c r="K310" s="8"/>
      <c r="L310" s="8"/>
    </row>
    <row r="311" spans="1:12" s="1" customFormat="1" x14ac:dyDescent="0.15">
      <c r="A311" s="15"/>
      <c r="C311" s="5"/>
      <c r="D311" s="5"/>
      <c r="E311" s="5"/>
      <c r="F311" s="5"/>
      <c r="G311" s="5"/>
      <c r="H311" s="5"/>
      <c r="I311" s="5"/>
      <c r="J311" s="5"/>
      <c r="K311" s="8"/>
      <c r="L311" s="8"/>
    </row>
    <row r="312" spans="1:12" s="1" customFormat="1" x14ac:dyDescent="0.15">
      <c r="A312" s="15"/>
      <c r="C312" s="5"/>
      <c r="D312" s="5"/>
      <c r="E312" s="5"/>
      <c r="F312" s="5"/>
      <c r="G312" s="5"/>
      <c r="H312" s="5"/>
      <c r="I312" s="5"/>
      <c r="J312" s="5"/>
      <c r="K312" s="8"/>
      <c r="L312" s="8"/>
    </row>
    <row r="313" spans="1:12" s="1" customFormat="1" x14ac:dyDescent="0.15">
      <c r="A313" s="15"/>
      <c r="C313" s="5"/>
      <c r="D313" s="5"/>
      <c r="E313" s="5"/>
      <c r="F313" s="5"/>
      <c r="G313" s="5"/>
      <c r="H313" s="5"/>
      <c r="I313" s="5"/>
      <c r="J313" s="5"/>
      <c r="K313" s="8"/>
      <c r="L313" s="8"/>
    </row>
    <row r="314" spans="1:12" s="1" customFormat="1" x14ac:dyDescent="0.15">
      <c r="A314" s="15"/>
      <c r="C314" s="5"/>
      <c r="D314" s="5"/>
      <c r="E314" s="5"/>
      <c r="F314" s="5"/>
      <c r="G314" s="5"/>
      <c r="H314" s="5"/>
      <c r="I314" s="5"/>
      <c r="J314" s="5"/>
      <c r="K314" s="8"/>
      <c r="L314" s="8"/>
    </row>
    <row r="315" spans="1:12" s="1" customFormat="1" x14ac:dyDescent="0.15">
      <c r="A315" s="15"/>
      <c r="C315" s="5"/>
      <c r="D315" s="5"/>
      <c r="E315" s="5"/>
      <c r="F315" s="5"/>
      <c r="G315" s="5"/>
      <c r="H315" s="5"/>
      <c r="I315" s="5"/>
      <c r="J315" s="5"/>
      <c r="K315" s="8"/>
      <c r="L315" s="8"/>
    </row>
    <row r="316" spans="1:12" s="1" customFormat="1" x14ac:dyDescent="0.15">
      <c r="A316" s="15"/>
      <c r="C316" s="5"/>
      <c r="D316" s="5"/>
      <c r="E316" s="5"/>
      <c r="F316" s="5"/>
      <c r="G316" s="5"/>
      <c r="H316" s="5"/>
      <c r="I316" s="5"/>
      <c r="J316" s="5"/>
      <c r="K316" s="8"/>
      <c r="L316" s="8"/>
    </row>
    <row r="317" spans="1:12" s="1" customFormat="1" x14ac:dyDescent="0.15">
      <c r="A317" s="15"/>
      <c r="C317" s="5"/>
      <c r="D317" s="5"/>
      <c r="E317" s="5"/>
      <c r="F317" s="5"/>
      <c r="G317" s="5"/>
      <c r="H317" s="5"/>
      <c r="I317" s="5"/>
      <c r="J317" s="5"/>
      <c r="K317" s="8"/>
      <c r="L317" s="8"/>
    </row>
    <row r="318" spans="1:12" s="1" customFormat="1" x14ac:dyDescent="0.15">
      <c r="A318" s="15"/>
      <c r="C318" s="5"/>
      <c r="D318" s="5"/>
      <c r="E318" s="5"/>
      <c r="F318" s="5"/>
      <c r="G318" s="5"/>
      <c r="H318" s="5"/>
      <c r="I318" s="5"/>
      <c r="J318" s="5"/>
      <c r="K318" s="8"/>
      <c r="L318" s="8"/>
    </row>
    <row r="319" spans="1:12" x14ac:dyDescent="0.15">
      <c r="A319" s="15"/>
    </row>
    <row r="320" spans="1:12" x14ac:dyDescent="0.15">
      <c r="A320" s="15"/>
    </row>
    <row r="321" spans="1:10" x14ac:dyDescent="0.15">
      <c r="A321" s="15"/>
      <c r="H321" s="7"/>
      <c r="I321" s="7"/>
      <c r="J321" s="7"/>
    </row>
    <row r="322" spans="1:10" x14ac:dyDescent="0.15">
      <c r="A322" s="15"/>
      <c r="H322" s="7"/>
      <c r="I322" s="7"/>
      <c r="J322" s="7"/>
    </row>
    <row r="323" spans="1:10" x14ac:dyDescent="0.15">
      <c r="A323" s="15"/>
      <c r="H323" s="7"/>
      <c r="I323" s="7"/>
      <c r="J323" s="7"/>
    </row>
    <row r="324" spans="1:10" x14ac:dyDescent="0.15">
      <c r="A324" s="15"/>
      <c r="H324" s="7"/>
      <c r="I324" s="7"/>
      <c r="J324" s="7"/>
    </row>
    <row r="325" spans="1:10" x14ac:dyDescent="0.15">
      <c r="A325" s="15"/>
      <c r="H325" s="7"/>
      <c r="I325" s="7"/>
      <c r="J325" s="7"/>
    </row>
    <row r="326" spans="1:10" x14ac:dyDescent="0.15">
      <c r="A326" s="15"/>
      <c r="H326" s="7"/>
      <c r="I326" s="7"/>
      <c r="J326" s="7"/>
    </row>
    <row r="327" spans="1:10" x14ac:dyDescent="0.15">
      <c r="A327" s="15"/>
      <c r="H327" s="7"/>
      <c r="I327" s="7"/>
      <c r="J327" s="7"/>
    </row>
    <row r="328" spans="1:10" x14ac:dyDescent="0.15">
      <c r="A328" s="15"/>
      <c r="H328" s="7"/>
      <c r="I328" s="7"/>
      <c r="J328" s="7"/>
    </row>
    <row r="329" spans="1:10" x14ac:dyDescent="0.15">
      <c r="A329" s="15"/>
      <c r="H329" s="7"/>
      <c r="I329" s="7"/>
      <c r="J329" s="7"/>
    </row>
    <row r="330" spans="1:10" x14ac:dyDescent="0.15">
      <c r="A330" s="15"/>
      <c r="H330" s="7"/>
      <c r="I330" s="7"/>
      <c r="J330" s="7"/>
    </row>
    <row r="331" spans="1:10" x14ac:dyDescent="0.15">
      <c r="A331" s="15"/>
      <c r="H331" s="7"/>
      <c r="I331" s="7"/>
      <c r="J331" s="7"/>
    </row>
    <row r="332" spans="1:10" x14ac:dyDescent="0.15">
      <c r="A332" s="15"/>
      <c r="H332" s="7"/>
      <c r="I332" s="7"/>
      <c r="J332" s="7"/>
    </row>
    <row r="333" spans="1:10" x14ac:dyDescent="0.15">
      <c r="A333" s="15"/>
      <c r="H333" s="7"/>
      <c r="I333" s="7"/>
      <c r="J333" s="7"/>
    </row>
    <row r="334" spans="1:10" x14ac:dyDescent="0.15">
      <c r="A334" s="15"/>
      <c r="H334" s="7"/>
      <c r="I334" s="7"/>
      <c r="J334" s="7"/>
    </row>
    <row r="335" spans="1:10" x14ac:dyDescent="0.15">
      <c r="A335" s="15"/>
      <c r="H335" s="7"/>
      <c r="I335" s="7"/>
      <c r="J335" s="7"/>
    </row>
    <row r="336" spans="1:10" x14ac:dyDescent="0.15">
      <c r="A336" s="15"/>
      <c r="H336" s="7"/>
      <c r="I336" s="7"/>
      <c r="J336" s="7"/>
    </row>
    <row r="337" spans="1:10" x14ac:dyDescent="0.15">
      <c r="A337" s="15"/>
      <c r="H337" s="7"/>
      <c r="I337" s="7"/>
      <c r="J337" s="7"/>
    </row>
    <row r="338" spans="1:10" x14ac:dyDescent="0.15">
      <c r="A338" s="15"/>
      <c r="H338" s="7"/>
      <c r="I338" s="7"/>
      <c r="J338" s="7"/>
    </row>
    <row r="339" spans="1:10" x14ac:dyDescent="0.15">
      <c r="A339" s="15"/>
      <c r="H339" s="7"/>
      <c r="I339" s="7"/>
      <c r="J339" s="7"/>
    </row>
    <row r="340" spans="1:10" x14ac:dyDescent="0.15">
      <c r="A340" s="15"/>
      <c r="H340" s="7"/>
      <c r="I340" s="7"/>
      <c r="J340" s="7"/>
    </row>
    <row r="341" spans="1:10" x14ac:dyDescent="0.15">
      <c r="A341" s="15"/>
      <c r="H341" s="7"/>
      <c r="I341" s="7"/>
      <c r="J341" s="7"/>
    </row>
    <row r="342" spans="1:10" x14ac:dyDescent="0.15">
      <c r="A342" s="15"/>
      <c r="H342" s="7"/>
      <c r="I342" s="7"/>
      <c r="J342" s="7"/>
    </row>
    <row r="343" spans="1:10" x14ac:dyDescent="0.15">
      <c r="A343" s="15"/>
      <c r="H343" s="7"/>
      <c r="I343" s="7"/>
      <c r="J343" s="7"/>
    </row>
    <row r="344" spans="1:10" x14ac:dyDescent="0.15">
      <c r="A344" s="15"/>
      <c r="H344" s="7"/>
      <c r="I344" s="7"/>
      <c r="J344" s="7"/>
    </row>
    <row r="345" spans="1:10" x14ac:dyDescent="0.15">
      <c r="A345" s="15"/>
      <c r="H345" s="7"/>
      <c r="I345" s="7"/>
      <c r="J345" s="7"/>
    </row>
    <row r="346" spans="1:10" x14ac:dyDescent="0.15">
      <c r="A346" s="15"/>
      <c r="H346" s="7"/>
      <c r="I346" s="7"/>
      <c r="J346" s="7"/>
    </row>
    <row r="347" spans="1:10" x14ac:dyDescent="0.15">
      <c r="A347" s="15"/>
      <c r="H347" s="7"/>
      <c r="I347" s="7"/>
      <c r="J347" s="7"/>
    </row>
    <row r="348" spans="1:10" x14ac:dyDescent="0.15">
      <c r="A348" s="15"/>
      <c r="H348" s="7"/>
      <c r="I348" s="7"/>
      <c r="J348" s="7"/>
    </row>
    <row r="349" spans="1:10" x14ac:dyDescent="0.15">
      <c r="A349" s="15"/>
      <c r="H349" s="7"/>
      <c r="I349" s="7"/>
      <c r="J349" s="7"/>
    </row>
    <row r="350" spans="1:10" x14ac:dyDescent="0.15">
      <c r="A350" s="15"/>
      <c r="H350" s="7"/>
      <c r="I350" s="7"/>
      <c r="J350" s="7"/>
    </row>
    <row r="351" spans="1:10" x14ac:dyDescent="0.15">
      <c r="A351" s="15"/>
      <c r="H351" s="7"/>
      <c r="I351" s="7"/>
      <c r="J351" s="7"/>
    </row>
    <row r="352" spans="1:10" x14ac:dyDescent="0.15">
      <c r="A352" s="15"/>
      <c r="H352" s="7"/>
      <c r="I352" s="7"/>
      <c r="J352" s="7"/>
    </row>
    <row r="353" spans="1:10" x14ac:dyDescent="0.15">
      <c r="A353" s="15"/>
      <c r="H353" s="7"/>
      <c r="I353" s="7"/>
      <c r="J353" s="7"/>
    </row>
    <row r="354" spans="1:10" x14ac:dyDescent="0.15">
      <c r="A354" s="15"/>
      <c r="H354" s="7"/>
      <c r="I354" s="7"/>
      <c r="J354" s="7"/>
    </row>
    <row r="355" spans="1:10" x14ac:dyDescent="0.15">
      <c r="A355" s="15"/>
      <c r="H355" s="7"/>
      <c r="I355" s="7"/>
      <c r="J355" s="7"/>
    </row>
    <row r="356" spans="1:10" x14ac:dyDescent="0.15">
      <c r="A356" s="15"/>
      <c r="H356" s="7"/>
      <c r="I356" s="7"/>
      <c r="J356" s="7"/>
    </row>
    <row r="357" spans="1:10" x14ac:dyDescent="0.15">
      <c r="A357" s="15"/>
      <c r="H357" s="7"/>
      <c r="I357" s="7"/>
      <c r="J357" s="7"/>
    </row>
    <row r="358" spans="1:10" x14ac:dyDescent="0.15">
      <c r="A358" s="15"/>
      <c r="H358" s="7"/>
      <c r="I358" s="7"/>
      <c r="J358" s="7"/>
    </row>
    <row r="359" spans="1:10" x14ac:dyDescent="0.15">
      <c r="A359" s="15"/>
      <c r="H359" s="7"/>
      <c r="I359" s="7"/>
      <c r="J359" s="7"/>
    </row>
    <row r="360" spans="1:10" x14ac:dyDescent="0.15">
      <c r="A360" s="15"/>
      <c r="H360" s="7"/>
      <c r="I360" s="7"/>
      <c r="J360" s="7"/>
    </row>
    <row r="361" spans="1:10" x14ac:dyDescent="0.15">
      <c r="A361" s="15"/>
      <c r="H361" s="7"/>
      <c r="I361" s="7"/>
      <c r="J361" s="7"/>
    </row>
    <row r="362" spans="1:10" x14ac:dyDescent="0.15">
      <c r="A362" s="15"/>
      <c r="H362" s="7"/>
      <c r="I362" s="7"/>
      <c r="J362" s="7"/>
    </row>
    <row r="363" spans="1:10" x14ac:dyDescent="0.15">
      <c r="A363" s="15"/>
      <c r="H363" s="7"/>
      <c r="I363" s="7"/>
      <c r="J363" s="7"/>
    </row>
    <row r="364" spans="1:10" x14ac:dyDescent="0.15">
      <c r="A364" s="15"/>
      <c r="H364" s="7"/>
      <c r="I364" s="7"/>
      <c r="J364" s="7"/>
    </row>
    <row r="365" spans="1:10" x14ac:dyDescent="0.15">
      <c r="A365" s="15"/>
      <c r="H365" s="7"/>
      <c r="I365" s="7"/>
      <c r="J365" s="7"/>
    </row>
    <row r="366" spans="1:10" x14ac:dyDescent="0.15">
      <c r="A366" s="15"/>
      <c r="H366" s="7"/>
      <c r="I366" s="7"/>
      <c r="J366" s="7"/>
    </row>
    <row r="367" spans="1:10" x14ac:dyDescent="0.15">
      <c r="A367" s="15"/>
      <c r="H367" s="7"/>
      <c r="I367" s="7"/>
      <c r="J367" s="7"/>
    </row>
    <row r="368" spans="1:10" x14ac:dyDescent="0.15">
      <c r="A368" s="15"/>
      <c r="H368" s="7"/>
      <c r="I368" s="7"/>
      <c r="J368" s="7"/>
    </row>
    <row r="369" spans="1:10" x14ac:dyDescent="0.15">
      <c r="A369" s="15"/>
      <c r="H369" s="7"/>
      <c r="I369" s="7"/>
      <c r="J369" s="7"/>
    </row>
    <row r="370" spans="1:10" x14ac:dyDescent="0.15">
      <c r="A370" s="15"/>
      <c r="H370" s="7"/>
      <c r="I370" s="7"/>
      <c r="J370" s="7"/>
    </row>
    <row r="371" spans="1:10" x14ac:dyDescent="0.15">
      <c r="A371" s="15"/>
      <c r="H371" s="7"/>
      <c r="I371" s="7"/>
      <c r="J371" s="7"/>
    </row>
    <row r="372" spans="1:10" x14ac:dyDescent="0.15">
      <c r="A372" s="15"/>
      <c r="H372" s="7"/>
      <c r="I372" s="7"/>
      <c r="J372" s="7"/>
    </row>
    <row r="373" spans="1:10" x14ac:dyDescent="0.15">
      <c r="A373" s="15"/>
      <c r="H373" s="7"/>
      <c r="I373" s="7"/>
      <c r="J373" s="7"/>
    </row>
    <row r="374" spans="1:10" x14ac:dyDescent="0.15">
      <c r="A374" s="15"/>
      <c r="H374" s="7"/>
      <c r="I374" s="7"/>
      <c r="J374" s="7"/>
    </row>
    <row r="375" spans="1:10" x14ac:dyDescent="0.15">
      <c r="A375" s="15"/>
      <c r="H375" s="7"/>
      <c r="I375" s="7"/>
      <c r="J375" s="7"/>
    </row>
    <row r="376" spans="1:10" x14ac:dyDescent="0.15">
      <c r="A376" s="15"/>
      <c r="H376" s="7"/>
      <c r="I376" s="7"/>
      <c r="J376" s="7"/>
    </row>
    <row r="377" spans="1:10" x14ac:dyDescent="0.15">
      <c r="A377" s="15"/>
      <c r="H377" s="7"/>
      <c r="I377" s="7"/>
      <c r="J377" s="7"/>
    </row>
    <row r="378" spans="1:10" x14ac:dyDescent="0.15">
      <c r="A378" s="15"/>
      <c r="H378" s="7"/>
      <c r="I378" s="7"/>
      <c r="J378" s="7"/>
    </row>
    <row r="379" spans="1:10" x14ac:dyDescent="0.15">
      <c r="A379" s="15"/>
      <c r="H379" s="7"/>
      <c r="I379" s="7"/>
      <c r="J379" s="7"/>
    </row>
    <row r="380" spans="1:10" x14ac:dyDescent="0.15">
      <c r="A380" s="15"/>
      <c r="H380" s="7"/>
      <c r="I380" s="7"/>
      <c r="J380" s="7"/>
    </row>
    <row r="381" spans="1:10" x14ac:dyDescent="0.15">
      <c r="A381" s="15"/>
      <c r="H381" s="7"/>
      <c r="I381" s="7"/>
      <c r="J381" s="7"/>
    </row>
    <row r="382" spans="1:10" x14ac:dyDescent="0.15">
      <c r="A382" s="15"/>
      <c r="H382" s="7"/>
      <c r="I382" s="7"/>
      <c r="J382" s="7"/>
    </row>
    <row r="383" spans="1:10" x14ac:dyDescent="0.15">
      <c r="A383" s="15"/>
      <c r="H383" s="7"/>
      <c r="I383" s="7"/>
      <c r="J383" s="7"/>
    </row>
    <row r="384" spans="1:10" x14ac:dyDescent="0.15">
      <c r="A384" s="15"/>
      <c r="H384" s="7"/>
      <c r="I384" s="7"/>
      <c r="J384" s="7"/>
    </row>
    <row r="385" spans="1:10" x14ac:dyDescent="0.15">
      <c r="A385" s="15"/>
      <c r="H385" s="7"/>
      <c r="I385" s="7"/>
      <c r="J385" s="7"/>
    </row>
    <row r="386" spans="1:10" x14ac:dyDescent="0.15">
      <c r="A386" s="15"/>
      <c r="H386" s="7"/>
      <c r="I386" s="7"/>
      <c r="J386" s="7"/>
    </row>
    <row r="387" spans="1:10" x14ac:dyDescent="0.15">
      <c r="A387" s="15"/>
      <c r="H387" s="7"/>
      <c r="I387" s="7"/>
      <c r="J387" s="7"/>
    </row>
    <row r="388" spans="1:10" x14ac:dyDescent="0.15">
      <c r="A388" s="15"/>
      <c r="H388" s="7"/>
      <c r="I388" s="7"/>
      <c r="J388" s="7"/>
    </row>
    <row r="389" spans="1:10" x14ac:dyDescent="0.15">
      <c r="A389" s="15"/>
      <c r="H389" s="7"/>
      <c r="I389" s="7"/>
      <c r="J389" s="7"/>
    </row>
    <row r="390" spans="1:10" x14ac:dyDescent="0.15">
      <c r="A390" s="15"/>
      <c r="H390" s="7"/>
      <c r="I390" s="7"/>
      <c r="J390" s="7"/>
    </row>
    <row r="391" spans="1:10" x14ac:dyDescent="0.15">
      <c r="A391" s="15"/>
      <c r="H391" s="7"/>
      <c r="I391" s="7"/>
      <c r="J391" s="7"/>
    </row>
    <row r="392" spans="1:10" x14ac:dyDescent="0.15">
      <c r="A392" s="15"/>
      <c r="H392" s="7"/>
      <c r="I392" s="7"/>
      <c r="J392" s="7"/>
    </row>
    <row r="393" spans="1:10" x14ac:dyDescent="0.15">
      <c r="A393" s="15"/>
      <c r="H393" s="7"/>
      <c r="I393" s="7"/>
      <c r="J393" s="7"/>
    </row>
    <row r="394" spans="1:10" x14ac:dyDescent="0.15">
      <c r="A394" s="15"/>
      <c r="H394" s="7"/>
      <c r="I394" s="7"/>
      <c r="J394" s="7"/>
    </row>
    <row r="395" spans="1:10" x14ac:dyDescent="0.15">
      <c r="A395" s="15"/>
      <c r="H395" s="7"/>
      <c r="I395" s="7"/>
      <c r="J395" s="7"/>
    </row>
    <row r="396" spans="1:10" x14ac:dyDescent="0.15">
      <c r="A396" s="15"/>
      <c r="H396" s="7"/>
      <c r="I396" s="7"/>
      <c r="J396" s="7"/>
    </row>
    <row r="397" spans="1:10" x14ac:dyDescent="0.15">
      <c r="A397" s="15"/>
      <c r="H397" s="7"/>
      <c r="I397" s="7"/>
      <c r="J397" s="7"/>
    </row>
    <row r="398" spans="1:10" x14ac:dyDescent="0.15">
      <c r="A398" s="15"/>
      <c r="H398" s="7"/>
      <c r="I398" s="7"/>
      <c r="J398" s="7"/>
    </row>
    <row r="399" spans="1:10" x14ac:dyDescent="0.15">
      <c r="A399" s="15"/>
      <c r="H399" s="7"/>
      <c r="I399" s="7"/>
      <c r="J399" s="7"/>
    </row>
    <row r="400" spans="1:10" x14ac:dyDescent="0.15">
      <c r="A400" s="15"/>
      <c r="H400" s="7"/>
      <c r="I400" s="7"/>
      <c r="J400" s="7"/>
    </row>
    <row r="401" spans="1:10" x14ac:dyDescent="0.15">
      <c r="A401" s="15"/>
      <c r="H401" s="7"/>
      <c r="I401" s="7"/>
      <c r="J401" s="7"/>
    </row>
    <row r="402" spans="1:10" x14ac:dyDescent="0.15">
      <c r="A402" s="15"/>
      <c r="H402" s="7"/>
      <c r="I402" s="7"/>
      <c r="J402" s="7"/>
    </row>
    <row r="403" spans="1:10" x14ac:dyDescent="0.15">
      <c r="A403" s="15"/>
      <c r="H403" s="7"/>
      <c r="I403" s="7"/>
      <c r="J403" s="7"/>
    </row>
    <row r="404" spans="1:10" x14ac:dyDescent="0.15">
      <c r="A404" s="15"/>
      <c r="H404" s="7"/>
      <c r="I404" s="7"/>
      <c r="J404" s="7"/>
    </row>
    <row r="405" spans="1:10" x14ac:dyDescent="0.15">
      <c r="A405" s="15"/>
      <c r="H405" s="7"/>
      <c r="I405" s="7"/>
      <c r="J405" s="7"/>
    </row>
    <row r="406" spans="1:10" x14ac:dyDescent="0.15">
      <c r="A406" s="15"/>
      <c r="H406" s="7"/>
      <c r="I406" s="7"/>
      <c r="J406" s="7"/>
    </row>
    <row r="407" spans="1:10" x14ac:dyDescent="0.15">
      <c r="A407" s="15"/>
      <c r="H407" s="7"/>
      <c r="I407" s="7"/>
      <c r="J407" s="7"/>
    </row>
    <row r="408" spans="1:10" x14ac:dyDescent="0.15">
      <c r="A408" s="15"/>
      <c r="H408" s="7"/>
      <c r="I408" s="7"/>
      <c r="J408" s="7"/>
    </row>
    <row r="409" spans="1:10" x14ac:dyDescent="0.15">
      <c r="A409" s="15"/>
      <c r="H409" s="7"/>
      <c r="I409" s="7"/>
      <c r="J409" s="7"/>
    </row>
    <row r="410" spans="1:10" x14ac:dyDescent="0.15">
      <c r="A410" s="15"/>
      <c r="H410" s="7"/>
      <c r="I410" s="7"/>
      <c r="J410" s="7"/>
    </row>
    <row r="411" spans="1:10" x14ac:dyDescent="0.15">
      <c r="A411" s="15"/>
      <c r="H411" s="7"/>
      <c r="I411" s="7"/>
      <c r="J411" s="7"/>
    </row>
    <row r="412" spans="1:10" x14ac:dyDescent="0.15">
      <c r="A412" s="15"/>
      <c r="H412" s="7"/>
      <c r="I412" s="7"/>
      <c r="J412" s="7"/>
    </row>
    <row r="413" spans="1:10" x14ac:dyDescent="0.15">
      <c r="A413" s="15"/>
      <c r="H413" s="7"/>
      <c r="I413" s="7"/>
      <c r="J413" s="7"/>
    </row>
    <row r="414" spans="1:10" x14ac:dyDescent="0.15">
      <c r="A414" s="15"/>
      <c r="H414" s="7"/>
      <c r="I414" s="7"/>
      <c r="J414" s="7"/>
    </row>
    <row r="415" spans="1:10" x14ac:dyDescent="0.15">
      <c r="A415" s="15"/>
      <c r="H415" s="7"/>
      <c r="I415" s="7"/>
      <c r="J415" s="7"/>
    </row>
    <row r="416" spans="1:10" x14ac:dyDescent="0.15">
      <c r="A416" s="15"/>
      <c r="H416" s="7"/>
      <c r="I416" s="7"/>
      <c r="J416" s="7"/>
    </row>
    <row r="417" spans="1:10" x14ac:dyDescent="0.15">
      <c r="A417" s="15"/>
      <c r="H417" s="7"/>
      <c r="I417" s="7"/>
      <c r="J417" s="7"/>
    </row>
    <row r="418" spans="1:10" x14ac:dyDescent="0.15">
      <c r="A418" s="15"/>
      <c r="H418" s="7"/>
      <c r="I418" s="7"/>
      <c r="J418" s="7"/>
    </row>
    <row r="419" spans="1:10" x14ac:dyDescent="0.15">
      <c r="A419" s="15"/>
      <c r="H419" s="7"/>
      <c r="I419" s="7"/>
      <c r="J419" s="7"/>
    </row>
    <row r="420" spans="1:10" x14ac:dyDescent="0.15">
      <c r="A420" s="15"/>
      <c r="H420" s="7"/>
      <c r="I420" s="7"/>
      <c r="J420" s="7"/>
    </row>
    <row r="421" spans="1:10" x14ac:dyDescent="0.15">
      <c r="A421" s="15"/>
      <c r="H421" s="7"/>
      <c r="I421" s="7"/>
      <c r="J421" s="7"/>
    </row>
    <row r="422" spans="1:10" x14ac:dyDescent="0.15">
      <c r="A422" s="15"/>
      <c r="H422" s="7"/>
      <c r="I422" s="7"/>
      <c r="J422" s="7"/>
    </row>
    <row r="423" spans="1:10" x14ac:dyDescent="0.15">
      <c r="A423" s="15"/>
      <c r="H423" s="7"/>
      <c r="I423" s="7"/>
      <c r="J423" s="7"/>
    </row>
    <row r="424" spans="1:10" x14ac:dyDescent="0.15">
      <c r="A424" s="15"/>
      <c r="H424" s="7"/>
      <c r="I424" s="7"/>
      <c r="J424" s="7"/>
    </row>
    <row r="425" spans="1:10" x14ac:dyDescent="0.15">
      <c r="A425" s="15"/>
      <c r="H425" s="7"/>
      <c r="I425" s="7"/>
      <c r="J425" s="7"/>
    </row>
    <row r="426" spans="1:10" x14ac:dyDescent="0.15">
      <c r="A426" s="15"/>
      <c r="H426" s="7"/>
      <c r="I426" s="7"/>
      <c r="J426" s="7"/>
    </row>
    <row r="427" spans="1:10" x14ac:dyDescent="0.15">
      <c r="A427" s="15"/>
      <c r="H427" s="7"/>
      <c r="I427" s="7"/>
      <c r="J427" s="7"/>
    </row>
    <row r="428" spans="1:10" x14ac:dyDescent="0.15">
      <c r="A428" s="15"/>
      <c r="H428" s="7"/>
      <c r="I428" s="7"/>
      <c r="J428" s="7"/>
    </row>
    <row r="429" spans="1:10" x14ac:dyDescent="0.15">
      <c r="A429" s="15"/>
      <c r="H429" s="7"/>
      <c r="I429" s="7"/>
      <c r="J429" s="7"/>
    </row>
    <row r="430" spans="1:10" x14ac:dyDescent="0.15">
      <c r="A430" s="15"/>
      <c r="H430" s="7"/>
      <c r="I430" s="7"/>
      <c r="J430" s="7"/>
    </row>
    <row r="431" spans="1:10" x14ac:dyDescent="0.15">
      <c r="A431" s="15"/>
      <c r="H431" s="7"/>
      <c r="I431" s="7"/>
      <c r="J431" s="7"/>
    </row>
    <row r="432" spans="1:10" x14ac:dyDescent="0.15">
      <c r="A432" s="15"/>
      <c r="H432" s="7"/>
      <c r="I432" s="7"/>
      <c r="J432" s="7"/>
    </row>
    <row r="433" spans="1:10" x14ac:dyDescent="0.15">
      <c r="A433" s="15"/>
      <c r="H433" s="7"/>
      <c r="I433" s="7"/>
      <c r="J433" s="7"/>
    </row>
    <row r="434" spans="1:10" x14ac:dyDescent="0.15">
      <c r="A434" s="15"/>
      <c r="H434" s="7"/>
      <c r="I434" s="7"/>
      <c r="J434" s="7"/>
    </row>
    <row r="435" spans="1:10" x14ac:dyDescent="0.15">
      <c r="A435" s="15"/>
      <c r="H435" s="7"/>
      <c r="I435" s="7"/>
      <c r="J435" s="7"/>
    </row>
    <row r="436" spans="1:10" x14ac:dyDescent="0.15">
      <c r="A436" s="15"/>
      <c r="H436" s="7"/>
      <c r="I436" s="7"/>
      <c r="J436" s="7"/>
    </row>
    <row r="437" spans="1:10" x14ac:dyDescent="0.15">
      <c r="A437" s="15"/>
      <c r="H437" s="7"/>
      <c r="I437" s="7"/>
      <c r="J437" s="7"/>
    </row>
    <row r="438" spans="1:10" x14ac:dyDescent="0.15">
      <c r="A438" s="15"/>
      <c r="H438" s="7"/>
      <c r="I438" s="7"/>
      <c r="J438" s="7"/>
    </row>
    <row r="439" spans="1:10" x14ac:dyDescent="0.15">
      <c r="A439" s="15"/>
      <c r="H439" s="7"/>
      <c r="I439" s="7"/>
      <c r="J439" s="7"/>
    </row>
    <row r="440" spans="1:10" x14ac:dyDescent="0.15">
      <c r="A440" s="15"/>
      <c r="H440" s="7"/>
      <c r="I440" s="7"/>
      <c r="J440" s="7"/>
    </row>
    <row r="441" spans="1:10" x14ac:dyDescent="0.15">
      <c r="A441" s="15"/>
      <c r="H441" s="7"/>
      <c r="I441" s="7"/>
      <c r="J441" s="7"/>
    </row>
    <row r="442" spans="1:10" x14ac:dyDescent="0.15">
      <c r="A442" s="15"/>
      <c r="H442" s="7"/>
      <c r="I442" s="7"/>
      <c r="J442" s="7"/>
    </row>
    <row r="443" spans="1:10" x14ac:dyDescent="0.15">
      <c r="A443" s="15"/>
      <c r="H443" s="7"/>
      <c r="I443" s="7"/>
      <c r="J443" s="7"/>
    </row>
    <row r="444" spans="1:10" x14ac:dyDescent="0.15">
      <c r="A444" s="15"/>
      <c r="H444" s="7"/>
      <c r="I444" s="7"/>
      <c r="J444" s="7"/>
    </row>
    <row r="445" spans="1:10" x14ac:dyDescent="0.15">
      <c r="A445" s="15"/>
      <c r="H445" s="7"/>
      <c r="I445" s="7"/>
      <c r="J445" s="7"/>
    </row>
    <row r="446" spans="1:10" x14ac:dyDescent="0.15">
      <c r="A446" s="15"/>
      <c r="H446" s="7"/>
      <c r="I446" s="7"/>
      <c r="J446" s="7"/>
    </row>
    <row r="447" spans="1:10" x14ac:dyDescent="0.15">
      <c r="A447" s="15"/>
      <c r="H447" s="7"/>
      <c r="I447" s="7"/>
      <c r="J447" s="7"/>
    </row>
    <row r="448" spans="1:10" x14ac:dyDescent="0.15">
      <c r="A448" s="15"/>
      <c r="H448" s="7"/>
      <c r="I448" s="7"/>
      <c r="J448" s="7"/>
    </row>
    <row r="449" spans="1:10" x14ac:dyDescent="0.15">
      <c r="A449" s="15"/>
      <c r="H449" s="7"/>
      <c r="I449" s="7"/>
      <c r="J449" s="7"/>
    </row>
    <row r="450" spans="1:10" x14ac:dyDescent="0.15">
      <c r="A450" s="15"/>
      <c r="H450" s="7"/>
      <c r="I450" s="7"/>
      <c r="J450" s="7"/>
    </row>
    <row r="451" spans="1:10" x14ac:dyDescent="0.15">
      <c r="A451" s="15"/>
      <c r="H451" s="7"/>
      <c r="I451" s="7"/>
      <c r="J451" s="7"/>
    </row>
    <row r="452" spans="1:10" x14ac:dyDescent="0.15">
      <c r="A452" s="15"/>
      <c r="H452" s="7"/>
      <c r="I452" s="7"/>
      <c r="J452" s="7"/>
    </row>
    <row r="453" spans="1:10" x14ac:dyDescent="0.15">
      <c r="A453" s="15"/>
      <c r="H453" s="7"/>
      <c r="I453" s="7"/>
      <c r="J453" s="7"/>
    </row>
    <row r="454" spans="1:10" x14ac:dyDescent="0.15">
      <c r="A454" s="15"/>
      <c r="H454" s="7"/>
      <c r="I454" s="7"/>
      <c r="J454" s="7"/>
    </row>
    <row r="455" spans="1:10" x14ac:dyDescent="0.15">
      <c r="A455" s="15"/>
      <c r="H455" s="7"/>
      <c r="I455" s="7"/>
      <c r="J455" s="7"/>
    </row>
    <row r="456" spans="1:10" x14ac:dyDescent="0.15">
      <c r="A456" s="15"/>
      <c r="H456" s="7"/>
      <c r="I456" s="7"/>
      <c r="J456" s="7"/>
    </row>
    <row r="457" spans="1:10" x14ac:dyDescent="0.15">
      <c r="A457" s="15"/>
      <c r="H457" s="7"/>
      <c r="I457" s="7"/>
      <c r="J457" s="7"/>
    </row>
    <row r="458" spans="1:10" x14ac:dyDescent="0.15">
      <c r="A458" s="15"/>
      <c r="H458" s="7"/>
      <c r="I458" s="7"/>
      <c r="J458" s="7"/>
    </row>
    <row r="459" spans="1:10" x14ac:dyDescent="0.15">
      <c r="A459" s="15"/>
      <c r="H459" s="7"/>
      <c r="I459" s="7"/>
      <c r="J459" s="7"/>
    </row>
    <row r="460" spans="1:10" x14ac:dyDescent="0.15">
      <c r="A460" s="15"/>
      <c r="H460" s="7"/>
      <c r="I460" s="7"/>
      <c r="J460" s="7"/>
    </row>
    <row r="461" spans="1:10" x14ac:dyDescent="0.15">
      <c r="A461" s="15"/>
      <c r="H461" s="7"/>
      <c r="I461" s="7"/>
      <c r="J461" s="7"/>
    </row>
    <row r="462" spans="1:10" x14ac:dyDescent="0.15">
      <c r="A462" s="15"/>
      <c r="H462" s="7"/>
      <c r="I462" s="7"/>
      <c r="J462" s="7"/>
    </row>
    <row r="463" spans="1:10" x14ac:dyDescent="0.15">
      <c r="A463" s="15"/>
      <c r="H463" s="7"/>
      <c r="I463" s="7"/>
      <c r="J463" s="7"/>
    </row>
    <row r="464" spans="1:10" x14ac:dyDescent="0.15">
      <c r="A464" s="15"/>
      <c r="H464" s="7"/>
      <c r="I464" s="7"/>
      <c r="J464" s="7"/>
    </row>
    <row r="465" spans="1:10" x14ac:dyDescent="0.15">
      <c r="A465" s="15"/>
      <c r="H465" s="7"/>
      <c r="I465" s="7"/>
      <c r="J465" s="7"/>
    </row>
    <row r="466" spans="1:10" x14ac:dyDescent="0.15">
      <c r="A466" s="15"/>
      <c r="H466" s="7"/>
      <c r="I466" s="7"/>
      <c r="J466" s="7"/>
    </row>
    <row r="467" spans="1:10" x14ac:dyDescent="0.15">
      <c r="A467" s="15"/>
      <c r="H467" s="7"/>
      <c r="I467" s="7"/>
      <c r="J467" s="7"/>
    </row>
    <row r="468" spans="1:10" x14ac:dyDescent="0.15">
      <c r="A468" s="15"/>
      <c r="H468" s="7"/>
      <c r="I468" s="7"/>
      <c r="J468" s="7"/>
    </row>
    <row r="469" spans="1:10" x14ac:dyDescent="0.15">
      <c r="A469" s="15"/>
      <c r="H469" s="7"/>
      <c r="I469" s="7"/>
      <c r="J469" s="7"/>
    </row>
    <row r="470" spans="1:10" x14ac:dyDescent="0.15">
      <c r="A470" s="15"/>
      <c r="H470" s="7"/>
      <c r="I470" s="7"/>
      <c r="J470" s="7"/>
    </row>
    <row r="471" spans="1:10" x14ac:dyDescent="0.15">
      <c r="A471" s="15"/>
      <c r="H471" s="7"/>
      <c r="I471" s="7"/>
      <c r="J471" s="7"/>
    </row>
    <row r="472" spans="1:10" x14ac:dyDescent="0.15">
      <c r="A472" s="15"/>
      <c r="H472" s="7"/>
      <c r="I472" s="7"/>
      <c r="J472" s="7"/>
    </row>
    <row r="473" spans="1:10" x14ac:dyDescent="0.15">
      <c r="A473" s="15"/>
      <c r="H473" s="7"/>
      <c r="I473" s="7"/>
      <c r="J473" s="7"/>
    </row>
    <row r="474" spans="1:10" x14ac:dyDescent="0.15">
      <c r="A474" s="15"/>
      <c r="H474" s="7"/>
      <c r="I474" s="7"/>
      <c r="J474" s="7"/>
    </row>
    <row r="475" spans="1:10" x14ac:dyDescent="0.15">
      <c r="A475" s="15"/>
      <c r="H475" s="7"/>
      <c r="I475" s="7"/>
      <c r="J475" s="7"/>
    </row>
    <row r="476" spans="1:10" x14ac:dyDescent="0.15">
      <c r="A476" s="15"/>
      <c r="H476" s="7"/>
      <c r="I476" s="7"/>
      <c r="J476" s="7"/>
    </row>
    <row r="477" spans="1:10" x14ac:dyDescent="0.15">
      <c r="A477" s="15"/>
      <c r="H477" s="7"/>
      <c r="I477" s="7"/>
      <c r="J477" s="7"/>
    </row>
    <row r="478" spans="1:10" x14ac:dyDescent="0.15">
      <c r="A478" s="15"/>
      <c r="H478" s="7"/>
      <c r="I478" s="7"/>
      <c r="J478" s="7"/>
    </row>
    <row r="479" spans="1:10" x14ac:dyDescent="0.15">
      <c r="A479" s="15"/>
      <c r="H479" s="7"/>
      <c r="I479" s="7"/>
      <c r="J479" s="7"/>
    </row>
    <row r="480" spans="1:10" x14ac:dyDescent="0.15">
      <c r="A480" s="15"/>
      <c r="H480" s="7"/>
      <c r="I480" s="7"/>
      <c r="J480" s="7"/>
    </row>
    <row r="481" spans="1:10" x14ac:dyDescent="0.15">
      <c r="A481" s="15"/>
      <c r="H481" s="7"/>
      <c r="I481" s="7"/>
      <c r="J481" s="7"/>
    </row>
    <row r="482" spans="1:10" x14ac:dyDescent="0.15">
      <c r="A482" s="15"/>
      <c r="H482" s="7"/>
      <c r="I482" s="7"/>
      <c r="J482" s="7"/>
    </row>
    <row r="483" spans="1:10" x14ac:dyDescent="0.15">
      <c r="A483" s="15"/>
      <c r="H483" s="7"/>
      <c r="I483" s="7"/>
      <c r="J483" s="7"/>
    </row>
    <row r="484" spans="1:10" x14ac:dyDescent="0.15">
      <c r="A484" s="15"/>
      <c r="H484" s="7"/>
      <c r="I484" s="7"/>
      <c r="J484" s="7"/>
    </row>
    <row r="485" spans="1:10" x14ac:dyDescent="0.15">
      <c r="A485" s="15"/>
      <c r="H485" s="7"/>
      <c r="I485" s="7"/>
      <c r="J485" s="7"/>
    </row>
    <row r="486" spans="1:10" x14ac:dyDescent="0.15">
      <c r="A486" s="15"/>
      <c r="H486" s="7"/>
      <c r="I486" s="7"/>
      <c r="J486" s="7"/>
    </row>
    <row r="487" spans="1:10" x14ac:dyDescent="0.15">
      <c r="A487" s="15"/>
      <c r="H487" s="7"/>
      <c r="I487" s="7"/>
      <c r="J487" s="7"/>
    </row>
    <row r="488" spans="1:10" x14ac:dyDescent="0.15">
      <c r="A488" s="15"/>
      <c r="H488" s="7"/>
      <c r="I488" s="7"/>
      <c r="J488" s="7"/>
    </row>
    <row r="489" spans="1:10" x14ac:dyDescent="0.15">
      <c r="A489" s="15"/>
      <c r="H489" s="7"/>
      <c r="I489" s="7"/>
      <c r="J489" s="7"/>
    </row>
    <row r="490" spans="1:10" x14ac:dyDescent="0.15">
      <c r="A490" s="15"/>
      <c r="H490" s="7"/>
      <c r="I490" s="7"/>
      <c r="J490" s="7"/>
    </row>
    <row r="491" spans="1:10" x14ac:dyDescent="0.15">
      <c r="A491" s="15"/>
      <c r="H491" s="7"/>
      <c r="I491" s="7"/>
      <c r="J491" s="7"/>
    </row>
    <row r="492" spans="1:10" x14ac:dyDescent="0.15">
      <c r="A492" s="15"/>
      <c r="H492" s="7"/>
      <c r="I492" s="7"/>
      <c r="J492" s="7"/>
    </row>
    <row r="493" spans="1:10" x14ac:dyDescent="0.15">
      <c r="A493" s="15"/>
      <c r="H493" s="7"/>
      <c r="I493" s="7"/>
      <c r="J493" s="7"/>
    </row>
    <row r="494" spans="1:10" x14ac:dyDescent="0.15">
      <c r="A494" s="15"/>
      <c r="H494" s="7"/>
      <c r="I494" s="7"/>
      <c r="J494" s="7"/>
    </row>
    <row r="495" spans="1:10" x14ac:dyDescent="0.15">
      <c r="A495" s="15"/>
      <c r="H495" s="7"/>
      <c r="I495" s="7"/>
      <c r="J495" s="7"/>
    </row>
    <row r="496" spans="1:10" x14ac:dyDescent="0.15">
      <c r="A496" s="15"/>
      <c r="H496" s="7"/>
      <c r="I496" s="7"/>
      <c r="J496" s="7"/>
    </row>
    <row r="497" spans="1:10" x14ac:dyDescent="0.15">
      <c r="A497" s="15"/>
      <c r="H497" s="7"/>
      <c r="I497" s="7"/>
      <c r="J497" s="7"/>
    </row>
    <row r="498" spans="1:10" x14ac:dyDescent="0.15">
      <c r="A498" s="15"/>
      <c r="H498" s="7"/>
      <c r="I498" s="7"/>
      <c r="J498" s="7"/>
    </row>
    <row r="499" spans="1:10" x14ac:dyDescent="0.15">
      <c r="A499" s="15"/>
      <c r="H499" s="7"/>
      <c r="I499" s="7"/>
      <c r="J499" s="7"/>
    </row>
    <row r="500" spans="1:10" x14ac:dyDescent="0.15">
      <c r="A500" s="15"/>
      <c r="H500" s="7"/>
      <c r="I500" s="7"/>
      <c r="J500" s="7"/>
    </row>
    <row r="501" spans="1:10" x14ac:dyDescent="0.15">
      <c r="A501" s="15"/>
      <c r="H501" s="7"/>
      <c r="I501" s="7"/>
      <c r="J501" s="7"/>
    </row>
    <row r="502" spans="1:10" x14ac:dyDescent="0.15">
      <c r="A502" s="15"/>
      <c r="H502" s="7"/>
      <c r="I502" s="7"/>
      <c r="J502" s="7"/>
    </row>
    <row r="503" spans="1:10" x14ac:dyDescent="0.15">
      <c r="A503" s="15"/>
      <c r="H503" s="7"/>
      <c r="I503" s="7"/>
      <c r="J503" s="7"/>
    </row>
    <row r="504" spans="1:10" x14ac:dyDescent="0.15">
      <c r="A504" s="15"/>
      <c r="H504" s="7"/>
      <c r="I504" s="7"/>
      <c r="J504" s="7"/>
    </row>
    <row r="505" spans="1:10" x14ac:dyDescent="0.15">
      <c r="A505" s="15"/>
      <c r="H505" s="7"/>
      <c r="I505" s="7"/>
      <c r="J505" s="7"/>
    </row>
    <row r="506" spans="1:10" x14ac:dyDescent="0.15">
      <c r="A506" s="15"/>
      <c r="H506" s="7"/>
      <c r="I506" s="7"/>
      <c r="J506" s="7"/>
    </row>
    <row r="507" spans="1:10" x14ac:dyDescent="0.15">
      <c r="A507" s="15"/>
      <c r="H507" s="7"/>
      <c r="I507" s="7"/>
      <c r="J507" s="7"/>
    </row>
    <row r="508" spans="1:10" x14ac:dyDescent="0.15">
      <c r="A508" s="15"/>
      <c r="H508" s="7"/>
      <c r="I508" s="7"/>
      <c r="J508" s="7"/>
    </row>
    <row r="509" spans="1:10" x14ac:dyDescent="0.15">
      <c r="A509" s="15"/>
      <c r="H509" s="7"/>
      <c r="I509" s="7"/>
      <c r="J509" s="7"/>
    </row>
    <row r="510" spans="1:10" x14ac:dyDescent="0.15">
      <c r="A510" s="15"/>
      <c r="H510" s="7"/>
      <c r="I510" s="7"/>
      <c r="J510" s="7"/>
    </row>
    <row r="511" spans="1:10" x14ac:dyDescent="0.15">
      <c r="A511" s="15"/>
      <c r="H511" s="7"/>
      <c r="I511" s="7"/>
      <c r="J511" s="7"/>
    </row>
    <row r="512" spans="1:10" x14ac:dyDescent="0.15">
      <c r="A512" s="15"/>
      <c r="H512" s="7"/>
      <c r="I512" s="7"/>
      <c r="J512" s="7"/>
    </row>
    <row r="513" spans="1:10" x14ac:dyDescent="0.15">
      <c r="A513" s="15"/>
      <c r="H513" s="7"/>
      <c r="I513" s="7"/>
      <c r="J513" s="7"/>
    </row>
    <row r="514" spans="1:10" x14ac:dyDescent="0.15">
      <c r="A514" s="15"/>
      <c r="H514" s="7"/>
      <c r="I514" s="7"/>
      <c r="J514" s="7"/>
    </row>
    <row r="515" spans="1:10" x14ac:dyDescent="0.15">
      <c r="A515" s="15"/>
      <c r="H515" s="7"/>
      <c r="I515" s="7"/>
      <c r="J515" s="7"/>
    </row>
    <row r="516" spans="1:10" x14ac:dyDescent="0.15">
      <c r="A516" s="15"/>
      <c r="H516" s="7"/>
      <c r="I516" s="7"/>
      <c r="J516" s="7"/>
    </row>
    <row r="517" spans="1:10" x14ac:dyDescent="0.15">
      <c r="A517" s="15"/>
      <c r="H517" s="7"/>
      <c r="I517" s="7"/>
      <c r="J517" s="7"/>
    </row>
    <row r="518" spans="1:10" x14ac:dyDescent="0.15">
      <c r="A518" s="15"/>
      <c r="H518" s="7"/>
      <c r="I518" s="7"/>
      <c r="J518" s="7"/>
    </row>
    <row r="519" spans="1:10" x14ac:dyDescent="0.15">
      <c r="A519" s="15"/>
      <c r="H519" s="7"/>
      <c r="I519" s="7"/>
      <c r="J519" s="7"/>
    </row>
    <row r="520" spans="1:10" x14ac:dyDescent="0.15">
      <c r="A520" s="15"/>
      <c r="H520" s="7"/>
      <c r="I520" s="7"/>
      <c r="J520" s="7"/>
    </row>
    <row r="521" spans="1:10" x14ac:dyDescent="0.15">
      <c r="A521" s="15"/>
      <c r="H521" s="7"/>
      <c r="I521" s="7"/>
      <c r="J521" s="7"/>
    </row>
    <row r="522" spans="1:10" x14ac:dyDescent="0.15">
      <c r="A522" s="15"/>
      <c r="H522" s="7"/>
      <c r="I522" s="7"/>
      <c r="J522" s="7"/>
    </row>
    <row r="523" spans="1:10" x14ac:dyDescent="0.15">
      <c r="A523" s="15"/>
      <c r="H523" s="7"/>
      <c r="I523" s="7"/>
      <c r="J523" s="7"/>
    </row>
    <row r="524" spans="1:10" x14ac:dyDescent="0.15">
      <c r="A524" s="15"/>
      <c r="H524" s="7"/>
      <c r="I524" s="7"/>
      <c r="J524" s="7"/>
    </row>
    <row r="525" spans="1:10" x14ac:dyDescent="0.15">
      <c r="A525" s="15"/>
      <c r="H525" s="7"/>
      <c r="I525" s="7"/>
      <c r="J525" s="7"/>
    </row>
    <row r="526" spans="1:10" x14ac:dyDescent="0.15">
      <c r="A526" s="15"/>
      <c r="H526" s="7"/>
      <c r="I526" s="7"/>
      <c r="J526" s="7"/>
    </row>
    <row r="527" spans="1:10" x14ac:dyDescent="0.15">
      <c r="A527" s="15"/>
      <c r="H527" s="7"/>
      <c r="I527" s="7"/>
      <c r="J527" s="7"/>
    </row>
    <row r="528" spans="1:10" x14ac:dyDescent="0.15">
      <c r="A528" s="15"/>
      <c r="H528" s="7"/>
      <c r="I528" s="7"/>
      <c r="J528" s="7"/>
    </row>
    <row r="529" spans="1:10" x14ac:dyDescent="0.15">
      <c r="A529" s="15"/>
      <c r="H529" s="7"/>
      <c r="I529" s="7"/>
      <c r="J529" s="7"/>
    </row>
    <row r="530" spans="1:10" x14ac:dyDescent="0.15">
      <c r="A530" s="15"/>
      <c r="H530" s="7"/>
      <c r="I530" s="7"/>
      <c r="J530" s="7"/>
    </row>
    <row r="531" spans="1:10" x14ac:dyDescent="0.15">
      <c r="A531" s="15"/>
      <c r="H531" s="7"/>
      <c r="I531" s="7"/>
      <c r="J531" s="7"/>
    </row>
    <row r="532" spans="1:10" x14ac:dyDescent="0.15">
      <c r="A532" s="15"/>
      <c r="H532" s="7"/>
      <c r="I532" s="7"/>
      <c r="J532" s="7"/>
    </row>
    <row r="533" spans="1:10" x14ac:dyDescent="0.15">
      <c r="A533" s="15"/>
      <c r="H533" s="7"/>
      <c r="I533" s="7"/>
      <c r="J533" s="7"/>
    </row>
    <row r="534" spans="1:10" x14ac:dyDescent="0.15">
      <c r="A534" s="15"/>
      <c r="H534" s="7"/>
      <c r="I534" s="7"/>
      <c r="J534" s="7"/>
    </row>
    <row r="535" spans="1:10" x14ac:dyDescent="0.15">
      <c r="A535" s="15"/>
      <c r="H535" s="7"/>
      <c r="I535" s="7"/>
      <c r="J535" s="7"/>
    </row>
    <row r="536" spans="1:10" x14ac:dyDescent="0.15">
      <c r="A536" s="15"/>
      <c r="H536" s="7"/>
      <c r="I536" s="7"/>
      <c r="J536" s="7"/>
    </row>
    <row r="537" spans="1:10" x14ac:dyDescent="0.15">
      <c r="A537" s="15"/>
      <c r="H537" s="7"/>
      <c r="I537" s="7"/>
      <c r="J537" s="7"/>
    </row>
    <row r="538" spans="1:10" x14ac:dyDescent="0.15">
      <c r="A538" s="15"/>
      <c r="H538" s="7"/>
      <c r="I538" s="7"/>
      <c r="J538" s="7"/>
    </row>
    <row r="539" spans="1:10" x14ac:dyDescent="0.15">
      <c r="A539" s="15"/>
      <c r="H539" s="7"/>
      <c r="I539" s="7"/>
      <c r="J539" s="7"/>
    </row>
    <row r="540" spans="1:10" x14ac:dyDescent="0.15">
      <c r="A540" s="15"/>
      <c r="H540" s="7"/>
      <c r="I540" s="7"/>
      <c r="J540" s="7"/>
    </row>
    <row r="541" spans="1:10" x14ac:dyDescent="0.15">
      <c r="A541" s="15"/>
      <c r="H541" s="7"/>
      <c r="I541" s="7"/>
      <c r="J541" s="7"/>
    </row>
    <row r="542" spans="1:10" x14ac:dyDescent="0.15">
      <c r="A542" s="15"/>
      <c r="H542" s="7"/>
      <c r="I542" s="7"/>
      <c r="J542" s="7"/>
    </row>
    <row r="543" spans="1:10" x14ac:dyDescent="0.15">
      <c r="A543" s="15"/>
      <c r="H543" s="7"/>
      <c r="I543" s="7"/>
      <c r="J543" s="7"/>
    </row>
    <row r="544" spans="1:10" x14ac:dyDescent="0.15">
      <c r="A544" s="15"/>
      <c r="H544" s="7"/>
      <c r="I544" s="7"/>
      <c r="J544" s="7"/>
    </row>
    <row r="545" spans="1:10" x14ac:dyDescent="0.15">
      <c r="A545" s="15"/>
      <c r="H545" s="7"/>
      <c r="I545" s="7"/>
      <c r="J545" s="7"/>
    </row>
    <row r="546" spans="1:10" x14ac:dyDescent="0.15">
      <c r="A546" s="15"/>
      <c r="H546" s="7"/>
      <c r="I546" s="7"/>
      <c r="J546" s="7"/>
    </row>
    <row r="547" spans="1:10" x14ac:dyDescent="0.15">
      <c r="A547" s="15"/>
      <c r="H547" s="7"/>
      <c r="I547" s="7"/>
      <c r="J547" s="7"/>
    </row>
    <row r="548" spans="1:10" x14ac:dyDescent="0.15">
      <c r="A548" s="15"/>
      <c r="H548" s="7"/>
      <c r="I548" s="7"/>
      <c r="J548" s="7"/>
    </row>
    <row r="549" spans="1:10" x14ac:dyDescent="0.15">
      <c r="A549" s="15"/>
      <c r="H549" s="7"/>
      <c r="I549" s="7"/>
      <c r="J549" s="7"/>
    </row>
    <row r="550" spans="1:10" x14ac:dyDescent="0.15">
      <c r="A550" s="15"/>
      <c r="H550" s="7"/>
      <c r="I550" s="7"/>
      <c r="J550" s="7"/>
    </row>
    <row r="551" spans="1:10" x14ac:dyDescent="0.15">
      <c r="A551" s="15"/>
      <c r="H551" s="7"/>
      <c r="I551" s="7"/>
      <c r="J551" s="7"/>
    </row>
    <row r="552" spans="1:10" x14ac:dyDescent="0.15">
      <c r="A552" s="15"/>
      <c r="H552" s="7"/>
      <c r="I552" s="7"/>
      <c r="J552" s="7"/>
    </row>
    <row r="553" spans="1:10" x14ac:dyDescent="0.15">
      <c r="A553" s="15"/>
      <c r="H553" s="7"/>
      <c r="I553" s="7"/>
      <c r="J553" s="7"/>
    </row>
    <row r="554" spans="1:10" x14ac:dyDescent="0.15">
      <c r="A554" s="15"/>
      <c r="H554" s="7"/>
      <c r="I554" s="7"/>
      <c r="J554" s="7"/>
    </row>
    <row r="555" spans="1:10" x14ac:dyDescent="0.15">
      <c r="A555" s="15"/>
      <c r="H555" s="7"/>
      <c r="I555" s="7"/>
      <c r="J555" s="7"/>
    </row>
    <row r="556" spans="1:10" x14ac:dyDescent="0.15">
      <c r="A556" s="15"/>
      <c r="H556" s="7"/>
      <c r="I556" s="7"/>
      <c r="J556" s="7"/>
    </row>
    <row r="557" spans="1:10" x14ac:dyDescent="0.15">
      <c r="A557" s="15"/>
      <c r="H557" s="7"/>
      <c r="I557" s="7"/>
      <c r="J557" s="7"/>
    </row>
    <row r="558" spans="1:10" x14ac:dyDescent="0.15">
      <c r="A558" s="15"/>
      <c r="H558" s="7"/>
      <c r="I558" s="7"/>
      <c r="J558" s="7"/>
    </row>
    <row r="559" spans="1:10" x14ac:dyDescent="0.15">
      <c r="A559" s="15"/>
      <c r="H559" s="7"/>
      <c r="I559" s="7"/>
      <c r="J559" s="7"/>
    </row>
    <row r="560" spans="1:10" x14ac:dyDescent="0.15">
      <c r="A560" s="15"/>
      <c r="H560" s="7"/>
      <c r="I560" s="7"/>
      <c r="J560" s="7"/>
    </row>
    <row r="561" spans="1:10" x14ac:dyDescent="0.15">
      <c r="A561" s="15"/>
      <c r="H561" s="7"/>
      <c r="I561" s="7"/>
      <c r="J561" s="7"/>
    </row>
    <row r="562" spans="1:10" x14ac:dyDescent="0.15">
      <c r="A562" s="15"/>
      <c r="H562" s="7"/>
      <c r="I562" s="7"/>
      <c r="J562" s="7"/>
    </row>
    <row r="563" spans="1:10" x14ac:dyDescent="0.15">
      <c r="A563" s="15"/>
      <c r="H563" s="7"/>
      <c r="I563" s="7"/>
      <c r="J563" s="7"/>
    </row>
    <row r="564" spans="1:10" x14ac:dyDescent="0.15">
      <c r="A564" s="15"/>
      <c r="H564" s="7"/>
      <c r="I564" s="7"/>
      <c r="J564" s="7"/>
    </row>
    <row r="565" spans="1:10" x14ac:dyDescent="0.15">
      <c r="A565" s="15"/>
      <c r="H565" s="7"/>
      <c r="I565" s="7"/>
      <c r="J565" s="7"/>
    </row>
    <row r="566" spans="1:10" x14ac:dyDescent="0.15">
      <c r="A566" s="15"/>
      <c r="H566" s="7"/>
      <c r="I566" s="7"/>
      <c r="J566" s="7"/>
    </row>
    <row r="567" spans="1:10" x14ac:dyDescent="0.15">
      <c r="A567" s="15"/>
      <c r="H567" s="7"/>
      <c r="I567" s="7"/>
      <c r="J567" s="7"/>
    </row>
    <row r="568" spans="1:10" x14ac:dyDescent="0.15">
      <c r="A568" s="15"/>
      <c r="H568" s="7"/>
      <c r="I568" s="7"/>
      <c r="J568" s="7"/>
    </row>
    <row r="569" spans="1:10" x14ac:dyDescent="0.15">
      <c r="A569" s="15"/>
      <c r="H569" s="7"/>
      <c r="I569" s="7"/>
      <c r="J569" s="7"/>
    </row>
    <row r="570" spans="1:10" x14ac:dyDescent="0.15">
      <c r="A570" s="15"/>
      <c r="H570" s="7"/>
      <c r="I570" s="7"/>
      <c r="J570" s="7"/>
    </row>
    <row r="571" spans="1:10" x14ac:dyDescent="0.15">
      <c r="A571" s="15"/>
      <c r="H571" s="7"/>
      <c r="I571" s="7"/>
      <c r="J571" s="7"/>
    </row>
    <row r="572" spans="1:10" x14ac:dyDescent="0.15">
      <c r="A572" s="15"/>
      <c r="H572" s="7"/>
      <c r="I572" s="7"/>
      <c r="J572" s="7"/>
    </row>
    <row r="573" spans="1:10" x14ac:dyDescent="0.15">
      <c r="A573" s="15"/>
      <c r="H573" s="7"/>
      <c r="I573" s="7"/>
      <c r="J573" s="7"/>
    </row>
    <row r="574" spans="1:10" x14ac:dyDescent="0.15">
      <c r="A574" s="15"/>
      <c r="H574" s="7"/>
      <c r="I574" s="7"/>
      <c r="J574" s="7"/>
    </row>
    <row r="575" spans="1:10" x14ac:dyDescent="0.15">
      <c r="A575" s="15"/>
      <c r="H575" s="7"/>
      <c r="I575" s="7"/>
      <c r="J575" s="7"/>
    </row>
    <row r="576" spans="1:10" x14ac:dyDescent="0.15">
      <c r="A576" s="15"/>
      <c r="H576" s="7"/>
      <c r="I576" s="7"/>
      <c r="J576" s="7"/>
    </row>
    <row r="577" spans="1:10" x14ac:dyDescent="0.15">
      <c r="A577" s="15"/>
      <c r="H577" s="7"/>
      <c r="I577" s="7"/>
      <c r="J577" s="7"/>
    </row>
    <row r="578" spans="1:10" x14ac:dyDescent="0.15">
      <c r="A578" s="15"/>
      <c r="H578" s="7"/>
      <c r="I578" s="7"/>
      <c r="J578" s="7"/>
    </row>
    <row r="579" spans="1:10" x14ac:dyDescent="0.15">
      <c r="A579" s="15"/>
      <c r="H579" s="7"/>
      <c r="I579" s="7"/>
      <c r="J579" s="7"/>
    </row>
    <row r="580" spans="1:10" x14ac:dyDescent="0.15">
      <c r="A580" s="15"/>
      <c r="H580" s="7"/>
      <c r="I580" s="7"/>
      <c r="J580" s="7"/>
    </row>
    <row r="581" spans="1:10" x14ac:dyDescent="0.15">
      <c r="A581" s="15"/>
      <c r="H581" s="7"/>
      <c r="I581" s="7"/>
      <c r="J581" s="7"/>
    </row>
    <row r="582" spans="1:10" x14ac:dyDescent="0.15">
      <c r="A582" s="15"/>
      <c r="H582" s="7"/>
      <c r="I582" s="7"/>
      <c r="J582" s="7"/>
    </row>
    <row r="583" spans="1:10" x14ac:dyDescent="0.15">
      <c r="A583" s="15"/>
      <c r="H583" s="7"/>
      <c r="I583" s="7"/>
      <c r="J583" s="7"/>
    </row>
    <row r="584" spans="1:10" x14ac:dyDescent="0.15">
      <c r="A584" s="15"/>
      <c r="H584" s="7"/>
      <c r="I584" s="7"/>
      <c r="J584" s="7"/>
    </row>
    <row r="585" spans="1:10" x14ac:dyDescent="0.15">
      <c r="A585" s="15"/>
      <c r="H585" s="7"/>
      <c r="I585" s="7"/>
      <c r="J585" s="7"/>
    </row>
    <row r="586" spans="1:10" x14ac:dyDescent="0.15">
      <c r="A586" s="15"/>
      <c r="H586" s="7"/>
      <c r="I586" s="7"/>
      <c r="J586" s="7"/>
    </row>
    <row r="587" spans="1:10" x14ac:dyDescent="0.15">
      <c r="A587" s="15"/>
      <c r="H587" s="7"/>
      <c r="I587" s="7"/>
      <c r="J587" s="7"/>
    </row>
    <row r="588" spans="1:10" x14ac:dyDescent="0.15">
      <c r="A588" s="15"/>
      <c r="H588" s="7"/>
      <c r="I588" s="7"/>
      <c r="J588" s="7"/>
    </row>
    <row r="589" spans="1:10" x14ac:dyDescent="0.15">
      <c r="A589" s="15"/>
      <c r="H589" s="7"/>
      <c r="I589" s="7"/>
      <c r="J589" s="7"/>
    </row>
    <row r="590" spans="1:10" x14ac:dyDescent="0.15">
      <c r="A590" s="15"/>
      <c r="H590" s="7"/>
      <c r="I590" s="7"/>
      <c r="J590" s="7"/>
    </row>
    <row r="591" spans="1:10" x14ac:dyDescent="0.15">
      <c r="A591" s="15"/>
      <c r="H591" s="7"/>
      <c r="I591" s="7"/>
      <c r="J591" s="7"/>
    </row>
    <row r="592" spans="1:10" x14ac:dyDescent="0.15">
      <c r="A592" s="15"/>
      <c r="H592" s="7"/>
      <c r="I592" s="7"/>
      <c r="J592" s="7"/>
    </row>
    <row r="593" spans="1:10" x14ac:dyDescent="0.15">
      <c r="A593" s="15"/>
      <c r="H593" s="7"/>
      <c r="I593" s="7"/>
      <c r="J593" s="7"/>
    </row>
    <row r="594" spans="1:10" x14ac:dyDescent="0.15">
      <c r="A594" s="15"/>
      <c r="H594" s="7"/>
      <c r="I594" s="7"/>
      <c r="J594" s="7"/>
    </row>
    <row r="595" spans="1:10" x14ac:dyDescent="0.15">
      <c r="A595" s="15"/>
      <c r="H595" s="7"/>
      <c r="I595" s="7"/>
      <c r="J595" s="7"/>
    </row>
    <row r="596" spans="1:10" x14ac:dyDescent="0.15">
      <c r="A596" s="15"/>
      <c r="H596" s="7"/>
      <c r="I596" s="7"/>
      <c r="J596" s="7"/>
    </row>
    <row r="597" spans="1:10" x14ac:dyDescent="0.15">
      <c r="A597" s="15"/>
      <c r="H597" s="7"/>
      <c r="I597" s="7"/>
      <c r="J597" s="7"/>
    </row>
    <row r="598" spans="1:10" x14ac:dyDescent="0.15">
      <c r="A598" s="15"/>
      <c r="H598" s="7"/>
      <c r="I598" s="7"/>
      <c r="J598" s="7"/>
    </row>
    <row r="599" spans="1:10" x14ac:dyDescent="0.15">
      <c r="A599" s="15"/>
      <c r="H599" s="7"/>
      <c r="I599" s="7"/>
      <c r="J599" s="7"/>
    </row>
    <row r="600" spans="1:10" x14ac:dyDescent="0.15">
      <c r="A600" s="15"/>
      <c r="H600" s="7"/>
      <c r="I600" s="7"/>
      <c r="J600" s="7"/>
    </row>
    <row r="601" spans="1:10" x14ac:dyDescent="0.15">
      <c r="A601" s="15"/>
      <c r="H601" s="7"/>
      <c r="I601" s="7"/>
      <c r="J601" s="7"/>
    </row>
    <row r="602" spans="1:10" x14ac:dyDescent="0.15">
      <c r="A602" s="15"/>
      <c r="H602" s="7"/>
      <c r="I602" s="7"/>
      <c r="J602" s="7"/>
    </row>
    <row r="603" spans="1:10" x14ac:dyDescent="0.15">
      <c r="A603" s="15"/>
      <c r="H603" s="7"/>
      <c r="I603" s="7"/>
      <c r="J603" s="7"/>
    </row>
    <row r="604" spans="1:10" x14ac:dyDescent="0.15">
      <c r="A604" s="15"/>
      <c r="H604" s="7"/>
      <c r="I604" s="7"/>
      <c r="J604" s="7"/>
    </row>
    <row r="605" spans="1:10" x14ac:dyDescent="0.15">
      <c r="A605" s="15"/>
      <c r="H605" s="7"/>
      <c r="I605" s="7"/>
      <c r="J605" s="7"/>
    </row>
    <row r="606" spans="1:10" x14ac:dyDescent="0.15">
      <c r="A606" s="15"/>
      <c r="H606" s="7"/>
      <c r="I606" s="7"/>
      <c r="J606" s="7"/>
    </row>
    <row r="607" spans="1:10" x14ac:dyDescent="0.15">
      <c r="A607" s="15"/>
      <c r="H607" s="7"/>
      <c r="I607" s="7"/>
      <c r="J607" s="7"/>
    </row>
    <row r="608" spans="1:10" x14ac:dyDescent="0.15">
      <c r="A608" s="15"/>
      <c r="H608" s="7"/>
      <c r="I608" s="7"/>
      <c r="J608" s="7"/>
    </row>
    <row r="609" spans="1:10" x14ac:dyDescent="0.15">
      <c r="A609" s="15"/>
      <c r="H609" s="7"/>
      <c r="I609" s="7"/>
      <c r="J609" s="7"/>
    </row>
    <row r="610" spans="1:10" x14ac:dyDescent="0.15">
      <c r="A610" s="15"/>
      <c r="H610" s="7"/>
      <c r="I610" s="7"/>
      <c r="J610" s="7"/>
    </row>
    <row r="611" spans="1:10" x14ac:dyDescent="0.15">
      <c r="A611" s="15"/>
      <c r="H611" s="7"/>
      <c r="I611" s="7"/>
      <c r="J611" s="7"/>
    </row>
    <row r="612" spans="1:10" x14ac:dyDescent="0.15">
      <c r="A612" s="15"/>
      <c r="H612" s="7"/>
      <c r="I612" s="7"/>
      <c r="J612" s="7"/>
    </row>
    <row r="613" spans="1:10" x14ac:dyDescent="0.15">
      <c r="A613" s="15"/>
      <c r="H613" s="7"/>
      <c r="I613" s="7"/>
      <c r="J613" s="7"/>
    </row>
    <row r="614" spans="1:10" x14ac:dyDescent="0.15">
      <c r="A614" s="15"/>
      <c r="H614" s="7"/>
      <c r="I614" s="7"/>
      <c r="J614" s="7"/>
    </row>
    <row r="615" spans="1:10" x14ac:dyDescent="0.15">
      <c r="A615" s="15"/>
      <c r="H615" s="7"/>
      <c r="I615" s="7"/>
      <c r="J615" s="7"/>
    </row>
    <row r="616" spans="1:10" x14ac:dyDescent="0.15">
      <c r="A616" s="15"/>
      <c r="H616" s="7"/>
      <c r="I616" s="7"/>
      <c r="J616" s="7"/>
    </row>
    <row r="617" spans="1:10" x14ac:dyDescent="0.15">
      <c r="A617" s="15"/>
      <c r="H617" s="7"/>
      <c r="I617" s="7"/>
      <c r="J617" s="7"/>
    </row>
    <row r="618" spans="1:10" x14ac:dyDescent="0.15">
      <c r="A618" s="15"/>
      <c r="H618" s="7"/>
      <c r="I618" s="7"/>
      <c r="J618" s="7"/>
    </row>
    <row r="619" spans="1:10" x14ac:dyDescent="0.15">
      <c r="A619" s="15"/>
      <c r="H619" s="7"/>
      <c r="I619" s="7"/>
      <c r="J619" s="7"/>
    </row>
    <row r="620" spans="1:10" x14ac:dyDescent="0.15">
      <c r="A620" s="15"/>
      <c r="H620" s="7"/>
      <c r="I620" s="7"/>
      <c r="J620" s="7"/>
    </row>
    <row r="621" spans="1:10" x14ac:dyDescent="0.15">
      <c r="A621" s="15"/>
      <c r="H621" s="7"/>
      <c r="I621" s="7"/>
      <c r="J621" s="7"/>
    </row>
    <row r="622" spans="1:10" x14ac:dyDescent="0.15">
      <c r="A622" s="15"/>
      <c r="H622" s="7"/>
      <c r="I622" s="7"/>
      <c r="J622" s="7"/>
    </row>
    <row r="623" spans="1:10" x14ac:dyDescent="0.15">
      <c r="A623" s="15"/>
      <c r="H623" s="7"/>
      <c r="I623" s="7"/>
      <c r="J623" s="7"/>
    </row>
    <row r="624" spans="1:10" x14ac:dyDescent="0.15">
      <c r="A624" s="15"/>
      <c r="H624" s="7"/>
      <c r="I624" s="7"/>
      <c r="J624" s="7"/>
    </row>
    <row r="625" spans="1:10" x14ac:dyDescent="0.15">
      <c r="A625" s="15"/>
      <c r="H625" s="7"/>
      <c r="I625" s="7"/>
      <c r="J625" s="7"/>
    </row>
    <row r="626" spans="1:10" x14ac:dyDescent="0.15">
      <c r="A626" s="15"/>
      <c r="H626" s="7"/>
      <c r="I626" s="7"/>
      <c r="J626" s="7"/>
    </row>
    <row r="627" spans="1:10" x14ac:dyDescent="0.15">
      <c r="A627" s="15"/>
      <c r="H627" s="7"/>
      <c r="I627" s="7"/>
      <c r="J627" s="7"/>
    </row>
    <row r="628" spans="1:10" x14ac:dyDescent="0.15">
      <c r="A628" s="15"/>
      <c r="H628" s="7"/>
      <c r="I628" s="7"/>
      <c r="J628" s="7"/>
    </row>
    <row r="629" spans="1:10" x14ac:dyDescent="0.15">
      <c r="A629" s="15"/>
      <c r="H629" s="7"/>
      <c r="I629" s="7"/>
      <c r="J629" s="7"/>
    </row>
    <row r="630" spans="1:10" x14ac:dyDescent="0.15">
      <c r="A630" s="15"/>
      <c r="H630" s="7"/>
      <c r="I630" s="7"/>
      <c r="J630" s="7"/>
    </row>
    <row r="631" spans="1:10" x14ac:dyDescent="0.15">
      <c r="A631" s="15"/>
      <c r="H631" s="7"/>
      <c r="I631" s="7"/>
      <c r="J631" s="7"/>
    </row>
    <row r="632" spans="1:10" x14ac:dyDescent="0.15">
      <c r="A632" s="15"/>
      <c r="H632" s="7"/>
      <c r="I632" s="7"/>
      <c r="J632" s="7"/>
    </row>
    <row r="633" spans="1:10" x14ac:dyDescent="0.15">
      <c r="A633" s="15"/>
      <c r="H633" s="7"/>
      <c r="I633" s="7"/>
      <c r="J633" s="7"/>
    </row>
    <row r="634" spans="1:10" x14ac:dyDescent="0.15">
      <c r="A634" s="15"/>
      <c r="H634" s="7"/>
      <c r="I634" s="7"/>
      <c r="J634" s="7"/>
    </row>
    <row r="635" spans="1:10" x14ac:dyDescent="0.15">
      <c r="A635" s="15"/>
      <c r="H635" s="7"/>
      <c r="I635" s="7"/>
      <c r="J635" s="7"/>
    </row>
    <row r="636" spans="1:10" x14ac:dyDescent="0.15">
      <c r="A636" s="15"/>
      <c r="H636" s="7"/>
      <c r="I636" s="7"/>
      <c r="J636" s="7"/>
    </row>
    <row r="637" spans="1:10" x14ac:dyDescent="0.15">
      <c r="A637" s="15"/>
      <c r="H637" s="7"/>
      <c r="I637" s="7"/>
      <c r="J637" s="7"/>
    </row>
    <row r="638" spans="1:10" x14ac:dyDescent="0.15">
      <c r="A638" s="15"/>
      <c r="H638" s="7"/>
      <c r="I638" s="7"/>
      <c r="J638" s="7"/>
    </row>
    <row r="639" spans="1:10" x14ac:dyDescent="0.15">
      <c r="A639" s="15"/>
      <c r="H639" s="7"/>
      <c r="I639" s="7"/>
      <c r="J639" s="7"/>
    </row>
    <row r="640" spans="1:10" x14ac:dyDescent="0.15">
      <c r="A640" s="15"/>
      <c r="H640" s="7"/>
      <c r="I640" s="7"/>
      <c r="J640" s="7"/>
    </row>
    <row r="641" spans="1:10" x14ac:dyDescent="0.15">
      <c r="A641" s="15"/>
      <c r="H641" s="7"/>
      <c r="I641" s="7"/>
      <c r="J641" s="7"/>
    </row>
    <row r="642" spans="1:10" x14ac:dyDescent="0.15">
      <c r="A642" s="15"/>
      <c r="H642" s="7"/>
      <c r="I642" s="7"/>
      <c r="J642" s="7"/>
    </row>
    <row r="643" spans="1:10" x14ac:dyDescent="0.15">
      <c r="A643" s="15"/>
      <c r="H643" s="7"/>
      <c r="I643" s="7"/>
      <c r="J643" s="7"/>
    </row>
    <row r="644" spans="1:10" x14ac:dyDescent="0.15">
      <c r="A644" s="15"/>
      <c r="H644" s="7"/>
      <c r="I644" s="7"/>
      <c r="J644" s="7"/>
    </row>
    <row r="645" spans="1:10" x14ac:dyDescent="0.15">
      <c r="A645" s="15"/>
      <c r="H645" s="7"/>
      <c r="I645" s="7"/>
      <c r="J645" s="7"/>
    </row>
    <row r="646" spans="1:10" x14ac:dyDescent="0.15">
      <c r="A646" s="15"/>
      <c r="H646" s="7"/>
      <c r="I646" s="7"/>
      <c r="J646" s="7"/>
    </row>
    <row r="647" spans="1:10" x14ac:dyDescent="0.15">
      <c r="A647" s="15"/>
      <c r="H647" s="7"/>
      <c r="I647" s="7"/>
      <c r="J647" s="7"/>
    </row>
    <row r="648" spans="1:10" x14ac:dyDescent="0.15">
      <c r="A648" s="15"/>
      <c r="H648" s="7"/>
      <c r="I648" s="7"/>
      <c r="J648" s="7"/>
    </row>
    <row r="649" spans="1:10" x14ac:dyDescent="0.15">
      <c r="A649" s="15"/>
      <c r="H649" s="7"/>
      <c r="I649" s="7"/>
      <c r="J649" s="7"/>
    </row>
    <row r="650" spans="1:10" x14ac:dyDescent="0.15">
      <c r="A650" s="15"/>
      <c r="H650" s="7"/>
      <c r="I650" s="7"/>
      <c r="J650" s="7"/>
    </row>
    <row r="651" spans="1:10" x14ac:dyDescent="0.15">
      <c r="A651" s="15"/>
      <c r="H651" s="7"/>
      <c r="I651" s="7"/>
      <c r="J651" s="7"/>
    </row>
    <row r="652" spans="1:10" x14ac:dyDescent="0.15">
      <c r="A652" s="15"/>
      <c r="H652" s="7"/>
      <c r="I652" s="7"/>
      <c r="J652" s="7"/>
    </row>
    <row r="653" spans="1:10" x14ac:dyDescent="0.15">
      <c r="A653" s="15"/>
      <c r="H653" s="7"/>
      <c r="I653" s="7"/>
      <c r="J653" s="7"/>
    </row>
    <row r="654" spans="1:10" x14ac:dyDescent="0.15">
      <c r="A654" s="15"/>
      <c r="H654" s="7"/>
      <c r="I654" s="7"/>
      <c r="J654" s="7"/>
    </row>
    <row r="655" spans="1:10" x14ac:dyDescent="0.15">
      <c r="A655" s="15"/>
      <c r="H655" s="7"/>
      <c r="I655" s="7"/>
      <c r="J655" s="7"/>
    </row>
    <row r="656" spans="1:10" x14ac:dyDescent="0.15">
      <c r="A656" s="15"/>
      <c r="H656" s="7"/>
      <c r="I656" s="7"/>
      <c r="J656" s="7"/>
    </row>
    <row r="657" spans="1:10" x14ac:dyDescent="0.15">
      <c r="A657" s="15"/>
      <c r="H657" s="7"/>
      <c r="I657" s="7"/>
      <c r="J657" s="7"/>
    </row>
    <row r="658" spans="1:10" x14ac:dyDescent="0.15">
      <c r="A658" s="15"/>
      <c r="H658" s="7"/>
      <c r="I658" s="7"/>
      <c r="J658" s="7"/>
    </row>
    <row r="659" spans="1:10" x14ac:dyDescent="0.15">
      <c r="A659" s="15"/>
      <c r="H659" s="7"/>
      <c r="I659" s="7"/>
      <c r="J659" s="7"/>
    </row>
    <row r="660" spans="1:10" x14ac:dyDescent="0.15">
      <c r="A660" s="15"/>
      <c r="H660" s="7"/>
      <c r="I660" s="7"/>
      <c r="J660" s="7"/>
    </row>
    <row r="661" spans="1:10" x14ac:dyDescent="0.15">
      <c r="A661" s="15"/>
      <c r="H661" s="7"/>
      <c r="I661" s="7"/>
      <c r="J661" s="7"/>
    </row>
    <row r="662" spans="1:10" x14ac:dyDescent="0.15">
      <c r="A662" s="15"/>
      <c r="H662" s="7"/>
      <c r="I662" s="7"/>
      <c r="J662" s="7"/>
    </row>
    <row r="663" spans="1:10" x14ac:dyDescent="0.15">
      <c r="A663" s="15"/>
      <c r="H663" s="7"/>
      <c r="I663" s="7"/>
      <c r="J663" s="7"/>
    </row>
    <row r="664" spans="1:10" x14ac:dyDescent="0.15">
      <c r="A664" s="15"/>
      <c r="H664" s="7"/>
      <c r="I664" s="7"/>
      <c r="J664" s="7"/>
    </row>
    <row r="665" spans="1:10" x14ac:dyDescent="0.15">
      <c r="A665" s="15"/>
      <c r="H665" s="7"/>
      <c r="I665" s="7"/>
      <c r="J665" s="7"/>
    </row>
    <row r="666" spans="1:10" x14ac:dyDescent="0.15">
      <c r="A666" s="15"/>
      <c r="H666" s="7"/>
      <c r="I666" s="7"/>
      <c r="J666" s="7"/>
    </row>
    <row r="667" spans="1:10" x14ac:dyDescent="0.15">
      <c r="A667" s="15"/>
      <c r="H667" s="7"/>
      <c r="I667" s="7"/>
      <c r="J667" s="7"/>
    </row>
    <row r="668" spans="1:10" x14ac:dyDescent="0.15">
      <c r="A668" s="15"/>
      <c r="H668" s="7"/>
      <c r="I668" s="7"/>
      <c r="J668" s="7"/>
    </row>
    <row r="669" spans="1:10" x14ac:dyDescent="0.15">
      <c r="A669" s="15"/>
      <c r="H669" s="7"/>
      <c r="I669" s="7"/>
      <c r="J669" s="7"/>
    </row>
    <row r="670" spans="1:10" x14ac:dyDescent="0.15">
      <c r="A670" s="15"/>
      <c r="H670" s="7"/>
      <c r="I670" s="7"/>
      <c r="J670" s="7"/>
    </row>
    <row r="671" spans="1:10" x14ac:dyDescent="0.15">
      <c r="A671" s="15"/>
      <c r="H671" s="7"/>
      <c r="I671" s="7"/>
      <c r="J671" s="7"/>
    </row>
    <row r="672" spans="1:10" x14ac:dyDescent="0.15">
      <c r="A672" s="15"/>
      <c r="H672" s="7"/>
      <c r="I672" s="7"/>
      <c r="J672" s="7"/>
    </row>
    <row r="673" spans="1:10" x14ac:dyDescent="0.15">
      <c r="A673" s="15"/>
      <c r="H673" s="7"/>
      <c r="I673" s="7"/>
      <c r="J673" s="7"/>
    </row>
    <row r="674" spans="1:10" x14ac:dyDescent="0.15">
      <c r="A674" s="15"/>
      <c r="H674" s="7"/>
      <c r="I674" s="7"/>
      <c r="J674" s="7"/>
    </row>
    <row r="675" spans="1:10" x14ac:dyDescent="0.15">
      <c r="A675" s="15"/>
      <c r="H675" s="7"/>
      <c r="I675" s="7"/>
      <c r="J675" s="7"/>
    </row>
    <row r="676" spans="1:10" x14ac:dyDescent="0.15">
      <c r="A676" s="15"/>
      <c r="H676" s="7"/>
      <c r="I676" s="7"/>
      <c r="J676" s="7"/>
    </row>
    <row r="677" spans="1:10" x14ac:dyDescent="0.15">
      <c r="A677" s="15"/>
      <c r="H677" s="7"/>
      <c r="I677" s="7"/>
      <c r="J677" s="7"/>
    </row>
    <row r="678" spans="1:10" x14ac:dyDescent="0.15">
      <c r="A678" s="15"/>
      <c r="H678" s="7"/>
      <c r="I678" s="7"/>
      <c r="J678" s="7"/>
    </row>
    <row r="679" spans="1:10" x14ac:dyDescent="0.15">
      <c r="A679" s="15"/>
      <c r="H679" s="7"/>
      <c r="I679" s="7"/>
      <c r="J679" s="7"/>
    </row>
    <row r="680" spans="1:10" x14ac:dyDescent="0.15">
      <c r="A680" s="15"/>
      <c r="H680" s="7"/>
      <c r="I680" s="7"/>
      <c r="J680" s="7"/>
    </row>
    <row r="681" spans="1:10" x14ac:dyDescent="0.15">
      <c r="A681" s="15"/>
      <c r="H681" s="7"/>
      <c r="I681" s="7"/>
      <c r="J681" s="7"/>
    </row>
    <row r="682" spans="1:10" x14ac:dyDescent="0.15">
      <c r="A682" s="15"/>
      <c r="H682" s="7"/>
      <c r="I682" s="7"/>
      <c r="J682" s="7"/>
    </row>
    <row r="683" spans="1:10" x14ac:dyDescent="0.15">
      <c r="A683" s="15"/>
      <c r="H683" s="7"/>
      <c r="I683" s="7"/>
      <c r="J683" s="7"/>
    </row>
    <row r="684" spans="1:10" x14ac:dyDescent="0.15">
      <c r="A684" s="15"/>
      <c r="H684" s="7"/>
      <c r="I684" s="7"/>
      <c r="J684" s="7"/>
    </row>
    <row r="685" spans="1:10" x14ac:dyDescent="0.15">
      <c r="A685" s="15"/>
      <c r="H685" s="7"/>
      <c r="I685" s="7"/>
      <c r="J685" s="7"/>
    </row>
    <row r="686" spans="1:10" x14ac:dyDescent="0.15">
      <c r="A686" s="15"/>
      <c r="H686" s="7"/>
      <c r="I686" s="7"/>
      <c r="J686" s="7"/>
    </row>
    <row r="687" spans="1:10" x14ac:dyDescent="0.15">
      <c r="A687" s="15"/>
      <c r="H687" s="7"/>
      <c r="I687" s="7"/>
      <c r="J687" s="7"/>
    </row>
    <row r="688" spans="1:10" x14ac:dyDescent="0.15">
      <c r="A688" s="15"/>
      <c r="H688" s="7"/>
      <c r="I688" s="7"/>
      <c r="J688" s="7"/>
    </row>
    <row r="689" spans="1:10" x14ac:dyDescent="0.15">
      <c r="A689" s="15"/>
      <c r="H689" s="7"/>
      <c r="I689" s="7"/>
      <c r="J689" s="7"/>
    </row>
    <row r="690" spans="1:10" x14ac:dyDescent="0.15">
      <c r="A690" s="15"/>
      <c r="H690" s="7"/>
      <c r="I690" s="7"/>
      <c r="J690" s="7"/>
    </row>
    <row r="691" spans="1:10" x14ac:dyDescent="0.15">
      <c r="A691" s="15"/>
      <c r="H691" s="7"/>
      <c r="I691" s="7"/>
      <c r="J691" s="7"/>
    </row>
    <row r="692" spans="1:10" x14ac:dyDescent="0.15">
      <c r="A692" s="15"/>
      <c r="H692" s="7"/>
      <c r="I692" s="7"/>
      <c r="J692" s="7"/>
    </row>
    <row r="693" spans="1:10" x14ac:dyDescent="0.15">
      <c r="A693" s="15"/>
      <c r="H693" s="7"/>
      <c r="I693" s="7"/>
      <c r="J693" s="7"/>
    </row>
    <row r="694" spans="1:10" x14ac:dyDescent="0.15">
      <c r="A694" s="15"/>
      <c r="H694" s="7"/>
      <c r="I694" s="7"/>
      <c r="J694" s="7"/>
    </row>
    <row r="695" spans="1:10" x14ac:dyDescent="0.15">
      <c r="A695" s="15"/>
      <c r="H695" s="7"/>
      <c r="I695" s="7"/>
      <c r="J695" s="7"/>
    </row>
    <row r="696" spans="1:10" x14ac:dyDescent="0.15">
      <c r="A696" s="15"/>
      <c r="H696" s="7"/>
      <c r="I696" s="7"/>
      <c r="J696" s="7"/>
    </row>
    <row r="697" spans="1:10" x14ac:dyDescent="0.15">
      <c r="A697" s="15"/>
      <c r="H697" s="7"/>
      <c r="I697" s="7"/>
      <c r="J697" s="7"/>
    </row>
    <row r="698" spans="1:10" x14ac:dyDescent="0.15">
      <c r="A698" s="15"/>
      <c r="H698" s="7"/>
      <c r="I698" s="7"/>
      <c r="J698" s="7"/>
    </row>
    <row r="699" spans="1:10" x14ac:dyDescent="0.15">
      <c r="A699" s="15"/>
      <c r="H699" s="7"/>
      <c r="I699" s="7"/>
      <c r="J699" s="7"/>
    </row>
    <row r="700" spans="1:10" x14ac:dyDescent="0.15">
      <c r="A700" s="15"/>
      <c r="H700" s="7"/>
      <c r="I700" s="7"/>
      <c r="J700" s="7"/>
    </row>
    <row r="701" spans="1:10" x14ac:dyDescent="0.15">
      <c r="A701" s="15"/>
      <c r="H701" s="7"/>
      <c r="I701" s="7"/>
      <c r="J701" s="7"/>
    </row>
    <row r="702" spans="1:10" x14ac:dyDescent="0.15">
      <c r="A702" s="15"/>
      <c r="H702" s="7"/>
      <c r="I702" s="7"/>
      <c r="J702" s="7"/>
    </row>
    <row r="703" spans="1:10" x14ac:dyDescent="0.15">
      <c r="A703" s="15"/>
      <c r="H703" s="7"/>
      <c r="I703" s="7"/>
      <c r="J703" s="7"/>
    </row>
    <row r="704" spans="1:10" x14ac:dyDescent="0.15">
      <c r="A704" s="15"/>
      <c r="H704" s="7"/>
      <c r="I704" s="7"/>
      <c r="J704" s="7"/>
    </row>
    <row r="705" spans="1:10" x14ac:dyDescent="0.15">
      <c r="A705" s="15"/>
      <c r="H705" s="7"/>
      <c r="I705" s="7"/>
      <c r="J705" s="7"/>
    </row>
    <row r="706" spans="1:10" x14ac:dyDescent="0.15">
      <c r="A706" s="15"/>
      <c r="H706" s="7"/>
      <c r="I706" s="7"/>
      <c r="J706" s="7"/>
    </row>
    <row r="707" spans="1:10" x14ac:dyDescent="0.15">
      <c r="A707" s="15"/>
      <c r="H707" s="7"/>
      <c r="I707" s="7"/>
      <c r="J707" s="7"/>
    </row>
    <row r="708" spans="1:10" x14ac:dyDescent="0.15">
      <c r="A708" s="15"/>
      <c r="H708" s="7"/>
      <c r="I708" s="7"/>
      <c r="J708" s="7"/>
    </row>
    <row r="709" spans="1:10" x14ac:dyDescent="0.15">
      <c r="A709" s="15"/>
      <c r="H709" s="7"/>
      <c r="I709" s="7"/>
      <c r="J709" s="7"/>
    </row>
    <row r="710" spans="1:10" x14ac:dyDescent="0.15">
      <c r="A710" s="15"/>
      <c r="H710" s="7"/>
      <c r="I710" s="7"/>
      <c r="J710" s="7"/>
    </row>
    <row r="711" spans="1:10" x14ac:dyDescent="0.15">
      <c r="A711" s="15"/>
      <c r="H711" s="7"/>
      <c r="I711" s="7"/>
      <c r="J711" s="7"/>
    </row>
    <row r="712" spans="1:10" x14ac:dyDescent="0.15">
      <c r="A712" s="15"/>
      <c r="H712" s="7"/>
      <c r="I712" s="7"/>
      <c r="J712" s="7"/>
    </row>
    <row r="713" spans="1:10" x14ac:dyDescent="0.15">
      <c r="A713" s="15"/>
      <c r="H713" s="7"/>
      <c r="I713" s="7"/>
      <c r="J713" s="7"/>
    </row>
    <row r="714" spans="1:10" x14ac:dyDescent="0.15">
      <c r="A714" s="15"/>
      <c r="H714" s="7"/>
      <c r="I714" s="7"/>
      <c r="J714" s="7"/>
    </row>
    <row r="715" spans="1:10" x14ac:dyDescent="0.15">
      <c r="A715" s="15"/>
      <c r="H715" s="7"/>
      <c r="I715" s="7"/>
      <c r="J715" s="7"/>
    </row>
    <row r="716" spans="1:10" x14ac:dyDescent="0.15">
      <c r="A716" s="15"/>
      <c r="H716" s="7"/>
      <c r="I716" s="7"/>
      <c r="J716" s="7"/>
    </row>
    <row r="717" spans="1:10" x14ac:dyDescent="0.15">
      <c r="A717" s="15"/>
      <c r="H717" s="7"/>
      <c r="I717" s="7"/>
      <c r="J717" s="7"/>
    </row>
    <row r="718" spans="1:10" x14ac:dyDescent="0.15">
      <c r="A718" s="15"/>
      <c r="H718" s="7"/>
      <c r="I718" s="7"/>
      <c r="J718" s="7"/>
    </row>
    <row r="719" spans="1:10" x14ac:dyDescent="0.15">
      <c r="A719" s="15"/>
      <c r="H719" s="7"/>
      <c r="I719" s="7"/>
      <c r="J719" s="7"/>
    </row>
    <row r="720" spans="1:10" x14ac:dyDescent="0.15">
      <c r="A720" s="15"/>
      <c r="H720" s="7"/>
      <c r="I720" s="7"/>
      <c r="J720" s="7"/>
    </row>
    <row r="721" spans="1:10" x14ac:dyDescent="0.15">
      <c r="A721" s="15"/>
      <c r="H721" s="7"/>
      <c r="I721" s="7"/>
      <c r="J721" s="7"/>
    </row>
    <row r="722" spans="1:10" x14ac:dyDescent="0.15">
      <c r="A722" s="15"/>
      <c r="H722" s="7"/>
      <c r="I722" s="7"/>
      <c r="J722" s="7"/>
    </row>
    <row r="723" spans="1:10" x14ac:dyDescent="0.15">
      <c r="A723" s="15"/>
      <c r="H723" s="7"/>
      <c r="I723" s="7"/>
      <c r="J723" s="7"/>
    </row>
    <row r="724" spans="1:10" x14ac:dyDescent="0.15">
      <c r="A724" s="15"/>
      <c r="H724" s="7"/>
      <c r="I724" s="7"/>
      <c r="J724" s="7"/>
    </row>
    <row r="725" spans="1:10" x14ac:dyDescent="0.15">
      <c r="A725" s="15"/>
      <c r="H725" s="7"/>
      <c r="I725" s="7"/>
      <c r="J725" s="7"/>
    </row>
    <row r="726" spans="1:10" x14ac:dyDescent="0.15">
      <c r="A726" s="15"/>
      <c r="H726" s="7"/>
      <c r="I726" s="7"/>
      <c r="J726" s="7"/>
    </row>
    <row r="727" spans="1:10" x14ac:dyDescent="0.15">
      <c r="A727" s="15"/>
      <c r="H727" s="7"/>
      <c r="I727" s="7"/>
      <c r="J727" s="7"/>
    </row>
    <row r="728" spans="1:10" x14ac:dyDescent="0.15">
      <c r="A728" s="15"/>
      <c r="H728" s="7"/>
      <c r="I728" s="7"/>
      <c r="J728" s="7"/>
    </row>
    <row r="729" spans="1:10" x14ac:dyDescent="0.15">
      <c r="A729" s="15"/>
      <c r="H729" s="7"/>
      <c r="I729" s="7"/>
      <c r="J729" s="7"/>
    </row>
    <row r="730" spans="1:10" x14ac:dyDescent="0.15">
      <c r="A730" s="15"/>
      <c r="H730" s="7"/>
      <c r="I730" s="7"/>
      <c r="J730" s="7"/>
    </row>
    <row r="731" spans="1:10" x14ac:dyDescent="0.15">
      <c r="A731" s="15"/>
      <c r="H731" s="7"/>
      <c r="I731" s="7"/>
      <c r="J731" s="7"/>
    </row>
    <row r="732" spans="1:10" x14ac:dyDescent="0.15">
      <c r="A732" s="15"/>
      <c r="H732" s="7"/>
      <c r="I732" s="7"/>
      <c r="J732" s="7"/>
    </row>
    <row r="733" spans="1:10" x14ac:dyDescent="0.15">
      <c r="A733" s="15"/>
      <c r="H733" s="7"/>
      <c r="I733" s="7"/>
      <c r="J733" s="7"/>
    </row>
    <row r="734" spans="1:10" x14ac:dyDescent="0.15">
      <c r="A734" s="15"/>
      <c r="H734" s="7"/>
      <c r="I734" s="7"/>
      <c r="J734" s="7"/>
    </row>
    <row r="735" spans="1:10" x14ac:dyDescent="0.15">
      <c r="A735" s="15"/>
      <c r="H735" s="7"/>
      <c r="I735" s="7"/>
      <c r="J735" s="7"/>
    </row>
    <row r="736" spans="1:10" x14ac:dyDescent="0.15">
      <c r="A736" s="15"/>
      <c r="H736" s="7"/>
      <c r="I736" s="7"/>
      <c r="J736" s="7"/>
    </row>
    <row r="737" spans="1:12" x14ac:dyDescent="0.15">
      <c r="A737" s="15"/>
      <c r="H737" s="7"/>
      <c r="I737" s="7"/>
      <c r="J737" s="7"/>
    </row>
    <row r="738" spans="1:12" x14ac:dyDescent="0.15">
      <c r="A738" s="15"/>
      <c r="H738" s="7"/>
      <c r="I738" s="7"/>
      <c r="J738" s="7"/>
    </row>
    <row r="739" spans="1:12" x14ac:dyDescent="0.15">
      <c r="A739" s="15"/>
      <c r="H739" s="7"/>
      <c r="I739" s="7"/>
      <c r="J739" s="7"/>
    </row>
    <row r="740" spans="1:12" x14ac:dyDescent="0.15">
      <c r="A740" s="15"/>
      <c r="H740" s="7"/>
      <c r="I740" s="7"/>
      <c r="J740" s="7"/>
    </row>
    <row r="741" spans="1:12" x14ac:dyDescent="0.15">
      <c r="A741" s="15"/>
      <c r="H741" s="7"/>
      <c r="I741" s="7"/>
      <c r="J741" s="7"/>
    </row>
    <row r="742" spans="1:12" x14ac:dyDescent="0.15">
      <c r="A742" s="15"/>
      <c r="H742" s="7"/>
      <c r="I742" s="7"/>
      <c r="J742" s="7"/>
    </row>
    <row r="743" spans="1:12" x14ac:dyDescent="0.15">
      <c r="A743" s="15"/>
      <c r="H743" s="7"/>
      <c r="I743" s="7"/>
      <c r="J743" s="7"/>
    </row>
    <row r="744" spans="1:12" x14ac:dyDescent="0.15">
      <c r="A744" s="15"/>
      <c r="H744" s="7"/>
      <c r="I744" s="7"/>
      <c r="J744" s="7"/>
    </row>
    <row r="745" spans="1:12" x14ac:dyDescent="0.15">
      <c r="A745" s="15"/>
      <c r="H745" s="7"/>
      <c r="I745" s="7"/>
      <c r="J745" s="7"/>
    </row>
    <row r="746" spans="1:12" x14ac:dyDescent="0.15">
      <c r="A746" s="15"/>
      <c r="H746" s="7"/>
      <c r="I746" s="7"/>
      <c r="J746" s="7"/>
    </row>
    <row r="747" spans="1:12" x14ac:dyDescent="0.15">
      <c r="A747" s="15"/>
      <c r="H747" s="7"/>
      <c r="I747" s="7"/>
      <c r="J747" s="7"/>
    </row>
    <row r="748" spans="1:12" x14ac:dyDescent="0.15">
      <c r="A748" s="15"/>
      <c r="H748" s="7"/>
      <c r="I748" s="7"/>
      <c r="J748" s="7"/>
    </row>
    <row r="749" spans="1:12" x14ac:dyDescent="0.15">
      <c r="A749" s="15"/>
      <c r="H749" s="7"/>
      <c r="I749" s="7"/>
      <c r="J749" s="7"/>
    </row>
    <row r="750" spans="1:12" x14ac:dyDescent="0.15">
      <c r="A750" s="15"/>
    </row>
    <row r="751" spans="1:12" s="1" customFormat="1" x14ac:dyDescent="0.15">
      <c r="A751" s="15"/>
      <c r="C751" s="5"/>
      <c r="D751" s="5"/>
      <c r="E751" s="5"/>
      <c r="F751" s="5"/>
      <c r="G751" s="5"/>
      <c r="H751" s="5"/>
      <c r="I751" s="5"/>
      <c r="J751" s="5"/>
      <c r="K751" s="8"/>
      <c r="L751" s="8"/>
    </row>
    <row r="752" spans="1:12" s="1" customFormat="1" x14ac:dyDescent="0.15">
      <c r="A752" s="15"/>
      <c r="C752" s="5"/>
      <c r="D752" s="5"/>
      <c r="E752" s="5"/>
      <c r="F752" s="5"/>
      <c r="G752" s="5"/>
      <c r="H752" s="5"/>
      <c r="I752" s="5"/>
      <c r="J752" s="5"/>
      <c r="K752" s="8"/>
      <c r="L752" s="8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月次-RSS3</vt:lpstr>
      <vt:lpstr>月次-TSR20</vt:lpstr>
      <vt:lpstr>年次-RSS3</vt:lpstr>
      <vt:lpstr>年次-TSR20</vt:lpstr>
      <vt:lpstr>'月次-RSS3'!Print_Titles</vt:lpstr>
      <vt:lpstr>'月次-TSR20'!Print_Titles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矢頭 憲介</cp:lastModifiedBy>
  <dcterms:modified xsi:type="dcterms:W3CDTF">2021-01-20T15:07:11Z</dcterms:modified>
</cp:coreProperties>
</file>