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px-fs\josa\月報\geppou\月報1\・HP用データ\HP用相場表-データ\ETF相場表作成\"/>
    </mc:Choice>
  </mc:AlternateContent>
  <xr:revisionPtr revIDLastSave="0" documentId="13_ncr:1_{C0540478-481C-4E77-89DD-A1B60166133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2021.12" sheetId="15" r:id="rId1"/>
    <sheet name="2021.11" sheetId="14" r:id="rId2"/>
    <sheet name="2021.10" sheetId="13" r:id="rId3"/>
    <sheet name="2021.09" sheetId="12" r:id="rId4"/>
    <sheet name="2021.08" sheetId="11" r:id="rId5"/>
    <sheet name="2021.07" sheetId="10" r:id="rId6"/>
    <sheet name="2021.06" sheetId="9" r:id="rId7"/>
    <sheet name="2021.05" sheetId="8" r:id="rId8"/>
    <sheet name="2021.04" sheetId="7" r:id="rId9"/>
    <sheet name="2021.03" sheetId="6" r:id="rId10"/>
    <sheet name="2021.02" sheetId="5" r:id="rId11"/>
    <sheet name="2021.01" sheetId="4" r:id="rId12"/>
  </sheets>
  <definedNames>
    <definedName name="_xlnm.Print_Titles" localSheetId="11">'2021.01'!$1:$6</definedName>
    <definedName name="_xlnm.Print_Titles" localSheetId="10">'2021.02'!$1:$6</definedName>
    <definedName name="_xlnm.Print_Titles" localSheetId="9">'2021.03'!$1:$6</definedName>
    <definedName name="_xlnm.Print_Titles" localSheetId="8">'2021.04'!$1:$6</definedName>
    <definedName name="_xlnm.Print_Titles" localSheetId="7">'2021.05'!$1:$6</definedName>
    <definedName name="_xlnm.Print_Titles" localSheetId="6">'2021.06'!$1:$6</definedName>
    <definedName name="_xlnm.Print_Titles" localSheetId="5">'2021.07'!$1:$6</definedName>
    <definedName name="_xlnm.Print_Titles" localSheetId="4">'2021.08'!$1:$6</definedName>
    <definedName name="_xlnm.Print_Titles" localSheetId="3">'2021.09'!$1:$6</definedName>
    <definedName name="_xlnm.Print_Titles" localSheetId="2">'2021.10'!$1:$6</definedName>
    <definedName name="_xlnm.Print_Titles" localSheetId="1">'2021.11'!$1:$6</definedName>
    <definedName name="_xlnm.Print_Titles" localSheetId="0">'2021.12'!$1:$6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80" i="14" l="1"/>
  <c r="W280" i="14"/>
  <c r="V280" i="14"/>
  <c r="U280" i="14"/>
  <c r="T280" i="14"/>
  <c r="S280" i="14"/>
  <c r="Q280" i="14"/>
  <c r="O280" i="14"/>
  <c r="M280" i="14"/>
  <c r="K280" i="14"/>
  <c r="X279" i="14"/>
  <c r="W279" i="14"/>
  <c r="V279" i="14"/>
  <c r="U279" i="14"/>
  <c r="T279" i="14"/>
  <c r="S279" i="14"/>
  <c r="Q279" i="14"/>
  <c r="O279" i="14"/>
  <c r="M279" i="14"/>
  <c r="K279" i="14"/>
  <c r="X278" i="14"/>
  <c r="W278" i="14"/>
  <c r="V278" i="14"/>
  <c r="U278" i="14"/>
  <c r="T278" i="14"/>
  <c r="S278" i="14"/>
  <c r="Q278" i="14"/>
  <c r="O278" i="14"/>
  <c r="M278" i="14"/>
  <c r="K278" i="14"/>
  <c r="X277" i="14"/>
  <c r="W277" i="14"/>
  <c r="V277" i="14"/>
  <c r="U277" i="14"/>
  <c r="T277" i="14"/>
  <c r="S277" i="14"/>
  <c r="Q277" i="14"/>
  <c r="O277" i="14"/>
  <c r="M277" i="14"/>
  <c r="K277" i="14"/>
  <c r="X276" i="14"/>
  <c r="W276" i="14"/>
  <c r="V276" i="14"/>
  <c r="U276" i="14"/>
  <c r="T276" i="14"/>
  <c r="S276" i="14"/>
  <c r="Q276" i="14"/>
  <c r="O276" i="14"/>
  <c r="M276" i="14"/>
  <c r="K276" i="14"/>
  <c r="X275" i="14"/>
  <c r="W275" i="14"/>
  <c r="V275" i="14"/>
  <c r="U275" i="14"/>
  <c r="T275" i="14"/>
  <c r="S275" i="14"/>
  <c r="Q275" i="14"/>
  <c r="O275" i="14"/>
  <c r="M275" i="14"/>
  <c r="K275" i="14"/>
  <c r="X274" i="14"/>
  <c r="W274" i="14"/>
  <c r="V274" i="14"/>
  <c r="U274" i="14"/>
  <c r="T274" i="14"/>
  <c r="S274" i="14"/>
  <c r="Q274" i="14"/>
  <c r="O274" i="14"/>
  <c r="M274" i="14"/>
  <c r="K274" i="14"/>
  <c r="X273" i="14"/>
  <c r="W273" i="14"/>
  <c r="V273" i="14"/>
  <c r="U273" i="14"/>
  <c r="T273" i="14"/>
  <c r="S273" i="14"/>
  <c r="Q273" i="14"/>
  <c r="O273" i="14"/>
  <c r="M273" i="14"/>
  <c r="K273" i="14"/>
  <c r="X272" i="14"/>
  <c r="W272" i="14"/>
  <c r="V272" i="14"/>
  <c r="U272" i="14"/>
  <c r="T272" i="14"/>
  <c r="S272" i="14"/>
  <c r="Q272" i="14"/>
  <c r="O272" i="14"/>
  <c r="M272" i="14"/>
  <c r="K272" i="14"/>
  <c r="X271" i="14"/>
  <c r="W271" i="14"/>
  <c r="V271" i="14"/>
  <c r="U271" i="14"/>
  <c r="T271" i="14"/>
  <c r="S271" i="14"/>
  <c r="Q271" i="14"/>
  <c r="O271" i="14"/>
  <c r="M271" i="14"/>
  <c r="K271" i="14"/>
  <c r="X270" i="14"/>
  <c r="W270" i="14"/>
  <c r="V270" i="14"/>
  <c r="U270" i="14"/>
  <c r="T270" i="14"/>
  <c r="S270" i="14"/>
  <c r="Q270" i="14"/>
  <c r="O270" i="14"/>
  <c r="M270" i="14"/>
  <c r="K270" i="14"/>
  <c r="X269" i="14"/>
  <c r="W269" i="14"/>
  <c r="V269" i="14"/>
  <c r="U269" i="14"/>
  <c r="T269" i="14"/>
  <c r="S269" i="14"/>
  <c r="Q269" i="14"/>
  <c r="O269" i="14"/>
  <c r="M269" i="14"/>
  <c r="K269" i="14"/>
  <c r="X268" i="14"/>
  <c r="W268" i="14"/>
  <c r="V268" i="14"/>
  <c r="U268" i="14"/>
  <c r="T268" i="14"/>
  <c r="S268" i="14"/>
  <c r="Q268" i="14"/>
  <c r="O268" i="14"/>
  <c r="M268" i="14"/>
  <c r="K268" i="14"/>
  <c r="X267" i="14"/>
  <c r="W267" i="14"/>
  <c r="V267" i="14"/>
  <c r="U267" i="14"/>
  <c r="T267" i="14"/>
  <c r="S267" i="14"/>
  <c r="Q267" i="14"/>
  <c r="O267" i="14"/>
  <c r="M267" i="14"/>
  <c r="K267" i="14"/>
  <c r="X266" i="14"/>
  <c r="W266" i="14"/>
  <c r="V266" i="14"/>
  <c r="U266" i="14"/>
  <c r="T266" i="14"/>
  <c r="S266" i="14"/>
  <c r="Q266" i="14"/>
  <c r="O266" i="14"/>
  <c r="M266" i="14"/>
  <c r="K266" i="14"/>
  <c r="X265" i="14"/>
  <c r="W265" i="14"/>
  <c r="V265" i="14"/>
  <c r="U265" i="14"/>
  <c r="T265" i="14"/>
  <c r="S265" i="14"/>
  <c r="Q265" i="14"/>
  <c r="O265" i="14"/>
  <c r="M265" i="14"/>
  <c r="K265" i="14"/>
  <c r="X264" i="14"/>
  <c r="W264" i="14"/>
  <c r="V264" i="14"/>
  <c r="U264" i="14"/>
  <c r="T264" i="14"/>
  <c r="S264" i="14"/>
  <c r="Q264" i="14"/>
  <c r="O264" i="14"/>
  <c r="M264" i="14"/>
  <c r="K264" i="14"/>
  <c r="X263" i="14"/>
  <c r="W263" i="14"/>
  <c r="V263" i="14"/>
  <c r="U263" i="14"/>
  <c r="T263" i="14"/>
  <c r="S263" i="14"/>
  <c r="Q263" i="14"/>
  <c r="O263" i="14"/>
  <c r="M263" i="14"/>
  <c r="K263" i="14"/>
  <c r="X262" i="14"/>
  <c r="W262" i="14"/>
  <c r="V262" i="14"/>
  <c r="U262" i="14"/>
  <c r="T262" i="14"/>
  <c r="S262" i="14"/>
  <c r="Q262" i="14"/>
  <c r="O262" i="14"/>
  <c r="M262" i="14"/>
  <c r="K262" i="14"/>
  <c r="X261" i="14"/>
  <c r="W261" i="14"/>
  <c r="V261" i="14"/>
  <c r="U261" i="14"/>
  <c r="T261" i="14"/>
  <c r="S261" i="14"/>
  <c r="Q261" i="14"/>
  <c r="O261" i="14"/>
  <c r="M261" i="14"/>
  <c r="K261" i="14"/>
  <c r="X260" i="14"/>
  <c r="W260" i="14"/>
  <c r="V260" i="14"/>
  <c r="U260" i="14"/>
  <c r="T260" i="14"/>
  <c r="S260" i="14"/>
  <c r="Q260" i="14"/>
  <c r="O260" i="14"/>
  <c r="M260" i="14"/>
  <c r="K260" i="14"/>
  <c r="X259" i="14"/>
  <c r="W259" i="14"/>
  <c r="V259" i="14"/>
  <c r="U259" i="14"/>
  <c r="T259" i="14"/>
  <c r="S259" i="14"/>
  <c r="Q259" i="14"/>
  <c r="O259" i="14"/>
  <c r="M259" i="14"/>
  <c r="K259" i="14"/>
  <c r="X258" i="14"/>
  <c r="W258" i="14"/>
  <c r="V258" i="14"/>
  <c r="U258" i="14"/>
  <c r="T258" i="14"/>
  <c r="S258" i="14"/>
  <c r="Q258" i="14"/>
  <c r="O258" i="14"/>
  <c r="M258" i="14"/>
  <c r="K258" i="14"/>
  <c r="X257" i="14"/>
  <c r="W257" i="14"/>
  <c r="V257" i="14"/>
  <c r="U257" i="14"/>
  <c r="T257" i="14"/>
  <c r="S257" i="14"/>
  <c r="Q257" i="14"/>
  <c r="O257" i="14"/>
  <c r="M257" i="14"/>
  <c r="K257" i="14"/>
  <c r="X256" i="14"/>
  <c r="W256" i="14"/>
  <c r="V256" i="14"/>
  <c r="U256" i="14"/>
  <c r="T256" i="14"/>
  <c r="S256" i="14"/>
  <c r="Q256" i="14"/>
  <c r="O256" i="14"/>
  <c r="M256" i="14"/>
  <c r="K256" i="14"/>
  <c r="X255" i="14"/>
  <c r="W255" i="14"/>
  <c r="V255" i="14"/>
  <c r="U255" i="14"/>
  <c r="T255" i="14"/>
  <c r="S255" i="14"/>
  <c r="Q255" i="14"/>
  <c r="O255" i="14"/>
  <c r="M255" i="14"/>
  <c r="K255" i="14"/>
  <c r="X254" i="14"/>
  <c r="W254" i="14"/>
  <c r="V254" i="14"/>
  <c r="U254" i="14"/>
  <c r="T254" i="14"/>
  <c r="S254" i="14"/>
  <c r="Q254" i="14"/>
  <c r="O254" i="14"/>
  <c r="M254" i="14"/>
  <c r="K254" i="14"/>
  <c r="X253" i="14"/>
  <c r="W253" i="14"/>
  <c r="V253" i="14"/>
  <c r="U253" i="14"/>
  <c r="T253" i="14"/>
  <c r="S253" i="14"/>
  <c r="Q253" i="14"/>
  <c r="O253" i="14"/>
  <c r="M253" i="14"/>
  <c r="K253" i="14"/>
  <c r="X252" i="14"/>
  <c r="W252" i="14"/>
  <c r="V252" i="14"/>
  <c r="U252" i="14"/>
  <c r="T252" i="14"/>
  <c r="S252" i="14"/>
  <c r="Q252" i="14"/>
  <c r="O252" i="14"/>
  <c r="M252" i="14"/>
  <c r="K252" i="14"/>
  <c r="X251" i="14"/>
  <c r="W251" i="14"/>
  <c r="V251" i="14"/>
  <c r="U251" i="14"/>
  <c r="T251" i="14"/>
  <c r="S251" i="14"/>
  <c r="Q251" i="14"/>
  <c r="O251" i="14"/>
  <c r="M251" i="14"/>
  <c r="K251" i="14"/>
  <c r="X250" i="14"/>
  <c r="W250" i="14"/>
  <c r="V250" i="14"/>
  <c r="U250" i="14"/>
  <c r="T250" i="14"/>
  <c r="S250" i="14"/>
  <c r="Q250" i="14"/>
  <c r="O250" i="14"/>
  <c r="M250" i="14"/>
  <c r="K250" i="14"/>
  <c r="X249" i="14"/>
  <c r="W249" i="14"/>
  <c r="V249" i="14"/>
  <c r="U249" i="14"/>
  <c r="T249" i="14"/>
  <c r="S249" i="14"/>
  <c r="Q249" i="14"/>
  <c r="O249" i="14"/>
  <c r="M249" i="14"/>
  <c r="K249" i="14"/>
  <c r="X248" i="14"/>
  <c r="W248" i="14"/>
  <c r="V248" i="14"/>
  <c r="U248" i="14"/>
  <c r="T248" i="14"/>
  <c r="S248" i="14"/>
  <c r="Q248" i="14"/>
  <c r="O248" i="14"/>
  <c r="M248" i="14"/>
  <c r="K248" i="14"/>
  <c r="X247" i="14"/>
  <c r="W247" i="14"/>
  <c r="V247" i="14"/>
  <c r="U247" i="14"/>
  <c r="T247" i="14"/>
  <c r="S247" i="14"/>
  <c r="Q247" i="14"/>
  <c r="O247" i="14"/>
  <c r="M247" i="14"/>
  <c r="K247" i="14"/>
  <c r="X246" i="14"/>
  <c r="W246" i="14"/>
  <c r="V246" i="14"/>
  <c r="U246" i="14"/>
  <c r="T246" i="14"/>
  <c r="S246" i="14"/>
  <c r="Q246" i="14"/>
  <c r="O246" i="14"/>
  <c r="M246" i="14"/>
  <c r="K246" i="14"/>
  <c r="X245" i="14"/>
  <c r="W245" i="14"/>
  <c r="V245" i="14"/>
  <c r="U245" i="14"/>
  <c r="T245" i="14"/>
  <c r="S245" i="14"/>
  <c r="Q245" i="14"/>
  <c r="O245" i="14"/>
  <c r="M245" i="14"/>
  <c r="K245" i="14"/>
  <c r="X244" i="14"/>
  <c r="W244" i="14"/>
  <c r="V244" i="14"/>
  <c r="U244" i="14"/>
  <c r="T244" i="14"/>
  <c r="S244" i="14"/>
  <c r="Q244" i="14"/>
  <c r="O244" i="14"/>
  <c r="M244" i="14"/>
  <c r="K244" i="14"/>
  <c r="X243" i="14"/>
  <c r="W243" i="14"/>
  <c r="V243" i="14"/>
  <c r="U243" i="14"/>
  <c r="T243" i="14"/>
  <c r="S243" i="14"/>
  <c r="Q243" i="14"/>
  <c r="O243" i="14"/>
  <c r="M243" i="14"/>
  <c r="K243" i="14"/>
  <c r="X242" i="14"/>
  <c r="W242" i="14"/>
  <c r="V242" i="14"/>
  <c r="U242" i="14"/>
  <c r="T242" i="14"/>
  <c r="S242" i="14"/>
  <c r="Q242" i="14"/>
  <c r="O242" i="14"/>
  <c r="M242" i="14"/>
  <c r="K242" i="14"/>
  <c r="X241" i="14"/>
  <c r="W241" i="14"/>
  <c r="V241" i="14"/>
  <c r="U241" i="14"/>
  <c r="T241" i="14"/>
  <c r="S241" i="14"/>
  <c r="Q241" i="14"/>
  <c r="O241" i="14"/>
  <c r="M241" i="14"/>
  <c r="K241" i="14"/>
  <c r="X240" i="14"/>
  <c r="W240" i="14"/>
  <c r="V240" i="14"/>
  <c r="U240" i="14"/>
  <c r="T240" i="14"/>
  <c r="S240" i="14"/>
  <c r="Q240" i="14"/>
  <c r="O240" i="14"/>
  <c r="M240" i="14"/>
  <c r="K240" i="14"/>
  <c r="X239" i="14"/>
  <c r="W239" i="14"/>
  <c r="V239" i="14"/>
  <c r="U239" i="14"/>
  <c r="T239" i="14"/>
  <c r="S239" i="14"/>
  <c r="Q239" i="14"/>
  <c r="O239" i="14"/>
  <c r="M239" i="14"/>
  <c r="K239" i="14"/>
  <c r="X238" i="14"/>
  <c r="W238" i="14"/>
  <c r="V238" i="14"/>
  <c r="U238" i="14"/>
  <c r="T238" i="14"/>
  <c r="S238" i="14"/>
  <c r="Q238" i="14"/>
  <c r="O238" i="14"/>
  <c r="M238" i="14"/>
  <c r="K238" i="14"/>
  <c r="X237" i="14"/>
  <c r="W237" i="14"/>
  <c r="V237" i="14"/>
  <c r="U237" i="14"/>
  <c r="T237" i="14"/>
  <c r="S237" i="14"/>
  <c r="Q237" i="14"/>
  <c r="O237" i="14"/>
  <c r="M237" i="14"/>
  <c r="K237" i="14"/>
  <c r="X236" i="14"/>
  <c r="W236" i="14"/>
  <c r="V236" i="14"/>
  <c r="U236" i="14"/>
  <c r="T236" i="14"/>
  <c r="S236" i="14"/>
  <c r="Q236" i="14"/>
  <c r="O236" i="14"/>
  <c r="M236" i="14"/>
  <c r="K236" i="14"/>
  <c r="X235" i="14"/>
  <c r="W235" i="14"/>
  <c r="V235" i="14"/>
  <c r="U235" i="14"/>
  <c r="T235" i="14"/>
  <c r="S235" i="14"/>
  <c r="Q235" i="14"/>
  <c r="O235" i="14"/>
  <c r="M235" i="14"/>
  <c r="K235" i="14"/>
  <c r="X234" i="14"/>
  <c r="W234" i="14"/>
  <c r="V234" i="14"/>
  <c r="U234" i="14"/>
  <c r="T234" i="14"/>
  <c r="S234" i="14"/>
  <c r="Q234" i="14"/>
  <c r="O234" i="14"/>
  <c r="M234" i="14"/>
  <c r="K234" i="14"/>
  <c r="X233" i="14"/>
  <c r="W233" i="14"/>
  <c r="V233" i="14"/>
  <c r="U233" i="14"/>
  <c r="T233" i="14"/>
  <c r="S233" i="14"/>
  <c r="Q233" i="14"/>
  <c r="O233" i="14"/>
  <c r="M233" i="14"/>
  <c r="K233" i="14"/>
  <c r="X232" i="14"/>
  <c r="W232" i="14"/>
  <c r="V232" i="14"/>
  <c r="U232" i="14"/>
  <c r="T232" i="14"/>
  <c r="S232" i="14"/>
  <c r="Q232" i="14"/>
  <c r="O232" i="14"/>
  <c r="M232" i="14"/>
  <c r="K232" i="14"/>
  <c r="X231" i="14"/>
  <c r="W231" i="14"/>
  <c r="V231" i="14"/>
  <c r="U231" i="14"/>
  <c r="T231" i="14"/>
  <c r="S231" i="14"/>
  <c r="Q231" i="14"/>
  <c r="O231" i="14"/>
  <c r="M231" i="14"/>
  <c r="K231" i="14"/>
  <c r="X230" i="14"/>
  <c r="W230" i="14"/>
  <c r="V230" i="14"/>
  <c r="U230" i="14"/>
  <c r="T230" i="14"/>
  <c r="S230" i="14"/>
  <c r="Q230" i="14"/>
  <c r="O230" i="14"/>
  <c r="M230" i="14"/>
  <c r="K230" i="14"/>
  <c r="X229" i="14"/>
  <c r="W229" i="14"/>
  <c r="V229" i="14"/>
  <c r="U229" i="14"/>
  <c r="T229" i="14"/>
  <c r="S229" i="14"/>
  <c r="Q229" i="14"/>
  <c r="O229" i="14"/>
  <c r="M229" i="14"/>
  <c r="K229" i="14"/>
  <c r="X228" i="14"/>
  <c r="W228" i="14"/>
  <c r="V228" i="14"/>
  <c r="U228" i="14"/>
  <c r="T228" i="14"/>
  <c r="S228" i="14"/>
  <c r="Q228" i="14"/>
  <c r="O228" i="14"/>
  <c r="M228" i="14"/>
  <c r="K228" i="14"/>
  <c r="X227" i="14"/>
  <c r="W227" i="14"/>
  <c r="V227" i="14"/>
  <c r="U227" i="14"/>
  <c r="T227" i="14"/>
  <c r="S227" i="14"/>
  <c r="Q227" i="14"/>
  <c r="O227" i="14"/>
  <c r="M227" i="14"/>
  <c r="K227" i="14"/>
  <c r="X226" i="14"/>
  <c r="W226" i="14"/>
  <c r="V226" i="14"/>
  <c r="U226" i="14"/>
  <c r="T226" i="14"/>
  <c r="S226" i="14"/>
  <c r="Q226" i="14"/>
  <c r="O226" i="14"/>
  <c r="M226" i="14"/>
  <c r="K226" i="14"/>
  <c r="X225" i="14"/>
  <c r="W225" i="14"/>
  <c r="V225" i="14"/>
  <c r="U225" i="14"/>
  <c r="T225" i="14"/>
  <c r="S225" i="14"/>
  <c r="Q225" i="14"/>
  <c r="O225" i="14"/>
  <c r="M225" i="14"/>
  <c r="K225" i="14"/>
  <c r="X224" i="14"/>
  <c r="W224" i="14"/>
  <c r="V224" i="14"/>
  <c r="U224" i="14"/>
  <c r="T224" i="14"/>
  <c r="S224" i="14"/>
  <c r="Q224" i="14"/>
  <c r="O224" i="14"/>
  <c r="M224" i="14"/>
  <c r="K224" i="14"/>
  <c r="X223" i="14"/>
  <c r="W223" i="14"/>
  <c r="V223" i="14"/>
  <c r="U223" i="14"/>
  <c r="T223" i="14"/>
  <c r="S223" i="14"/>
  <c r="Q223" i="14"/>
  <c r="O223" i="14"/>
  <c r="M223" i="14"/>
  <c r="K223" i="14"/>
  <c r="X222" i="14"/>
  <c r="W222" i="14"/>
  <c r="V222" i="14"/>
  <c r="U222" i="14"/>
  <c r="T222" i="14"/>
  <c r="S222" i="14"/>
  <c r="Q222" i="14"/>
  <c r="O222" i="14"/>
  <c r="M222" i="14"/>
  <c r="K222" i="14"/>
  <c r="X221" i="14"/>
  <c r="W221" i="14"/>
  <c r="V221" i="14"/>
  <c r="U221" i="14"/>
  <c r="T221" i="14"/>
  <c r="S221" i="14"/>
  <c r="Q221" i="14"/>
  <c r="O221" i="14"/>
  <c r="M221" i="14"/>
  <c r="K221" i="14"/>
  <c r="X220" i="14"/>
  <c r="W220" i="14"/>
  <c r="V220" i="14"/>
  <c r="U220" i="14"/>
  <c r="T220" i="14"/>
  <c r="S220" i="14"/>
  <c r="Q220" i="14"/>
  <c r="O220" i="14"/>
  <c r="M220" i="14"/>
  <c r="K220" i="14"/>
  <c r="X219" i="14"/>
  <c r="W219" i="14"/>
  <c r="V219" i="14"/>
  <c r="U219" i="14"/>
  <c r="T219" i="14"/>
  <c r="S219" i="14"/>
  <c r="Q219" i="14"/>
  <c r="O219" i="14"/>
  <c r="M219" i="14"/>
  <c r="K219" i="14"/>
  <c r="X218" i="14"/>
  <c r="W218" i="14"/>
  <c r="V218" i="14"/>
  <c r="U218" i="14"/>
  <c r="T218" i="14"/>
  <c r="S218" i="14"/>
  <c r="Q218" i="14"/>
  <c r="O218" i="14"/>
  <c r="M218" i="14"/>
  <c r="K218" i="14"/>
  <c r="X217" i="14"/>
  <c r="W217" i="14"/>
  <c r="V217" i="14"/>
  <c r="U217" i="14"/>
  <c r="T217" i="14"/>
  <c r="S217" i="14"/>
  <c r="Q217" i="14"/>
  <c r="O217" i="14"/>
  <c r="M217" i="14"/>
  <c r="K217" i="14"/>
  <c r="X216" i="14"/>
  <c r="W216" i="14"/>
  <c r="V216" i="14"/>
  <c r="U216" i="14"/>
  <c r="T216" i="14"/>
  <c r="S216" i="14"/>
  <c r="Q216" i="14"/>
  <c r="O216" i="14"/>
  <c r="M216" i="14"/>
  <c r="K216" i="14"/>
  <c r="X215" i="14"/>
  <c r="W215" i="14"/>
  <c r="V215" i="14"/>
  <c r="U215" i="14"/>
  <c r="T215" i="14"/>
  <c r="S215" i="14"/>
  <c r="Q215" i="14"/>
  <c r="O215" i="14"/>
  <c r="M215" i="14"/>
  <c r="K215" i="14"/>
  <c r="X214" i="14"/>
  <c r="W214" i="14"/>
  <c r="V214" i="14"/>
  <c r="U214" i="14"/>
  <c r="T214" i="14"/>
  <c r="S214" i="14"/>
  <c r="Q214" i="14"/>
  <c r="O214" i="14"/>
  <c r="M214" i="14"/>
  <c r="K214" i="14"/>
  <c r="X213" i="14"/>
  <c r="W213" i="14"/>
  <c r="V213" i="14"/>
  <c r="U213" i="14"/>
  <c r="T213" i="14"/>
  <c r="S213" i="14"/>
  <c r="Q213" i="14"/>
  <c r="O213" i="14"/>
  <c r="M213" i="14"/>
  <c r="K213" i="14"/>
  <c r="X212" i="14"/>
  <c r="W212" i="14"/>
  <c r="V212" i="14"/>
  <c r="U212" i="14"/>
  <c r="T212" i="14"/>
  <c r="S212" i="14"/>
  <c r="Q212" i="14"/>
  <c r="O212" i="14"/>
  <c r="M212" i="14"/>
  <c r="K212" i="14"/>
  <c r="X211" i="14"/>
  <c r="W211" i="14"/>
  <c r="V211" i="14"/>
  <c r="U211" i="14"/>
  <c r="T211" i="14"/>
  <c r="S211" i="14"/>
  <c r="Q211" i="14"/>
  <c r="O211" i="14"/>
  <c r="M211" i="14"/>
  <c r="K211" i="14"/>
  <c r="X210" i="14"/>
  <c r="W210" i="14"/>
  <c r="V210" i="14"/>
  <c r="U210" i="14"/>
  <c r="T210" i="14"/>
  <c r="S210" i="14"/>
  <c r="Q210" i="14"/>
  <c r="O210" i="14"/>
  <c r="M210" i="14"/>
  <c r="K210" i="14"/>
  <c r="X209" i="14"/>
  <c r="W209" i="14"/>
  <c r="V209" i="14"/>
  <c r="U209" i="14"/>
  <c r="T209" i="14"/>
  <c r="S209" i="14"/>
  <c r="Q209" i="14"/>
  <c r="O209" i="14"/>
  <c r="M209" i="14"/>
  <c r="K209" i="14"/>
  <c r="X208" i="14"/>
  <c r="W208" i="14"/>
  <c r="V208" i="14"/>
  <c r="U208" i="14"/>
  <c r="T208" i="14"/>
  <c r="S208" i="14"/>
  <c r="Q208" i="14"/>
  <c r="O208" i="14"/>
  <c r="M208" i="14"/>
  <c r="K208" i="14"/>
  <c r="X207" i="14"/>
  <c r="W207" i="14"/>
  <c r="V207" i="14"/>
  <c r="U207" i="14"/>
  <c r="T207" i="14"/>
  <c r="S207" i="14"/>
  <c r="Q207" i="14"/>
  <c r="O207" i="14"/>
  <c r="M207" i="14"/>
  <c r="K207" i="14"/>
  <c r="X206" i="14"/>
  <c r="W206" i="14"/>
  <c r="V206" i="14"/>
  <c r="U206" i="14"/>
  <c r="T206" i="14"/>
  <c r="S206" i="14"/>
  <c r="Q206" i="14"/>
  <c r="O206" i="14"/>
  <c r="M206" i="14"/>
  <c r="K206" i="14"/>
  <c r="X205" i="14"/>
  <c r="W205" i="14"/>
  <c r="V205" i="14"/>
  <c r="U205" i="14"/>
  <c r="T205" i="14"/>
  <c r="S205" i="14"/>
  <c r="Q205" i="14"/>
  <c r="O205" i="14"/>
  <c r="M205" i="14"/>
  <c r="K205" i="14"/>
  <c r="X204" i="14"/>
  <c r="W204" i="14"/>
  <c r="V204" i="14"/>
  <c r="U204" i="14"/>
  <c r="T204" i="14"/>
  <c r="S204" i="14"/>
  <c r="Q204" i="14"/>
  <c r="O204" i="14"/>
  <c r="M204" i="14"/>
  <c r="K204" i="14"/>
  <c r="X203" i="14"/>
  <c r="W203" i="14"/>
  <c r="V203" i="14"/>
  <c r="U203" i="14"/>
  <c r="T203" i="14"/>
  <c r="S203" i="14"/>
  <c r="Q203" i="14"/>
  <c r="O203" i="14"/>
  <c r="M203" i="14"/>
  <c r="K203" i="14"/>
  <c r="X202" i="14"/>
  <c r="W202" i="14"/>
  <c r="V202" i="14"/>
  <c r="U202" i="14"/>
  <c r="T202" i="14"/>
  <c r="S202" i="14"/>
  <c r="Q202" i="14"/>
  <c r="O202" i="14"/>
  <c r="M202" i="14"/>
  <c r="K202" i="14"/>
  <c r="X201" i="14"/>
  <c r="W201" i="14"/>
  <c r="V201" i="14"/>
  <c r="U201" i="14"/>
  <c r="T201" i="14"/>
  <c r="S201" i="14"/>
  <c r="Q201" i="14"/>
  <c r="O201" i="14"/>
  <c r="M201" i="14"/>
  <c r="K201" i="14"/>
  <c r="X200" i="14"/>
  <c r="W200" i="14"/>
  <c r="V200" i="14"/>
  <c r="U200" i="14"/>
  <c r="T200" i="14"/>
  <c r="S200" i="14"/>
  <c r="Q200" i="14"/>
  <c r="O200" i="14"/>
  <c r="M200" i="14"/>
  <c r="K200" i="14"/>
  <c r="X199" i="14"/>
  <c r="W199" i="14"/>
  <c r="V199" i="14"/>
  <c r="U199" i="14"/>
  <c r="T199" i="14"/>
  <c r="S199" i="14"/>
  <c r="Q199" i="14"/>
  <c r="O199" i="14"/>
  <c r="M199" i="14"/>
  <c r="K199" i="14"/>
  <c r="X198" i="14"/>
  <c r="W198" i="14"/>
  <c r="V198" i="14"/>
  <c r="U198" i="14"/>
  <c r="T198" i="14"/>
  <c r="S198" i="14"/>
  <c r="Q198" i="14"/>
  <c r="O198" i="14"/>
  <c r="M198" i="14"/>
  <c r="K198" i="14"/>
  <c r="X197" i="14"/>
  <c r="W197" i="14"/>
  <c r="V197" i="14"/>
  <c r="U197" i="14"/>
  <c r="T197" i="14"/>
  <c r="S197" i="14"/>
  <c r="Q197" i="14"/>
  <c r="O197" i="14"/>
  <c r="M197" i="14"/>
  <c r="K197" i="14"/>
  <c r="X196" i="14"/>
  <c r="W196" i="14"/>
  <c r="V196" i="14"/>
  <c r="U196" i="14"/>
  <c r="T196" i="14"/>
  <c r="S196" i="14"/>
  <c r="Q196" i="14"/>
  <c r="O196" i="14"/>
  <c r="M196" i="14"/>
  <c r="K196" i="14"/>
  <c r="X195" i="14"/>
  <c r="W195" i="14"/>
  <c r="V195" i="14"/>
  <c r="U195" i="14"/>
  <c r="T195" i="14"/>
  <c r="S195" i="14"/>
  <c r="Q195" i="14"/>
  <c r="O195" i="14"/>
  <c r="M195" i="14"/>
  <c r="K195" i="14"/>
  <c r="X194" i="14"/>
  <c r="W194" i="14"/>
  <c r="V194" i="14"/>
  <c r="U194" i="14"/>
  <c r="T194" i="14"/>
  <c r="S194" i="14"/>
  <c r="Q194" i="14"/>
  <c r="O194" i="14"/>
  <c r="M194" i="14"/>
  <c r="K194" i="14"/>
  <c r="X193" i="14"/>
  <c r="W193" i="14"/>
  <c r="V193" i="14"/>
  <c r="U193" i="14"/>
  <c r="T193" i="14"/>
  <c r="S193" i="14"/>
  <c r="Q193" i="14"/>
  <c r="O193" i="14"/>
  <c r="M193" i="14"/>
  <c r="K193" i="14"/>
  <c r="X192" i="14"/>
  <c r="W192" i="14"/>
  <c r="V192" i="14"/>
  <c r="U192" i="14"/>
  <c r="T192" i="14"/>
  <c r="S192" i="14"/>
  <c r="Q192" i="14"/>
  <c r="O192" i="14"/>
  <c r="M192" i="14"/>
  <c r="K192" i="14"/>
  <c r="X191" i="14"/>
  <c r="W191" i="14"/>
  <c r="V191" i="14"/>
  <c r="U191" i="14"/>
  <c r="T191" i="14"/>
  <c r="S191" i="14"/>
  <c r="Q191" i="14"/>
  <c r="O191" i="14"/>
  <c r="M191" i="14"/>
  <c r="K191" i="14"/>
  <c r="X190" i="14"/>
  <c r="W190" i="14"/>
  <c r="V190" i="14"/>
  <c r="U190" i="14"/>
  <c r="T190" i="14"/>
  <c r="S190" i="14"/>
  <c r="Q190" i="14"/>
  <c r="O190" i="14"/>
  <c r="M190" i="14"/>
  <c r="K190" i="14"/>
  <c r="X189" i="14"/>
  <c r="W189" i="14"/>
  <c r="V189" i="14"/>
  <c r="U189" i="14"/>
  <c r="T189" i="14"/>
  <c r="S189" i="14"/>
  <c r="Q189" i="14"/>
  <c r="O189" i="14"/>
  <c r="M189" i="14"/>
  <c r="K189" i="14"/>
  <c r="X188" i="14"/>
  <c r="W188" i="14"/>
  <c r="V188" i="14"/>
  <c r="U188" i="14"/>
  <c r="T188" i="14"/>
  <c r="S188" i="14"/>
  <c r="Q188" i="14"/>
  <c r="O188" i="14"/>
  <c r="M188" i="14"/>
  <c r="K188" i="14"/>
  <c r="X187" i="14"/>
  <c r="W187" i="14"/>
  <c r="V187" i="14"/>
  <c r="U187" i="14"/>
  <c r="T187" i="14"/>
  <c r="S187" i="14"/>
  <c r="Q187" i="14"/>
  <c r="O187" i="14"/>
  <c r="M187" i="14"/>
  <c r="K187" i="14"/>
  <c r="X186" i="14"/>
  <c r="W186" i="14"/>
  <c r="V186" i="14"/>
  <c r="U186" i="14"/>
  <c r="T186" i="14"/>
  <c r="S186" i="14"/>
  <c r="Q186" i="14"/>
  <c r="O186" i="14"/>
  <c r="M186" i="14"/>
  <c r="K186" i="14"/>
  <c r="X185" i="14"/>
  <c r="W185" i="14"/>
  <c r="V185" i="14"/>
  <c r="U185" i="14"/>
  <c r="T185" i="14"/>
  <c r="S185" i="14"/>
  <c r="Q185" i="14"/>
  <c r="O185" i="14"/>
  <c r="M185" i="14"/>
  <c r="K185" i="14"/>
  <c r="X184" i="14"/>
  <c r="W184" i="14"/>
  <c r="V184" i="14"/>
  <c r="U184" i="14"/>
  <c r="T184" i="14"/>
  <c r="S184" i="14"/>
  <c r="Q184" i="14"/>
  <c r="O184" i="14"/>
  <c r="M184" i="14"/>
  <c r="K184" i="14"/>
  <c r="X183" i="14"/>
  <c r="W183" i="14"/>
  <c r="V183" i="14"/>
  <c r="U183" i="14"/>
  <c r="T183" i="14"/>
  <c r="S183" i="14"/>
  <c r="Q183" i="14"/>
  <c r="O183" i="14"/>
  <c r="M183" i="14"/>
  <c r="K183" i="14"/>
  <c r="X182" i="14"/>
  <c r="W182" i="14"/>
  <c r="V182" i="14"/>
  <c r="U182" i="14"/>
  <c r="T182" i="14"/>
  <c r="S182" i="14"/>
  <c r="Q182" i="14"/>
  <c r="O182" i="14"/>
  <c r="M182" i="14"/>
  <c r="K182" i="14"/>
  <c r="X181" i="14"/>
  <c r="W181" i="14"/>
  <c r="V181" i="14"/>
  <c r="U181" i="14"/>
  <c r="T181" i="14"/>
  <c r="S181" i="14"/>
  <c r="Q181" i="14"/>
  <c r="O181" i="14"/>
  <c r="M181" i="14"/>
  <c r="K181" i="14"/>
  <c r="X180" i="14"/>
  <c r="W180" i="14"/>
  <c r="V180" i="14"/>
  <c r="U180" i="14"/>
  <c r="T180" i="14"/>
  <c r="S180" i="14"/>
  <c r="Q180" i="14"/>
  <c r="O180" i="14"/>
  <c r="M180" i="14"/>
  <c r="K180" i="14"/>
  <c r="X179" i="14"/>
  <c r="W179" i="14"/>
  <c r="V179" i="14"/>
  <c r="U179" i="14"/>
  <c r="T179" i="14"/>
  <c r="S179" i="14"/>
  <c r="Q179" i="14"/>
  <c r="O179" i="14"/>
  <c r="M179" i="14"/>
  <c r="K179" i="14"/>
  <c r="X178" i="14"/>
  <c r="W178" i="14"/>
  <c r="V178" i="14"/>
  <c r="U178" i="14"/>
  <c r="T178" i="14"/>
  <c r="S178" i="14"/>
  <c r="Q178" i="14"/>
  <c r="O178" i="14"/>
  <c r="M178" i="14"/>
  <c r="K178" i="14"/>
  <c r="X177" i="14"/>
  <c r="W177" i="14"/>
  <c r="V177" i="14"/>
  <c r="U177" i="14"/>
  <c r="T177" i="14"/>
  <c r="S177" i="14"/>
  <c r="Q177" i="14"/>
  <c r="O177" i="14"/>
  <c r="M177" i="14"/>
  <c r="K177" i="14"/>
  <c r="X176" i="14"/>
  <c r="W176" i="14"/>
  <c r="V176" i="14"/>
  <c r="U176" i="14"/>
  <c r="T176" i="14"/>
  <c r="S176" i="14"/>
  <c r="Q176" i="14"/>
  <c r="O176" i="14"/>
  <c r="M176" i="14"/>
  <c r="K176" i="14"/>
  <c r="X175" i="14"/>
  <c r="W175" i="14"/>
  <c r="V175" i="14"/>
  <c r="U175" i="14"/>
  <c r="T175" i="14"/>
  <c r="S175" i="14"/>
  <c r="Q175" i="14"/>
  <c r="O175" i="14"/>
  <c r="M175" i="14"/>
  <c r="K175" i="14"/>
  <c r="X174" i="14"/>
  <c r="W174" i="14"/>
  <c r="V174" i="14"/>
  <c r="U174" i="14"/>
  <c r="T174" i="14"/>
  <c r="S174" i="14"/>
  <c r="Q174" i="14"/>
  <c r="O174" i="14"/>
  <c r="M174" i="14"/>
  <c r="K174" i="14"/>
  <c r="X173" i="14"/>
  <c r="W173" i="14"/>
  <c r="V173" i="14"/>
  <c r="U173" i="14"/>
  <c r="T173" i="14"/>
  <c r="S173" i="14"/>
  <c r="Q173" i="14"/>
  <c r="O173" i="14"/>
  <c r="M173" i="14"/>
  <c r="K173" i="14"/>
  <c r="X172" i="14"/>
  <c r="W172" i="14"/>
  <c r="V172" i="14"/>
  <c r="U172" i="14"/>
  <c r="T172" i="14"/>
  <c r="S172" i="14"/>
  <c r="Q172" i="14"/>
  <c r="O172" i="14"/>
  <c r="M172" i="14"/>
  <c r="K172" i="14"/>
  <c r="X171" i="14"/>
  <c r="W171" i="14"/>
  <c r="V171" i="14"/>
  <c r="U171" i="14"/>
  <c r="T171" i="14"/>
  <c r="S171" i="14"/>
  <c r="Q171" i="14"/>
  <c r="O171" i="14"/>
  <c r="M171" i="14"/>
  <c r="K171" i="14"/>
  <c r="X170" i="14"/>
  <c r="W170" i="14"/>
  <c r="V170" i="14"/>
  <c r="U170" i="14"/>
  <c r="T170" i="14"/>
  <c r="S170" i="14"/>
  <c r="Q170" i="14"/>
  <c r="O170" i="14"/>
  <c r="M170" i="14"/>
  <c r="K170" i="14"/>
  <c r="X169" i="14"/>
  <c r="W169" i="14"/>
  <c r="V169" i="14"/>
  <c r="U169" i="14"/>
  <c r="T169" i="14"/>
  <c r="S169" i="14"/>
  <c r="Q169" i="14"/>
  <c r="O169" i="14"/>
  <c r="M169" i="14"/>
  <c r="K169" i="14"/>
  <c r="X168" i="14"/>
  <c r="W168" i="14"/>
  <c r="V168" i="14"/>
  <c r="U168" i="14"/>
  <c r="T168" i="14"/>
  <c r="S168" i="14"/>
  <c r="Q168" i="14"/>
  <c r="O168" i="14"/>
  <c r="M168" i="14"/>
  <c r="K168" i="14"/>
  <c r="X167" i="14"/>
  <c r="W167" i="14"/>
  <c r="V167" i="14"/>
  <c r="U167" i="14"/>
  <c r="T167" i="14"/>
  <c r="S167" i="14"/>
  <c r="Q167" i="14"/>
  <c r="O167" i="14"/>
  <c r="M167" i="14"/>
  <c r="K167" i="14"/>
  <c r="X166" i="14"/>
  <c r="W166" i="14"/>
  <c r="V166" i="14"/>
  <c r="U166" i="14"/>
  <c r="T166" i="14"/>
  <c r="S166" i="14"/>
  <c r="Q166" i="14"/>
  <c r="O166" i="14"/>
  <c r="M166" i="14"/>
  <c r="K166" i="14"/>
  <c r="X165" i="14"/>
  <c r="W165" i="14"/>
  <c r="V165" i="14"/>
  <c r="U165" i="14"/>
  <c r="T165" i="14"/>
  <c r="S165" i="14"/>
  <c r="Q165" i="14"/>
  <c r="O165" i="14"/>
  <c r="M165" i="14"/>
  <c r="K165" i="14"/>
  <c r="X164" i="14"/>
  <c r="W164" i="14"/>
  <c r="V164" i="14"/>
  <c r="U164" i="14"/>
  <c r="T164" i="14"/>
  <c r="S164" i="14"/>
  <c r="Q164" i="14"/>
  <c r="O164" i="14"/>
  <c r="M164" i="14"/>
  <c r="K164" i="14"/>
  <c r="X163" i="14"/>
  <c r="W163" i="14"/>
  <c r="V163" i="14"/>
  <c r="U163" i="14"/>
  <c r="T163" i="14"/>
  <c r="S163" i="14"/>
  <c r="Q163" i="14"/>
  <c r="O163" i="14"/>
  <c r="M163" i="14"/>
  <c r="K163" i="14"/>
  <c r="X162" i="14"/>
  <c r="W162" i="14"/>
  <c r="V162" i="14"/>
  <c r="U162" i="14"/>
  <c r="T162" i="14"/>
  <c r="S162" i="14"/>
  <c r="Q162" i="14"/>
  <c r="O162" i="14"/>
  <c r="M162" i="14"/>
  <c r="K162" i="14"/>
  <c r="X161" i="14"/>
  <c r="W161" i="14"/>
  <c r="V161" i="14"/>
  <c r="U161" i="14"/>
  <c r="T161" i="14"/>
  <c r="S161" i="14"/>
  <c r="Q161" i="14"/>
  <c r="O161" i="14"/>
  <c r="M161" i="14"/>
  <c r="K161" i="14"/>
  <c r="X160" i="14"/>
  <c r="W160" i="14"/>
  <c r="V160" i="14"/>
  <c r="U160" i="14"/>
  <c r="T160" i="14"/>
  <c r="S160" i="14"/>
  <c r="Q160" i="14"/>
  <c r="O160" i="14"/>
  <c r="M160" i="14"/>
  <c r="K160" i="14"/>
  <c r="X159" i="14"/>
  <c r="W159" i="14"/>
  <c r="V159" i="14"/>
  <c r="U159" i="14"/>
  <c r="T159" i="14"/>
  <c r="S159" i="14"/>
  <c r="Q159" i="14"/>
  <c r="O159" i="14"/>
  <c r="M159" i="14"/>
  <c r="K159" i="14"/>
  <c r="X158" i="14"/>
  <c r="W158" i="14"/>
  <c r="V158" i="14"/>
  <c r="U158" i="14"/>
  <c r="T158" i="14"/>
  <c r="S158" i="14"/>
  <c r="Q158" i="14"/>
  <c r="O158" i="14"/>
  <c r="M158" i="14"/>
  <c r="K158" i="14"/>
  <c r="X157" i="14"/>
  <c r="W157" i="14"/>
  <c r="V157" i="14"/>
  <c r="U157" i="14"/>
  <c r="T157" i="14"/>
  <c r="S157" i="14"/>
  <c r="Q157" i="14"/>
  <c r="O157" i="14"/>
  <c r="M157" i="14"/>
  <c r="K157" i="14"/>
  <c r="X156" i="14"/>
  <c r="W156" i="14"/>
  <c r="V156" i="14"/>
  <c r="U156" i="14"/>
  <c r="T156" i="14"/>
  <c r="S156" i="14"/>
  <c r="Q156" i="14"/>
  <c r="O156" i="14"/>
  <c r="M156" i="14"/>
  <c r="K156" i="14"/>
  <c r="X155" i="14"/>
  <c r="W155" i="14"/>
  <c r="V155" i="14"/>
  <c r="U155" i="14"/>
  <c r="T155" i="14"/>
  <c r="S155" i="14"/>
  <c r="Q155" i="14"/>
  <c r="O155" i="14"/>
  <c r="M155" i="14"/>
  <c r="K155" i="14"/>
  <c r="X154" i="14"/>
  <c r="W154" i="14"/>
  <c r="V154" i="14"/>
  <c r="U154" i="14"/>
  <c r="T154" i="14"/>
  <c r="S154" i="14"/>
  <c r="Q154" i="14"/>
  <c r="O154" i="14"/>
  <c r="M154" i="14"/>
  <c r="K154" i="14"/>
  <c r="X153" i="14"/>
  <c r="W153" i="14"/>
  <c r="V153" i="14"/>
  <c r="U153" i="14"/>
  <c r="T153" i="14"/>
  <c r="S153" i="14"/>
  <c r="Q153" i="14"/>
  <c r="O153" i="14"/>
  <c r="M153" i="14"/>
  <c r="K153" i="14"/>
  <c r="X152" i="14"/>
  <c r="W152" i="14"/>
  <c r="V152" i="14"/>
  <c r="U152" i="14"/>
  <c r="T152" i="14"/>
  <c r="S152" i="14"/>
  <c r="Q152" i="14"/>
  <c r="O152" i="14"/>
  <c r="M152" i="14"/>
  <c r="K152" i="14"/>
  <c r="X151" i="14"/>
  <c r="W151" i="14"/>
  <c r="V151" i="14"/>
  <c r="U151" i="14"/>
  <c r="T151" i="14"/>
  <c r="S151" i="14"/>
  <c r="Q151" i="14"/>
  <c r="O151" i="14"/>
  <c r="M151" i="14"/>
  <c r="K151" i="14"/>
  <c r="X150" i="14"/>
  <c r="W150" i="14"/>
  <c r="V150" i="14"/>
  <c r="U150" i="14"/>
  <c r="T150" i="14"/>
  <c r="S150" i="14"/>
  <c r="Q150" i="14"/>
  <c r="O150" i="14"/>
  <c r="M150" i="14"/>
  <c r="K150" i="14"/>
  <c r="X149" i="14"/>
  <c r="W149" i="14"/>
  <c r="V149" i="14"/>
  <c r="U149" i="14"/>
  <c r="T149" i="14"/>
  <c r="S149" i="14"/>
  <c r="Q149" i="14"/>
  <c r="O149" i="14"/>
  <c r="M149" i="14"/>
  <c r="K149" i="14"/>
  <c r="X148" i="14"/>
  <c r="W148" i="14"/>
  <c r="V148" i="14"/>
  <c r="U148" i="14"/>
  <c r="T148" i="14"/>
  <c r="S148" i="14"/>
  <c r="Q148" i="14"/>
  <c r="O148" i="14"/>
  <c r="M148" i="14"/>
  <c r="K148" i="14"/>
  <c r="X147" i="14"/>
  <c r="W147" i="14"/>
  <c r="V147" i="14"/>
  <c r="U147" i="14"/>
  <c r="T147" i="14"/>
  <c r="S147" i="14"/>
  <c r="Q147" i="14"/>
  <c r="O147" i="14"/>
  <c r="M147" i="14"/>
  <c r="K147" i="14"/>
  <c r="X146" i="14"/>
  <c r="W146" i="14"/>
  <c r="V146" i="14"/>
  <c r="U146" i="14"/>
  <c r="T146" i="14"/>
  <c r="S146" i="14"/>
  <c r="Q146" i="14"/>
  <c r="O146" i="14"/>
  <c r="M146" i="14"/>
  <c r="K146" i="14"/>
  <c r="X145" i="14"/>
  <c r="W145" i="14"/>
  <c r="V145" i="14"/>
  <c r="U145" i="14"/>
  <c r="T145" i="14"/>
  <c r="S145" i="14"/>
  <c r="Q145" i="14"/>
  <c r="O145" i="14"/>
  <c r="M145" i="14"/>
  <c r="K145" i="14"/>
  <c r="X144" i="14"/>
  <c r="W144" i="14"/>
  <c r="V144" i="14"/>
  <c r="U144" i="14"/>
  <c r="T144" i="14"/>
  <c r="S144" i="14"/>
  <c r="Q144" i="14"/>
  <c r="O144" i="14"/>
  <c r="M144" i="14"/>
  <c r="K144" i="14"/>
  <c r="X143" i="14"/>
  <c r="W143" i="14"/>
  <c r="V143" i="14"/>
  <c r="U143" i="14"/>
  <c r="T143" i="14"/>
  <c r="S143" i="14"/>
  <c r="Q143" i="14"/>
  <c r="O143" i="14"/>
  <c r="M143" i="14"/>
  <c r="K143" i="14"/>
  <c r="X142" i="14"/>
  <c r="W142" i="14"/>
  <c r="V142" i="14"/>
  <c r="U142" i="14"/>
  <c r="T142" i="14"/>
  <c r="S142" i="14"/>
  <c r="Q142" i="14"/>
  <c r="O142" i="14"/>
  <c r="M142" i="14"/>
  <c r="K142" i="14"/>
  <c r="X141" i="14"/>
  <c r="W141" i="14"/>
  <c r="V141" i="14"/>
  <c r="U141" i="14"/>
  <c r="T141" i="14"/>
  <c r="S141" i="14"/>
  <c r="Q141" i="14"/>
  <c r="O141" i="14"/>
  <c r="M141" i="14"/>
  <c r="K141" i="14"/>
  <c r="X140" i="14"/>
  <c r="W140" i="14"/>
  <c r="V140" i="14"/>
  <c r="U140" i="14"/>
  <c r="T140" i="14"/>
  <c r="S140" i="14"/>
  <c r="Q140" i="14"/>
  <c r="O140" i="14"/>
  <c r="M140" i="14"/>
  <c r="K140" i="14"/>
  <c r="X139" i="14"/>
  <c r="W139" i="14"/>
  <c r="V139" i="14"/>
  <c r="U139" i="14"/>
  <c r="T139" i="14"/>
  <c r="S139" i="14"/>
  <c r="Q139" i="14"/>
  <c r="O139" i="14"/>
  <c r="M139" i="14"/>
  <c r="K139" i="14"/>
  <c r="X138" i="14"/>
  <c r="W138" i="14"/>
  <c r="V138" i="14"/>
  <c r="U138" i="14"/>
  <c r="T138" i="14"/>
  <c r="S138" i="14"/>
  <c r="Q138" i="14"/>
  <c r="O138" i="14"/>
  <c r="M138" i="14"/>
  <c r="K138" i="14"/>
  <c r="X137" i="14"/>
  <c r="W137" i="14"/>
  <c r="V137" i="14"/>
  <c r="U137" i="14"/>
  <c r="T137" i="14"/>
  <c r="S137" i="14"/>
  <c r="Q137" i="14"/>
  <c r="O137" i="14"/>
  <c r="M137" i="14"/>
  <c r="K137" i="14"/>
  <c r="X136" i="14"/>
  <c r="W136" i="14"/>
  <c r="V136" i="14"/>
  <c r="U136" i="14"/>
  <c r="T136" i="14"/>
  <c r="S136" i="14"/>
  <c r="Q136" i="14"/>
  <c r="O136" i="14"/>
  <c r="M136" i="14"/>
  <c r="K136" i="14"/>
  <c r="X135" i="14"/>
  <c r="W135" i="14"/>
  <c r="V135" i="14"/>
  <c r="U135" i="14"/>
  <c r="T135" i="14"/>
  <c r="S135" i="14"/>
  <c r="Q135" i="14"/>
  <c r="O135" i="14"/>
  <c r="M135" i="14"/>
  <c r="K135" i="14"/>
  <c r="X134" i="14"/>
  <c r="W134" i="14"/>
  <c r="V134" i="14"/>
  <c r="U134" i="14"/>
  <c r="T134" i="14"/>
  <c r="S134" i="14"/>
  <c r="Q134" i="14"/>
  <c r="O134" i="14"/>
  <c r="M134" i="14"/>
  <c r="K134" i="14"/>
  <c r="X133" i="14"/>
  <c r="W133" i="14"/>
  <c r="V133" i="14"/>
  <c r="U133" i="14"/>
  <c r="T133" i="14"/>
  <c r="S133" i="14"/>
  <c r="Q133" i="14"/>
  <c r="O133" i="14"/>
  <c r="M133" i="14"/>
  <c r="K133" i="14"/>
  <c r="X132" i="14"/>
  <c r="W132" i="14"/>
  <c r="V132" i="14"/>
  <c r="U132" i="14"/>
  <c r="T132" i="14"/>
  <c r="S132" i="14"/>
  <c r="Q132" i="14"/>
  <c r="O132" i="14"/>
  <c r="M132" i="14"/>
  <c r="K132" i="14"/>
  <c r="X131" i="14"/>
  <c r="W131" i="14"/>
  <c r="V131" i="14"/>
  <c r="U131" i="14"/>
  <c r="T131" i="14"/>
  <c r="S131" i="14"/>
  <c r="Q131" i="14"/>
  <c r="O131" i="14"/>
  <c r="M131" i="14"/>
  <c r="K131" i="14"/>
  <c r="X130" i="14"/>
  <c r="W130" i="14"/>
  <c r="V130" i="14"/>
  <c r="U130" i="14"/>
  <c r="T130" i="14"/>
  <c r="S130" i="14"/>
  <c r="Q130" i="14"/>
  <c r="O130" i="14"/>
  <c r="M130" i="14"/>
  <c r="K130" i="14"/>
  <c r="X129" i="14"/>
  <c r="W129" i="14"/>
  <c r="V129" i="14"/>
  <c r="U129" i="14"/>
  <c r="T129" i="14"/>
  <c r="S129" i="14"/>
  <c r="Q129" i="14"/>
  <c r="O129" i="14"/>
  <c r="M129" i="14"/>
  <c r="K129" i="14"/>
  <c r="X128" i="14"/>
  <c r="W128" i="14"/>
  <c r="V128" i="14"/>
  <c r="U128" i="14"/>
  <c r="T128" i="14"/>
  <c r="S128" i="14"/>
  <c r="Q128" i="14"/>
  <c r="O128" i="14"/>
  <c r="M128" i="14"/>
  <c r="K128" i="14"/>
  <c r="X127" i="14"/>
  <c r="W127" i="14"/>
  <c r="V127" i="14"/>
  <c r="U127" i="14"/>
  <c r="T127" i="14"/>
  <c r="S127" i="14"/>
  <c r="Q127" i="14"/>
  <c r="O127" i="14"/>
  <c r="M127" i="14"/>
  <c r="K127" i="14"/>
  <c r="X126" i="14"/>
  <c r="W126" i="14"/>
  <c r="V126" i="14"/>
  <c r="U126" i="14"/>
  <c r="T126" i="14"/>
  <c r="S126" i="14"/>
  <c r="Q126" i="14"/>
  <c r="O126" i="14"/>
  <c r="M126" i="14"/>
  <c r="K126" i="14"/>
  <c r="X125" i="14"/>
  <c r="W125" i="14"/>
  <c r="V125" i="14"/>
  <c r="U125" i="14"/>
  <c r="T125" i="14"/>
  <c r="S125" i="14"/>
  <c r="Q125" i="14"/>
  <c r="O125" i="14"/>
  <c r="M125" i="14"/>
  <c r="K125" i="14"/>
  <c r="X124" i="14"/>
  <c r="W124" i="14"/>
  <c r="V124" i="14"/>
  <c r="U124" i="14"/>
  <c r="T124" i="14"/>
  <c r="S124" i="14"/>
  <c r="Q124" i="14"/>
  <c r="O124" i="14"/>
  <c r="M124" i="14"/>
  <c r="K124" i="14"/>
  <c r="X123" i="14"/>
  <c r="W123" i="14"/>
  <c r="V123" i="14"/>
  <c r="U123" i="14"/>
  <c r="T123" i="14"/>
  <c r="S123" i="14"/>
  <c r="Q123" i="14"/>
  <c r="O123" i="14"/>
  <c r="M123" i="14"/>
  <c r="K123" i="14"/>
  <c r="X122" i="14"/>
  <c r="W122" i="14"/>
  <c r="V122" i="14"/>
  <c r="U122" i="14"/>
  <c r="T122" i="14"/>
  <c r="S122" i="14"/>
  <c r="Q122" i="14"/>
  <c r="O122" i="14"/>
  <c r="M122" i="14"/>
  <c r="K122" i="14"/>
  <c r="X121" i="14"/>
  <c r="W121" i="14"/>
  <c r="V121" i="14"/>
  <c r="U121" i="14"/>
  <c r="T121" i="14"/>
  <c r="S121" i="14"/>
  <c r="Q121" i="14"/>
  <c r="O121" i="14"/>
  <c r="M121" i="14"/>
  <c r="K121" i="14"/>
  <c r="X120" i="14"/>
  <c r="W120" i="14"/>
  <c r="V120" i="14"/>
  <c r="U120" i="14"/>
  <c r="T120" i="14"/>
  <c r="S120" i="14"/>
  <c r="Q120" i="14"/>
  <c r="O120" i="14"/>
  <c r="M120" i="14"/>
  <c r="K120" i="14"/>
  <c r="X119" i="14"/>
  <c r="W119" i="14"/>
  <c r="V119" i="14"/>
  <c r="U119" i="14"/>
  <c r="T119" i="14"/>
  <c r="S119" i="14"/>
  <c r="Q119" i="14"/>
  <c r="O119" i="14"/>
  <c r="M119" i="14"/>
  <c r="K119" i="14"/>
  <c r="X118" i="14"/>
  <c r="W118" i="14"/>
  <c r="V118" i="14"/>
  <c r="U118" i="14"/>
  <c r="T118" i="14"/>
  <c r="S118" i="14"/>
  <c r="Q118" i="14"/>
  <c r="O118" i="14"/>
  <c r="M118" i="14"/>
  <c r="K118" i="14"/>
  <c r="X117" i="14"/>
  <c r="W117" i="14"/>
  <c r="V117" i="14"/>
  <c r="U117" i="14"/>
  <c r="T117" i="14"/>
  <c r="S117" i="14"/>
  <c r="Q117" i="14"/>
  <c r="O117" i="14"/>
  <c r="M117" i="14"/>
  <c r="K117" i="14"/>
  <c r="X116" i="14"/>
  <c r="W116" i="14"/>
  <c r="V116" i="14"/>
  <c r="U116" i="14"/>
  <c r="T116" i="14"/>
  <c r="S116" i="14"/>
  <c r="Q116" i="14"/>
  <c r="O116" i="14"/>
  <c r="M116" i="14"/>
  <c r="K116" i="14"/>
  <c r="X115" i="14"/>
  <c r="W115" i="14"/>
  <c r="V115" i="14"/>
  <c r="U115" i="14"/>
  <c r="T115" i="14"/>
  <c r="S115" i="14"/>
  <c r="Q115" i="14"/>
  <c r="O115" i="14"/>
  <c r="M115" i="14"/>
  <c r="K115" i="14"/>
  <c r="X114" i="14"/>
  <c r="W114" i="14"/>
  <c r="V114" i="14"/>
  <c r="U114" i="14"/>
  <c r="T114" i="14"/>
  <c r="S114" i="14"/>
  <c r="Q114" i="14"/>
  <c r="O114" i="14"/>
  <c r="M114" i="14"/>
  <c r="K114" i="14"/>
  <c r="X113" i="14"/>
  <c r="W113" i="14"/>
  <c r="V113" i="14"/>
  <c r="U113" i="14"/>
  <c r="T113" i="14"/>
  <c r="S113" i="14"/>
  <c r="Q113" i="14"/>
  <c r="O113" i="14"/>
  <c r="M113" i="14"/>
  <c r="K113" i="14"/>
  <c r="X112" i="14"/>
  <c r="W112" i="14"/>
  <c r="V112" i="14"/>
  <c r="U112" i="14"/>
  <c r="T112" i="14"/>
  <c r="S112" i="14"/>
  <c r="Q112" i="14"/>
  <c r="O112" i="14"/>
  <c r="M112" i="14"/>
  <c r="K112" i="14"/>
  <c r="X111" i="14"/>
  <c r="W111" i="14"/>
  <c r="V111" i="14"/>
  <c r="U111" i="14"/>
  <c r="T111" i="14"/>
  <c r="S111" i="14"/>
  <c r="Q111" i="14"/>
  <c r="O111" i="14"/>
  <c r="M111" i="14"/>
  <c r="K111" i="14"/>
  <c r="X110" i="14"/>
  <c r="W110" i="14"/>
  <c r="V110" i="14"/>
  <c r="U110" i="14"/>
  <c r="T110" i="14"/>
  <c r="S110" i="14"/>
  <c r="Q110" i="14"/>
  <c r="O110" i="14"/>
  <c r="M110" i="14"/>
  <c r="K110" i="14"/>
  <c r="X109" i="14"/>
  <c r="W109" i="14"/>
  <c r="V109" i="14"/>
  <c r="U109" i="14"/>
  <c r="T109" i="14"/>
  <c r="S109" i="14"/>
  <c r="Q109" i="14"/>
  <c r="O109" i="14"/>
  <c r="M109" i="14"/>
  <c r="K109" i="14"/>
  <c r="X108" i="14"/>
  <c r="W108" i="14"/>
  <c r="V108" i="14"/>
  <c r="U108" i="14"/>
  <c r="T108" i="14"/>
  <c r="S108" i="14"/>
  <c r="Q108" i="14"/>
  <c r="O108" i="14"/>
  <c r="M108" i="14"/>
  <c r="K108" i="14"/>
  <c r="X107" i="14"/>
  <c r="W107" i="14"/>
  <c r="V107" i="14"/>
  <c r="U107" i="14"/>
  <c r="T107" i="14"/>
  <c r="S107" i="14"/>
  <c r="Q107" i="14"/>
  <c r="O107" i="14"/>
  <c r="M107" i="14"/>
  <c r="K107" i="14"/>
  <c r="X106" i="14"/>
  <c r="W106" i="14"/>
  <c r="V106" i="14"/>
  <c r="U106" i="14"/>
  <c r="T106" i="14"/>
  <c r="S106" i="14"/>
  <c r="Q106" i="14"/>
  <c r="O106" i="14"/>
  <c r="M106" i="14"/>
  <c r="K106" i="14"/>
  <c r="X105" i="14"/>
  <c r="W105" i="14"/>
  <c r="V105" i="14"/>
  <c r="U105" i="14"/>
  <c r="T105" i="14"/>
  <c r="S105" i="14"/>
  <c r="Q105" i="14"/>
  <c r="O105" i="14"/>
  <c r="M105" i="14"/>
  <c r="K105" i="14"/>
  <c r="X104" i="14"/>
  <c r="W104" i="14"/>
  <c r="V104" i="14"/>
  <c r="U104" i="14"/>
  <c r="T104" i="14"/>
  <c r="S104" i="14"/>
  <c r="Q104" i="14"/>
  <c r="O104" i="14"/>
  <c r="M104" i="14"/>
  <c r="K104" i="14"/>
  <c r="X103" i="14"/>
  <c r="W103" i="14"/>
  <c r="V103" i="14"/>
  <c r="U103" i="14"/>
  <c r="T103" i="14"/>
  <c r="S103" i="14"/>
  <c r="Q103" i="14"/>
  <c r="O103" i="14"/>
  <c r="M103" i="14"/>
  <c r="K103" i="14"/>
  <c r="X102" i="14"/>
  <c r="W102" i="14"/>
  <c r="V102" i="14"/>
  <c r="U102" i="14"/>
  <c r="T102" i="14"/>
  <c r="S102" i="14"/>
  <c r="Q102" i="14"/>
  <c r="O102" i="14"/>
  <c r="M102" i="14"/>
  <c r="K102" i="14"/>
  <c r="X101" i="14"/>
  <c r="W101" i="14"/>
  <c r="V101" i="14"/>
  <c r="U101" i="14"/>
  <c r="T101" i="14"/>
  <c r="S101" i="14"/>
  <c r="Q101" i="14"/>
  <c r="O101" i="14"/>
  <c r="M101" i="14"/>
  <c r="K101" i="14"/>
  <c r="X100" i="14"/>
  <c r="W100" i="14"/>
  <c r="V100" i="14"/>
  <c r="U100" i="14"/>
  <c r="T100" i="14"/>
  <c r="S100" i="14"/>
  <c r="Q100" i="14"/>
  <c r="O100" i="14"/>
  <c r="M100" i="14"/>
  <c r="K100" i="14"/>
  <c r="X99" i="14"/>
  <c r="W99" i="14"/>
  <c r="V99" i="14"/>
  <c r="U99" i="14"/>
  <c r="T99" i="14"/>
  <c r="S99" i="14"/>
  <c r="Q99" i="14"/>
  <c r="O99" i="14"/>
  <c r="M99" i="14"/>
  <c r="K99" i="14"/>
  <c r="X98" i="14"/>
  <c r="W98" i="14"/>
  <c r="V98" i="14"/>
  <c r="U98" i="14"/>
  <c r="T98" i="14"/>
  <c r="S98" i="14"/>
  <c r="Q98" i="14"/>
  <c r="O98" i="14"/>
  <c r="M98" i="14"/>
  <c r="K98" i="14"/>
  <c r="X97" i="14"/>
  <c r="W97" i="14"/>
  <c r="V97" i="14"/>
  <c r="U97" i="14"/>
  <c r="T97" i="14"/>
  <c r="S97" i="14"/>
  <c r="Q97" i="14"/>
  <c r="O97" i="14"/>
  <c r="M97" i="14"/>
  <c r="K97" i="14"/>
  <c r="X96" i="14"/>
  <c r="W96" i="14"/>
  <c r="V96" i="14"/>
  <c r="U96" i="14"/>
  <c r="T96" i="14"/>
  <c r="S96" i="14"/>
  <c r="Q96" i="14"/>
  <c r="O96" i="14"/>
  <c r="M96" i="14"/>
  <c r="K96" i="14"/>
  <c r="X95" i="14"/>
  <c r="W95" i="14"/>
  <c r="V95" i="14"/>
  <c r="U95" i="14"/>
  <c r="T95" i="14"/>
  <c r="S95" i="14"/>
  <c r="Q95" i="14"/>
  <c r="O95" i="14"/>
  <c r="M95" i="14"/>
  <c r="K95" i="14"/>
  <c r="X94" i="14"/>
  <c r="W94" i="14"/>
  <c r="V94" i="14"/>
  <c r="U94" i="14"/>
  <c r="T94" i="14"/>
  <c r="S94" i="14"/>
  <c r="Q94" i="14"/>
  <c r="O94" i="14"/>
  <c r="M94" i="14"/>
  <c r="K94" i="14"/>
  <c r="X93" i="14"/>
  <c r="W93" i="14"/>
  <c r="V93" i="14"/>
  <c r="U93" i="14"/>
  <c r="T93" i="14"/>
  <c r="S93" i="14"/>
  <c r="Q93" i="14"/>
  <c r="O93" i="14"/>
  <c r="M93" i="14"/>
  <c r="K93" i="14"/>
  <c r="X92" i="14"/>
  <c r="W92" i="14"/>
  <c r="V92" i="14"/>
  <c r="U92" i="14"/>
  <c r="T92" i="14"/>
  <c r="S92" i="14"/>
  <c r="Q92" i="14"/>
  <c r="O92" i="14"/>
  <c r="M92" i="14"/>
  <c r="K92" i="14"/>
  <c r="X91" i="14"/>
  <c r="W91" i="14"/>
  <c r="V91" i="14"/>
  <c r="U91" i="14"/>
  <c r="T91" i="14"/>
  <c r="S91" i="14"/>
  <c r="Q91" i="14"/>
  <c r="O91" i="14"/>
  <c r="M91" i="14"/>
  <c r="K91" i="14"/>
  <c r="X90" i="14"/>
  <c r="W90" i="14"/>
  <c r="V90" i="14"/>
  <c r="U90" i="14"/>
  <c r="T90" i="14"/>
  <c r="S90" i="14"/>
  <c r="Q90" i="14"/>
  <c r="O90" i="14"/>
  <c r="M90" i="14"/>
  <c r="K90" i="14"/>
  <c r="X89" i="14"/>
  <c r="W89" i="14"/>
  <c r="V89" i="14"/>
  <c r="U89" i="14"/>
  <c r="T89" i="14"/>
  <c r="S89" i="14"/>
  <c r="Q89" i="14"/>
  <c r="O89" i="14"/>
  <c r="M89" i="14"/>
  <c r="K89" i="14"/>
  <c r="X88" i="14"/>
  <c r="W88" i="14"/>
  <c r="V88" i="14"/>
  <c r="U88" i="14"/>
  <c r="T88" i="14"/>
  <c r="S88" i="14"/>
  <c r="Q88" i="14"/>
  <c r="O88" i="14"/>
  <c r="M88" i="14"/>
  <c r="K88" i="14"/>
  <c r="X87" i="14"/>
  <c r="W87" i="14"/>
  <c r="V87" i="14"/>
  <c r="U87" i="14"/>
  <c r="T87" i="14"/>
  <c r="S87" i="14"/>
  <c r="Q87" i="14"/>
  <c r="O87" i="14"/>
  <c r="M87" i="14"/>
  <c r="K87" i="14"/>
  <c r="X86" i="14"/>
  <c r="W86" i="14"/>
  <c r="V86" i="14"/>
  <c r="U86" i="14"/>
  <c r="T86" i="14"/>
  <c r="S86" i="14"/>
  <c r="Q86" i="14"/>
  <c r="O86" i="14"/>
  <c r="M86" i="14"/>
  <c r="K86" i="14"/>
  <c r="X85" i="14"/>
  <c r="W85" i="14"/>
  <c r="V85" i="14"/>
  <c r="U85" i="14"/>
  <c r="T85" i="14"/>
  <c r="S85" i="14"/>
  <c r="Q85" i="14"/>
  <c r="O85" i="14"/>
  <c r="M85" i="14"/>
  <c r="K85" i="14"/>
  <c r="X84" i="14"/>
  <c r="W84" i="14"/>
  <c r="V84" i="14"/>
  <c r="U84" i="14"/>
  <c r="T84" i="14"/>
  <c r="S84" i="14"/>
  <c r="Q84" i="14"/>
  <c r="O84" i="14"/>
  <c r="M84" i="14"/>
  <c r="K84" i="14"/>
  <c r="X83" i="14"/>
  <c r="W83" i="14"/>
  <c r="V83" i="14"/>
  <c r="U83" i="14"/>
  <c r="T83" i="14"/>
  <c r="S83" i="14"/>
  <c r="Q83" i="14"/>
  <c r="O83" i="14"/>
  <c r="M83" i="14"/>
  <c r="K83" i="14"/>
  <c r="X82" i="14"/>
  <c r="W82" i="14"/>
  <c r="V82" i="14"/>
  <c r="U82" i="14"/>
  <c r="T82" i="14"/>
  <c r="S82" i="14"/>
  <c r="Q82" i="14"/>
  <c r="O82" i="14"/>
  <c r="M82" i="14"/>
  <c r="K82" i="14"/>
  <c r="X81" i="14"/>
  <c r="W81" i="14"/>
  <c r="V81" i="14"/>
  <c r="U81" i="14"/>
  <c r="T81" i="14"/>
  <c r="S81" i="14"/>
  <c r="Q81" i="14"/>
  <c r="O81" i="14"/>
  <c r="M81" i="14"/>
  <c r="K81" i="14"/>
  <c r="X80" i="14"/>
  <c r="W80" i="14"/>
  <c r="V80" i="14"/>
  <c r="U80" i="14"/>
  <c r="T80" i="14"/>
  <c r="S80" i="14"/>
  <c r="Q80" i="14"/>
  <c r="O80" i="14"/>
  <c r="M80" i="14"/>
  <c r="K80" i="14"/>
  <c r="X79" i="14"/>
  <c r="W79" i="14"/>
  <c r="V79" i="14"/>
  <c r="U79" i="14"/>
  <c r="T79" i="14"/>
  <c r="S79" i="14"/>
  <c r="Q79" i="14"/>
  <c r="O79" i="14"/>
  <c r="M79" i="14"/>
  <c r="K79" i="14"/>
  <c r="X78" i="14"/>
  <c r="W78" i="14"/>
  <c r="V78" i="14"/>
  <c r="U78" i="14"/>
  <c r="T78" i="14"/>
  <c r="S78" i="14"/>
  <c r="Q78" i="14"/>
  <c r="O78" i="14"/>
  <c r="M78" i="14"/>
  <c r="K78" i="14"/>
  <c r="X77" i="14"/>
  <c r="W77" i="14"/>
  <c r="V77" i="14"/>
  <c r="U77" i="14"/>
  <c r="T77" i="14"/>
  <c r="S77" i="14"/>
  <c r="Q77" i="14"/>
  <c r="O77" i="14"/>
  <c r="M77" i="14"/>
  <c r="K77" i="14"/>
  <c r="X76" i="14"/>
  <c r="W76" i="14"/>
  <c r="V76" i="14"/>
  <c r="U76" i="14"/>
  <c r="T76" i="14"/>
  <c r="S76" i="14"/>
  <c r="Q76" i="14"/>
  <c r="O76" i="14"/>
  <c r="M76" i="14"/>
  <c r="K76" i="14"/>
  <c r="X75" i="14"/>
  <c r="W75" i="14"/>
  <c r="V75" i="14"/>
  <c r="U75" i="14"/>
  <c r="T75" i="14"/>
  <c r="S75" i="14"/>
  <c r="Q75" i="14"/>
  <c r="O75" i="14"/>
  <c r="M75" i="14"/>
  <c r="K75" i="14"/>
  <c r="X74" i="14"/>
  <c r="W74" i="14"/>
  <c r="V74" i="14"/>
  <c r="U74" i="14"/>
  <c r="T74" i="14"/>
  <c r="S74" i="14"/>
  <c r="Q74" i="14"/>
  <c r="O74" i="14"/>
  <c r="M74" i="14"/>
  <c r="K74" i="14"/>
  <c r="X73" i="14"/>
  <c r="W73" i="14"/>
  <c r="V73" i="14"/>
  <c r="U73" i="14"/>
  <c r="T73" i="14"/>
  <c r="S73" i="14"/>
  <c r="Q73" i="14"/>
  <c r="O73" i="14"/>
  <c r="M73" i="14"/>
  <c r="K73" i="14"/>
  <c r="X72" i="14"/>
  <c r="W72" i="14"/>
  <c r="V72" i="14"/>
  <c r="U72" i="14"/>
  <c r="T72" i="14"/>
  <c r="S72" i="14"/>
  <c r="Q72" i="14"/>
  <c r="O72" i="14"/>
  <c r="M72" i="14"/>
  <c r="K72" i="14"/>
  <c r="X71" i="14"/>
  <c r="W71" i="14"/>
  <c r="V71" i="14"/>
  <c r="U71" i="14"/>
  <c r="T71" i="14"/>
  <c r="S71" i="14"/>
  <c r="Q71" i="14"/>
  <c r="O71" i="14"/>
  <c r="M71" i="14"/>
  <c r="K71" i="14"/>
  <c r="X70" i="14"/>
  <c r="W70" i="14"/>
  <c r="V70" i="14"/>
  <c r="U70" i="14"/>
  <c r="T70" i="14"/>
  <c r="S70" i="14"/>
  <c r="Q70" i="14"/>
  <c r="O70" i="14"/>
  <c r="M70" i="14"/>
  <c r="K70" i="14"/>
  <c r="X69" i="14"/>
  <c r="W69" i="14"/>
  <c r="V69" i="14"/>
  <c r="U69" i="14"/>
  <c r="T69" i="14"/>
  <c r="S69" i="14"/>
  <c r="Q69" i="14"/>
  <c r="O69" i="14"/>
  <c r="M69" i="14"/>
  <c r="K69" i="14"/>
  <c r="X68" i="14"/>
  <c r="W68" i="14"/>
  <c r="V68" i="14"/>
  <c r="U68" i="14"/>
  <c r="T68" i="14"/>
  <c r="S68" i="14"/>
  <c r="Q68" i="14"/>
  <c r="O68" i="14"/>
  <c r="M68" i="14"/>
  <c r="K68" i="14"/>
  <c r="X67" i="14"/>
  <c r="W67" i="14"/>
  <c r="V67" i="14"/>
  <c r="U67" i="14"/>
  <c r="T67" i="14"/>
  <c r="S67" i="14"/>
  <c r="Q67" i="14"/>
  <c r="O67" i="14"/>
  <c r="M67" i="14"/>
  <c r="K67" i="14"/>
  <c r="X66" i="14"/>
  <c r="W66" i="14"/>
  <c r="V66" i="14"/>
  <c r="U66" i="14"/>
  <c r="T66" i="14"/>
  <c r="S66" i="14"/>
  <c r="Q66" i="14"/>
  <c r="O66" i="14"/>
  <c r="M66" i="14"/>
  <c r="K66" i="14"/>
  <c r="X65" i="14"/>
  <c r="W65" i="14"/>
  <c r="V65" i="14"/>
  <c r="U65" i="14"/>
  <c r="T65" i="14"/>
  <c r="S65" i="14"/>
  <c r="Q65" i="14"/>
  <c r="O65" i="14"/>
  <c r="M65" i="14"/>
  <c r="K65" i="14"/>
  <c r="X64" i="14"/>
  <c r="W64" i="14"/>
  <c r="V64" i="14"/>
  <c r="U64" i="14"/>
  <c r="T64" i="14"/>
  <c r="S64" i="14"/>
  <c r="Q64" i="14"/>
  <c r="O64" i="14"/>
  <c r="M64" i="14"/>
  <c r="K64" i="14"/>
  <c r="X63" i="14"/>
  <c r="W63" i="14"/>
  <c r="V63" i="14"/>
  <c r="U63" i="14"/>
  <c r="T63" i="14"/>
  <c r="S63" i="14"/>
  <c r="Q63" i="14"/>
  <c r="O63" i="14"/>
  <c r="M63" i="14"/>
  <c r="K63" i="14"/>
  <c r="X62" i="14"/>
  <c r="W62" i="14"/>
  <c r="V62" i="14"/>
  <c r="U62" i="14"/>
  <c r="T62" i="14"/>
  <c r="S62" i="14"/>
  <c r="Q62" i="14"/>
  <c r="O62" i="14"/>
  <c r="M62" i="14"/>
  <c r="K62" i="14"/>
  <c r="X61" i="14"/>
  <c r="W61" i="14"/>
  <c r="V61" i="14"/>
  <c r="U61" i="14"/>
  <c r="T61" i="14"/>
  <c r="S61" i="14"/>
  <c r="Q61" i="14"/>
  <c r="O61" i="14"/>
  <c r="M61" i="14"/>
  <c r="K61" i="14"/>
  <c r="X60" i="14"/>
  <c r="W60" i="14"/>
  <c r="V60" i="14"/>
  <c r="U60" i="14"/>
  <c r="T60" i="14"/>
  <c r="S60" i="14"/>
  <c r="Q60" i="14"/>
  <c r="O60" i="14"/>
  <c r="M60" i="14"/>
  <c r="K60" i="14"/>
  <c r="X59" i="14"/>
  <c r="W59" i="14"/>
  <c r="V59" i="14"/>
  <c r="U59" i="14"/>
  <c r="T59" i="14"/>
  <c r="S59" i="14"/>
  <c r="Q59" i="14"/>
  <c r="O59" i="14"/>
  <c r="M59" i="14"/>
  <c r="K59" i="14"/>
  <c r="X58" i="14"/>
  <c r="W58" i="14"/>
  <c r="V58" i="14"/>
  <c r="U58" i="14"/>
  <c r="T58" i="14"/>
  <c r="S58" i="14"/>
  <c r="Q58" i="14"/>
  <c r="O58" i="14"/>
  <c r="M58" i="14"/>
  <c r="K58" i="14"/>
  <c r="X57" i="14"/>
  <c r="W57" i="14"/>
  <c r="V57" i="14"/>
  <c r="U57" i="14"/>
  <c r="T57" i="14"/>
  <c r="S57" i="14"/>
  <c r="Q57" i="14"/>
  <c r="O57" i="14"/>
  <c r="M57" i="14"/>
  <c r="K57" i="14"/>
  <c r="X56" i="14"/>
  <c r="W56" i="14"/>
  <c r="V56" i="14"/>
  <c r="U56" i="14"/>
  <c r="T56" i="14"/>
  <c r="S56" i="14"/>
  <c r="Q56" i="14"/>
  <c r="O56" i="14"/>
  <c r="M56" i="14"/>
  <c r="K56" i="14"/>
  <c r="X55" i="14"/>
  <c r="W55" i="14"/>
  <c r="V55" i="14"/>
  <c r="U55" i="14"/>
  <c r="T55" i="14"/>
  <c r="S55" i="14"/>
  <c r="Q55" i="14"/>
  <c r="O55" i="14"/>
  <c r="M55" i="14"/>
  <c r="K55" i="14"/>
  <c r="X54" i="14"/>
  <c r="W54" i="14"/>
  <c r="V54" i="14"/>
  <c r="U54" i="14"/>
  <c r="T54" i="14"/>
  <c r="S54" i="14"/>
  <c r="Q54" i="14"/>
  <c r="O54" i="14"/>
  <c r="M54" i="14"/>
  <c r="K54" i="14"/>
  <c r="X53" i="14"/>
  <c r="W53" i="14"/>
  <c r="V53" i="14"/>
  <c r="U53" i="14"/>
  <c r="T53" i="14"/>
  <c r="S53" i="14"/>
  <c r="Q53" i="14"/>
  <c r="O53" i="14"/>
  <c r="M53" i="14"/>
  <c r="K53" i="14"/>
  <c r="X52" i="14"/>
  <c r="W52" i="14"/>
  <c r="V52" i="14"/>
  <c r="U52" i="14"/>
  <c r="T52" i="14"/>
  <c r="S52" i="14"/>
  <c r="Q52" i="14"/>
  <c r="O52" i="14"/>
  <c r="M52" i="14"/>
  <c r="K52" i="14"/>
  <c r="X51" i="14"/>
  <c r="W51" i="14"/>
  <c r="V51" i="14"/>
  <c r="U51" i="14"/>
  <c r="T51" i="14"/>
  <c r="S51" i="14"/>
  <c r="Q51" i="14"/>
  <c r="O51" i="14"/>
  <c r="M51" i="14"/>
  <c r="K51" i="14"/>
  <c r="X50" i="14"/>
  <c r="W50" i="14"/>
  <c r="V50" i="14"/>
  <c r="U50" i="14"/>
  <c r="T50" i="14"/>
  <c r="S50" i="14"/>
  <c r="Q50" i="14"/>
  <c r="O50" i="14"/>
  <c r="M50" i="14"/>
  <c r="K50" i="14"/>
  <c r="X49" i="14"/>
  <c r="W49" i="14"/>
  <c r="V49" i="14"/>
  <c r="U49" i="14"/>
  <c r="T49" i="14"/>
  <c r="S49" i="14"/>
  <c r="Q49" i="14"/>
  <c r="O49" i="14"/>
  <c r="M49" i="14"/>
  <c r="K49" i="14"/>
  <c r="X48" i="14"/>
  <c r="W48" i="14"/>
  <c r="V48" i="14"/>
  <c r="U48" i="14"/>
  <c r="T48" i="14"/>
  <c r="S48" i="14"/>
  <c r="Q48" i="14"/>
  <c r="O48" i="14"/>
  <c r="M48" i="14"/>
  <c r="K48" i="14"/>
  <c r="X47" i="14"/>
  <c r="W47" i="14"/>
  <c r="V47" i="14"/>
  <c r="U47" i="14"/>
  <c r="T47" i="14"/>
  <c r="S47" i="14"/>
  <c r="Q47" i="14"/>
  <c r="O47" i="14"/>
  <c r="M47" i="14"/>
  <c r="K47" i="14"/>
  <c r="X46" i="14"/>
  <c r="W46" i="14"/>
  <c r="V46" i="14"/>
  <c r="U46" i="14"/>
  <c r="T46" i="14"/>
  <c r="S46" i="14"/>
  <c r="Q46" i="14"/>
  <c r="O46" i="14"/>
  <c r="M46" i="14"/>
  <c r="K46" i="14"/>
  <c r="X45" i="14"/>
  <c r="W45" i="14"/>
  <c r="V45" i="14"/>
  <c r="U45" i="14"/>
  <c r="T45" i="14"/>
  <c r="S45" i="14"/>
  <c r="Q45" i="14"/>
  <c r="O45" i="14"/>
  <c r="M45" i="14"/>
  <c r="K45" i="14"/>
  <c r="X44" i="14"/>
  <c r="W44" i="14"/>
  <c r="V44" i="14"/>
  <c r="U44" i="14"/>
  <c r="T44" i="14"/>
  <c r="S44" i="14"/>
  <c r="Q44" i="14"/>
  <c r="O44" i="14"/>
  <c r="M44" i="14"/>
  <c r="K44" i="14"/>
  <c r="X43" i="14"/>
  <c r="W43" i="14"/>
  <c r="V43" i="14"/>
  <c r="U43" i="14"/>
  <c r="T43" i="14"/>
  <c r="S43" i="14"/>
  <c r="Q43" i="14"/>
  <c r="O43" i="14"/>
  <c r="M43" i="14"/>
  <c r="K43" i="14"/>
  <c r="X42" i="14"/>
  <c r="W42" i="14"/>
  <c r="V42" i="14"/>
  <c r="U42" i="14"/>
  <c r="T42" i="14"/>
  <c r="S42" i="14"/>
  <c r="Q42" i="14"/>
  <c r="O42" i="14"/>
  <c r="M42" i="14"/>
  <c r="K42" i="14"/>
  <c r="X41" i="14"/>
  <c r="W41" i="14"/>
  <c r="V41" i="14"/>
  <c r="U41" i="14"/>
  <c r="T41" i="14"/>
  <c r="S41" i="14"/>
  <c r="Q41" i="14"/>
  <c r="O41" i="14"/>
  <c r="M41" i="14"/>
  <c r="K41" i="14"/>
  <c r="X40" i="14"/>
  <c r="W40" i="14"/>
  <c r="V40" i="14"/>
  <c r="U40" i="14"/>
  <c r="T40" i="14"/>
  <c r="S40" i="14"/>
  <c r="Q40" i="14"/>
  <c r="O40" i="14"/>
  <c r="M40" i="14"/>
  <c r="K40" i="14"/>
  <c r="X39" i="14"/>
  <c r="W39" i="14"/>
  <c r="V39" i="14"/>
  <c r="U39" i="14"/>
  <c r="T39" i="14"/>
  <c r="S39" i="14"/>
  <c r="Q39" i="14"/>
  <c r="O39" i="14"/>
  <c r="M39" i="14"/>
  <c r="K39" i="14"/>
  <c r="X38" i="14"/>
  <c r="W38" i="14"/>
  <c r="V38" i="14"/>
  <c r="U38" i="14"/>
  <c r="T38" i="14"/>
  <c r="S38" i="14"/>
  <c r="Q38" i="14"/>
  <c r="O38" i="14"/>
  <c r="M38" i="14"/>
  <c r="K38" i="14"/>
  <c r="X37" i="14"/>
  <c r="W37" i="14"/>
  <c r="V37" i="14"/>
  <c r="U37" i="14"/>
  <c r="T37" i="14"/>
  <c r="S37" i="14"/>
  <c r="Q37" i="14"/>
  <c r="O37" i="14"/>
  <c r="M37" i="14"/>
  <c r="K37" i="14"/>
  <c r="X36" i="14"/>
  <c r="W36" i="14"/>
  <c r="V36" i="14"/>
  <c r="U36" i="14"/>
  <c r="T36" i="14"/>
  <c r="S36" i="14"/>
  <c r="Q36" i="14"/>
  <c r="O36" i="14"/>
  <c r="M36" i="14"/>
  <c r="K36" i="14"/>
  <c r="X35" i="14"/>
  <c r="W35" i="14"/>
  <c r="V35" i="14"/>
  <c r="U35" i="14"/>
  <c r="T35" i="14"/>
  <c r="S35" i="14"/>
  <c r="Q35" i="14"/>
  <c r="O35" i="14"/>
  <c r="M35" i="14"/>
  <c r="K35" i="14"/>
  <c r="X34" i="14"/>
  <c r="W34" i="14"/>
  <c r="V34" i="14"/>
  <c r="U34" i="14"/>
  <c r="T34" i="14"/>
  <c r="S34" i="14"/>
  <c r="Q34" i="14"/>
  <c r="O34" i="14"/>
  <c r="M34" i="14"/>
  <c r="K34" i="14"/>
  <c r="X33" i="14"/>
  <c r="W33" i="14"/>
  <c r="V33" i="14"/>
  <c r="U33" i="14"/>
  <c r="T33" i="14"/>
  <c r="S33" i="14"/>
  <c r="Q33" i="14"/>
  <c r="O33" i="14"/>
  <c r="M33" i="14"/>
  <c r="K33" i="14"/>
  <c r="X32" i="14"/>
  <c r="W32" i="14"/>
  <c r="V32" i="14"/>
  <c r="U32" i="14"/>
  <c r="T32" i="14"/>
  <c r="S32" i="14"/>
  <c r="Q32" i="14"/>
  <c r="O32" i="14"/>
  <c r="M32" i="14"/>
  <c r="K32" i="14"/>
  <c r="X31" i="14"/>
  <c r="W31" i="14"/>
  <c r="V31" i="14"/>
  <c r="U31" i="14"/>
  <c r="T31" i="14"/>
  <c r="S31" i="14"/>
  <c r="Q31" i="14"/>
  <c r="O31" i="14"/>
  <c r="M31" i="14"/>
  <c r="K31" i="14"/>
  <c r="X30" i="14"/>
  <c r="W30" i="14"/>
  <c r="V30" i="14"/>
  <c r="U30" i="14"/>
  <c r="T30" i="14"/>
  <c r="S30" i="14"/>
  <c r="Q30" i="14"/>
  <c r="O30" i="14"/>
  <c r="M30" i="14"/>
  <c r="K30" i="14"/>
  <c r="X29" i="14"/>
  <c r="W29" i="14"/>
  <c r="V29" i="14"/>
  <c r="U29" i="14"/>
  <c r="T29" i="14"/>
  <c r="S29" i="14"/>
  <c r="Q29" i="14"/>
  <c r="O29" i="14"/>
  <c r="M29" i="14"/>
  <c r="K29" i="14"/>
  <c r="X28" i="14"/>
  <c r="W28" i="14"/>
  <c r="V28" i="14"/>
  <c r="U28" i="14"/>
  <c r="T28" i="14"/>
  <c r="S28" i="14"/>
  <c r="Q28" i="14"/>
  <c r="O28" i="14"/>
  <c r="M28" i="14"/>
  <c r="K28" i="14"/>
  <c r="X27" i="14"/>
  <c r="W27" i="14"/>
  <c r="V27" i="14"/>
  <c r="U27" i="14"/>
  <c r="T27" i="14"/>
  <c r="S27" i="14"/>
  <c r="Q27" i="14"/>
  <c r="O27" i="14"/>
  <c r="M27" i="14"/>
  <c r="K27" i="14"/>
  <c r="X26" i="14"/>
  <c r="W26" i="14"/>
  <c r="V26" i="14"/>
  <c r="U26" i="14"/>
  <c r="T26" i="14"/>
  <c r="S26" i="14"/>
  <c r="Q26" i="14"/>
  <c r="O26" i="14"/>
  <c r="M26" i="14"/>
  <c r="K26" i="14"/>
  <c r="X25" i="14"/>
  <c r="W25" i="14"/>
  <c r="V25" i="14"/>
  <c r="U25" i="14"/>
  <c r="T25" i="14"/>
  <c r="S25" i="14"/>
  <c r="Q25" i="14"/>
  <c r="O25" i="14"/>
  <c r="M25" i="14"/>
  <c r="K25" i="14"/>
  <c r="X24" i="14"/>
  <c r="W24" i="14"/>
  <c r="V24" i="14"/>
  <c r="U24" i="14"/>
  <c r="T24" i="14"/>
  <c r="S24" i="14"/>
  <c r="Q24" i="14"/>
  <c r="O24" i="14"/>
  <c r="M24" i="14"/>
  <c r="K24" i="14"/>
  <c r="X23" i="14"/>
  <c r="W23" i="14"/>
  <c r="V23" i="14"/>
  <c r="U23" i="14"/>
  <c r="T23" i="14"/>
  <c r="S23" i="14"/>
  <c r="Q23" i="14"/>
  <c r="O23" i="14"/>
  <c r="M23" i="14"/>
  <c r="K23" i="14"/>
  <c r="X22" i="14"/>
  <c r="W22" i="14"/>
  <c r="V22" i="14"/>
  <c r="U22" i="14"/>
  <c r="T22" i="14"/>
  <c r="S22" i="14"/>
  <c r="Q22" i="14"/>
  <c r="O22" i="14"/>
  <c r="M22" i="14"/>
  <c r="K22" i="14"/>
  <c r="X21" i="14"/>
  <c r="W21" i="14"/>
  <c r="V21" i="14"/>
  <c r="U21" i="14"/>
  <c r="T21" i="14"/>
  <c r="S21" i="14"/>
  <c r="Q21" i="14"/>
  <c r="O21" i="14"/>
  <c r="M21" i="14"/>
  <c r="K21" i="14"/>
  <c r="X20" i="14"/>
  <c r="W20" i="14"/>
  <c r="V20" i="14"/>
  <c r="U20" i="14"/>
  <c r="T20" i="14"/>
  <c r="S20" i="14"/>
  <c r="Q20" i="14"/>
  <c r="O20" i="14"/>
  <c r="M20" i="14"/>
  <c r="K20" i="14"/>
  <c r="X19" i="14"/>
  <c r="W19" i="14"/>
  <c r="V19" i="14"/>
  <c r="U19" i="14"/>
  <c r="T19" i="14"/>
  <c r="S19" i="14"/>
  <c r="Q19" i="14"/>
  <c r="O19" i="14"/>
  <c r="M19" i="14"/>
  <c r="K19" i="14"/>
  <c r="X18" i="14"/>
  <c r="W18" i="14"/>
  <c r="V18" i="14"/>
  <c r="U18" i="14"/>
  <c r="T18" i="14"/>
  <c r="S18" i="14"/>
  <c r="Q18" i="14"/>
  <c r="O18" i="14"/>
  <c r="M18" i="14"/>
  <c r="K18" i="14"/>
  <c r="X17" i="14"/>
  <c r="W17" i="14"/>
  <c r="V17" i="14"/>
  <c r="U17" i="14"/>
  <c r="T17" i="14"/>
  <c r="S17" i="14"/>
  <c r="Q17" i="14"/>
  <c r="O17" i="14"/>
  <c r="M17" i="14"/>
  <c r="K17" i="14"/>
  <c r="X16" i="14"/>
  <c r="W16" i="14"/>
  <c r="V16" i="14"/>
  <c r="U16" i="14"/>
  <c r="T16" i="14"/>
  <c r="S16" i="14"/>
  <c r="Q16" i="14"/>
  <c r="O16" i="14"/>
  <c r="M16" i="14"/>
  <c r="K16" i="14"/>
  <c r="X15" i="14"/>
  <c r="W15" i="14"/>
  <c r="V15" i="14"/>
  <c r="U15" i="14"/>
  <c r="T15" i="14"/>
  <c r="S15" i="14"/>
  <c r="Q15" i="14"/>
  <c r="O15" i="14"/>
  <c r="M15" i="14"/>
  <c r="K15" i="14"/>
  <c r="X14" i="14"/>
  <c r="W14" i="14"/>
  <c r="V14" i="14"/>
  <c r="U14" i="14"/>
  <c r="T14" i="14"/>
  <c r="S14" i="14"/>
  <c r="Q14" i="14"/>
  <c r="O14" i="14"/>
  <c r="M14" i="14"/>
  <c r="K14" i="14"/>
  <c r="X13" i="14"/>
  <c r="W13" i="14"/>
  <c r="V13" i="14"/>
  <c r="U13" i="14"/>
  <c r="T13" i="14"/>
  <c r="S13" i="14"/>
  <c r="Q13" i="14"/>
  <c r="O13" i="14"/>
  <c r="M13" i="14"/>
  <c r="K13" i="14"/>
  <c r="X12" i="14"/>
  <c r="W12" i="14"/>
  <c r="V12" i="14"/>
  <c r="U12" i="14"/>
  <c r="T12" i="14"/>
  <c r="S12" i="14"/>
  <c r="Q12" i="14"/>
  <c r="O12" i="14"/>
  <c r="M12" i="14"/>
  <c r="K12" i="14"/>
  <c r="X11" i="14"/>
  <c r="W11" i="14"/>
  <c r="V11" i="14"/>
  <c r="U11" i="14"/>
  <c r="T11" i="14"/>
  <c r="S11" i="14"/>
  <c r="Q11" i="14"/>
  <c r="O11" i="14"/>
  <c r="M11" i="14"/>
  <c r="K11" i="14"/>
  <c r="X10" i="14"/>
  <c r="W10" i="14"/>
  <c r="V10" i="14"/>
  <c r="U10" i="14"/>
  <c r="T10" i="14"/>
  <c r="S10" i="14"/>
  <c r="Q10" i="14"/>
  <c r="O10" i="14"/>
  <c r="M10" i="14"/>
  <c r="K10" i="14"/>
  <c r="X9" i="14"/>
  <c r="W9" i="14"/>
  <c r="V9" i="14"/>
  <c r="U9" i="14"/>
  <c r="T9" i="14"/>
  <c r="S9" i="14"/>
  <c r="Q9" i="14"/>
  <c r="O9" i="14"/>
  <c r="M9" i="14"/>
  <c r="K9" i="14"/>
  <c r="X8" i="14"/>
  <c r="W8" i="14"/>
  <c r="V8" i="14"/>
  <c r="U8" i="14"/>
  <c r="T8" i="14"/>
  <c r="S8" i="14"/>
  <c r="Q8" i="14"/>
  <c r="O8" i="14"/>
  <c r="M8" i="14"/>
  <c r="K8" i="14"/>
  <c r="X7" i="14"/>
  <c r="W7" i="14"/>
  <c r="V7" i="14"/>
  <c r="U7" i="14"/>
  <c r="T7" i="14"/>
  <c r="S7" i="14"/>
  <c r="Q7" i="14"/>
  <c r="O7" i="14"/>
  <c r="M7" i="14"/>
  <c r="K7" i="14"/>
  <c r="X283" i="12"/>
  <c r="W283" i="12"/>
  <c r="V283" i="12"/>
  <c r="U283" i="12"/>
  <c r="T283" i="12"/>
  <c r="S283" i="12"/>
  <c r="Q283" i="12"/>
  <c r="O283" i="12"/>
  <c r="M283" i="12"/>
  <c r="K283" i="12"/>
  <c r="X282" i="12"/>
  <c r="W282" i="12"/>
  <c r="V282" i="12"/>
  <c r="U282" i="12"/>
  <c r="T282" i="12"/>
  <c r="S282" i="12"/>
  <c r="Q282" i="12"/>
  <c r="O282" i="12"/>
  <c r="M282" i="12"/>
  <c r="K282" i="12"/>
  <c r="X281" i="12"/>
  <c r="W281" i="12"/>
  <c r="V281" i="12"/>
  <c r="U281" i="12"/>
  <c r="T281" i="12"/>
  <c r="S281" i="12"/>
  <c r="Q281" i="12"/>
  <c r="O281" i="12"/>
  <c r="M281" i="12"/>
  <c r="K281" i="12"/>
  <c r="X280" i="12"/>
  <c r="W280" i="12"/>
  <c r="V280" i="12"/>
  <c r="U280" i="12"/>
  <c r="T280" i="12"/>
  <c r="S280" i="12"/>
  <c r="Q280" i="12"/>
  <c r="O280" i="12"/>
  <c r="M280" i="12"/>
  <c r="K280" i="12"/>
  <c r="X279" i="12"/>
  <c r="W279" i="12"/>
  <c r="V279" i="12"/>
  <c r="U279" i="12"/>
  <c r="T279" i="12"/>
  <c r="S279" i="12"/>
  <c r="Q279" i="12"/>
  <c r="O279" i="12"/>
  <c r="M279" i="12"/>
  <c r="K279" i="12"/>
  <c r="X278" i="12"/>
  <c r="W278" i="12"/>
  <c r="V278" i="12"/>
  <c r="U278" i="12"/>
  <c r="T278" i="12"/>
  <c r="S278" i="12"/>
  <c r="Q278" i="12"/>
  <c r="O278" i="12"/>
  <c r="M278" i="12"/>
  <c r="K278" i="12"/>
  <c r="X277" i="12"/>
  <c r="W277" i="12"/>
  <c r="V277" i="12"/>
  <c r="U277" i="12"/>
  <c r="T277" i="12"/>
  <c r="S277" i="12"/>
  <c r="Q277" i="12"/>
  <c r="O277" i="12"/>
  <c r="M277" i="12"/>
  <c r="K277" i="12"/>
  <c r="X276" i="12"/>
  <c r="W276" i="12"/>
  <c r="V276" i="12"/>
  <c r="U276" i="12"/>
  <c r="T276" i="12"/>
  <c r="S276" i="12"/>
  <c r="Q276" i="12"/>
  <c r="O276" i="12"/>
  <c r="M276" i="12"/>
  <c r="K276" i="12"/>
  <c r="X275" i="12"/>
  <c r="W275" i="12"/>
  <c r="V275" i="12"/>
  <c r="U275" i="12"/>
  <c r="T275" i="12"/>
  <c r="S275" i="12"/>
  <c r="Q275" i="12"/>
  <c r="O275" i="12"/>
  <c r="M275" i="12"/>
  <c r="K275" i="12"/>
  <c r="X274" i="12"/>
  <c r="W274" i="12"/>
  <c r="V274" i="12"/>
  <c r="U274" i="12"/>
  <c r="T274" i="12"/>
  <c r="S274" i="12"/>
  <c r="Q274" i="12"/>
  <c r="O274" i="12"/>
  <c r="M274" i="12"/>
  <c r="K274" i="12"/>
  <c r="X273" i="12"/>
  <c r="W273" i="12"/>
  <c r="V273" i="12"/>
  <c r="U273" i="12"/>
  <c r="T273" i="12"/>
  <c r="S273" i="12"/>
  <c r="Q273" i="12"/>
  <c r="O273" i="12"/>
  <c r="M273" i="12"/>
  <c r="K273" i="12"/>
  <c r="X272" i="12"/>
  <c r="W272" i="12"/>
  <c r="V272" i="12"/>
  <c r="U272" i="12"/>
  <c r="T272" i="12"/>
  <c r="S272" i="12"/>
  <c r="Q272" i="12"/>
  <c r="O272" i="12"/>
  <c r="M272" i="12"/>
  <c r="K272" i="12"/>
  <c r="X271" i="12"/>
  <c r="W271" i="12"/>
  <c r="V271" i="12"/>
  <c r="U271" i="12"/>
  <c r="T271" i="12"/>
  <c r="S271" i="12"/>
  <c r="Q271" i="12"/>
  <c r="O271" i="12"/>
  <c r="M271" i="12"/>
  <c r="K271" i="12"/>
  <c r="X270" i="12"/>
  <c r="W270" i="12"/>
  <c r="V270" i="12"/>
  <c r="U270" i="12"/>
  <c r="T270" i="12"/>
  <c r="S270" i="12"/>
  <c r="Q270" i="12"/>
  <c r="O270" i="12"/>
  <c r="M270" i="12"/>
  <c r="K270" i="12"/>
  <c r="X269" i="12"/>
  <c r="W269" i="12"/>
  <c r="V269" i="12"/>
  <c r="U269" i="12"/>
  <c r="T269" i="12"/>
  <c r="S269" i="12"/>
  <c r="Q269" i="12"/>
  <c r="O269" i="12"/>
  <c r="M269" i="12"/>
  <c r="K269" i="12"/>
  <c r="X268" i="12"/>
  <c r="W268" i="12"/>
  <c r="V268" i="12"/>
  <c r="U268" i="12"/>
  <c r="T268" i="12"/>
  <c r="S268" i="12"/>
  <c r="Q268" i="12"/>
  <c r="O268" i="12"/>
  <c r="M268" i="12"/>
  <c r="K268" i="12"/>
  <c r="X267" i="12"/>
  <c r="W267" i="12"/>
  <c r="V267" i="12"/>
  <c r="U267" i="12"/>
  <c r="T267" i="12"/>
  <c r="S267" i="12"/>
  <c r="Q267" i="12"/>
  <c r="O267" i="12"/>
  <c r="M267" i="12"/>
  <c r="K267" i="12"/>
  <c r="X266" i="12"/>
  <c r="W266" i="12"/>
  <c r="V266" i="12"/>
  <c r="U266" i="12"/>
  <c r="T266" i="12"/>
  <c r="S266" i="12"/>
  <c r="Q266" i="12"/>
  <c r="O266" i="12"/>
  <c r="M266" i="12"/>
  <c r="K266" i="12"/>
  <c r="X265" i="12"/>
  <c r="W265" i="12"/>
  <c r="V265" i="12"/>
  <c r="U265" i="12"/>
  <c r="T265" i="12"/>
  <c r="S265" i="12"/>
  <c r="Q265" i="12"/>
  <c r="O265" i="12"/>
  <c r="M265" i="12"/>
  <c r="K265" i="12"/>
  <c r="X264" i="12"/>
  <c r="W264" i="12"/>
  <c r="V264" i="12"/>
  <c r="U264" i="12"/>
  <c r="T264" i="12"/>
  <c r="S264" i="12"/>
  <c r="Q264" i="12"/>
  <c r="O264" i="12"/>
  <c r="M264" i="12"/>
  <c r="K264" i="12"/>
  <c r="X263" i="12"/>
  <c r="W263" i="12"/>
  <c r="V263" i="12"/>
  <c r="U263" i="12"/>
  <c r="T263" i="12"/>
  <c r="S263" i="12"/>
  <c r="Q263" i="12"/>
  <c r="O263" i="12"/>
  <c r="M263" i="12"/>
  <c r="K263" i="12"/>
  <c r="X262" i="12"/>
  <c r="W262" i="12"/>
  <c r="V262" i="12"/>
  <c r="U262" i="12"/>
  <c r="T262" i="12"/>
  <c r="S262" i="12"/>
  <c r="Q262" i="12"/>
  <c r="O262" i="12"/>
  <c r="M262" i="12"/>
  <c r="K262" i="12"/>
  <c r="X261" i="12"/>
  <c r="W261" i="12"/>
  <c r="V261" i="12"/>
  <c r="U261" i="12"/>
  <c r="T261" i="12"/>
  <c r="S261" i="12"/>
  <c r="Q261" i="12"/>
  <c r="O261" i="12"/>
  <c r="M261" i="12"/>
  <c r="K261" i="12"/>
  <c r="X260" i="12"/>
  <c r="W260" i="12"/>
  <c r="V260" i="12"/>
  <c r="U260" i="12"/>
  <c r="T260" i="12"/>
  <c r="S260" i="12"/>
  <c r="Q260" i="12"/>
  <c r="O260" i="12"/>
  <c r="M260" i="12"/>
  <c r="K260" i="12"/>
  <c r="X259" i="12"/>
  <c r="W259" i="12"/>
  <c r="V259" i="12"/>
  <c r="U259" i="12"/>
  <c r="T259" i="12"/>
  <c r="S259" i="12"/>
  <c r="Q259" i="12"/>
  <c r="O259" i="12"/>
  <c r="M259" i="12"/>
  <c r="K259" i="12"/>
  <c r="X258" i="12"/>
  <c r="W258" i="12"/>
  <c r="V258" i="12"/>
  <c r="U258" i="12"/>
  <c r="T258" i="12"/>
  <c r="S258" i="12"/>
  <c r="Q258" i="12"/>
  <c r="O258" i="12"/>
  <c r="M258" i="12"/>
  <c r="K258" i="12"/>
  <c r="X257" i="12"/>
  <c r="W257" i="12"/>
  <c r="V257" i="12"/>
  <c r="U257" i="12"/>
  <c r="T257" i="12"/>
  <c r="S257" i="12"/>
  <c r="Q257" i="12"/>
  <c r="O257" i="12"/>
  <c r="M257" i="12"/>
  <c r="K257" i="12"/>
  <c r="X256" i="12"/>
  <c r="W256" i="12"/>
  <c r="V256" i="12"/>
  <c r="U256" i="12"/>
  <c r="T256" i="12"/>
  <c r="S256" i="12"/>
  <c r="Q256" i="12"/>
  <c r="O256" i="12"/>
  <c r="M256" i="12"/>
  <c r="K256" i="12"/>
  <c r="X255" i="12"/>
  <c r="W255" i="12"/>
  <c r="V255" i="12"/>
  <c r="U255" i="12"/>
  <c r="T255" i="12"/>
  <c r="S255" i="12"/>
  <c r="Q255" i="12"/>
  <c r="O255" i="12"/>
  <c r="M255" i="12"/>
  <c r="K255" i="12"/>
  <c r="X254" i="12"/>
  <c r="W254" i="12"/>
  <c r="V254" i="12"/>
  <c r="U254" i="12"/>
  <c r="T254" i="12"/>
  <c r="S254" i="12"/>
  <c r="Q254" i="12"/>
  <c r="O254" i="12"/>
  <c r="M254" i="12"/>
  <c r="K254" i="12"/>
  <c r="X253" i="12"/>
  <c r="W253" i="12"/>
  <c r="V253" i="12"/>
  <c r="U253" i="12"/>
  <c r="T253" i="12"/>
  <c r="S253" i="12"/>
  <c r="Q253" i="12"/>
  <c r="O253" i="12"/>
  <c r="M253" i="12"/>
  <c r="K253" i="12"/>
  <c r="X252" i="12"/>
  <c r="W252" i="12"/>
  <c r="V252" i="12"/>
  <c r="U252" i="12"/>
  <c r="T252" i="12"/>
  <c r="S252" i="12"/>
  <c r="Q252" i="12"/>
  <c r="O252" i="12"/>
  <c r="M252" i="12"/>
  <c r="K252" i="12"/>
  <c r="X251" i="12"/>
  <c r="W251" i="12"/>
  <c r="V251" i="12"/>
  <c r="U251" i="12"/>
  <c r="T251" i="12"/>
  <c r="S251" i="12"/>
  <c r="Q251" i="12"/>
  <c r="O251" i="12"/>
  <c r="M251" i="12"/>
  <c r="K251" i="12"/>
  <c r="X250" i="12"/>
  <c r="W250" i="12"/>
  <c r="V250" i="12"/>
  <c r="U250" i="12"/>
  <c r="T250" i="12"/>
  <c r="S250" i="12"/>
  <c r="Q250" i="12"/>
  <c r="O250" i="12"/>
  <c r="M250" i="12"/>
  <c r="K250" i="12"/>
  <c r="X249" i="12"/>
  <c r="W249" i="12"/>
  <c r="V249" i="12"/>
  <c r="U249" i="12"/>
  <c r="T249" i="12"/>
  <c r="S249" i="12"/>
  <c r="Q249" i="12"/>
  <c r="O249" i="12"/>
  <c r="M249" i="12"/>
  <c r="K249" i="12"/>
  <c r="X248" i="12"/>
  <c r="W248" i="12"/>
  <c r="V248" i="12"/>
  <c r="U248" i="12"/>
  <c r="T248" i="12"/>
  <c r="S248" i="12"/>
  <c r="Q248" i="12"/>
  <c r="O248" i="12"/>
  <c r="M248" i="12"/>
  <c r="K248" i="12"/>
  <c r="X247" i="12"/>
  <c r="W247" i="12"/>
  <c r="V247" i="12"/>
  <c r="U247" i="12"/>
  <c r="T247" i="12"/>
  <c r="S247" i="12"/>
  <c r="Q247" i="12"/>
  <c r="O247" i="12"/>
  <c r="M247" i="12"/>
  <c r="K247" i="12"/>
  <c r="X246" i="12"/>
  <c r="W246" i="12"/>
  <c r="V246" i="12"/>
  <c r="U246" i="12"/>
  <c r="T246" i="12"/>
  <c r="S246" i="12"/>
  <c r="Q246" i="12"/>
  <c r="O246" i="12"/>
  <c r="M246" i="12"/>
  <c r="K246" i="12"/>
  <c r="X245" i="12"/>
  <c r="W245" i="12"/>
  <c r="V245" i="12"/>
  <c r="U245" i="12"/>
  <c r="T245" i="12"/>
  <c r="S245" i="12"/>
  <c r="Q245" i="12"/>
  <c r="O245" i="12"/>
  <c r="M245" i="12"/>
  <c r="K245" i="12"/>
  <c r="X244" i="12"/>
  <c r="W244" i="12"/>
  <c r="V244" i="12"/>
  <c r="U244" i="12"/>
  <c r="T244" i="12"/>
  <c r="S244" i="12"/>
  <c r="Q244" i="12"/>
  <c r="O244" i="12"/>
  <c r="M244" i="12"/>
  <c r="K244" i="12"/>
  <c r="X243" i="12"/>
  <c r="W243" i="12"/>
  <c r="V243" i="12"/>
  <c r="U243" i="12"/>
  <c r="T243" i="12"/>
  <c r="S243" i="12"/>
  <c r="Q243" i="12"/>
  <c r="O243" i="12"/>
  <c r="M243" i="12"/>
  <c r="K243" i="12"/>
  <c r="X242" i="12"/>
  <c r="W242" i="12"/>
  <c r="V242" i="12"/>
  <c r="U242" i="12"/>
  <c r="T242" i="12"/>
  <c r="S242" i="12"/>
  <c r="Q242" i="12"/>
  <c r="O242" i="12"/>
  <c r="M242" i="12"/>
  <c r="K242" i="12"/>
  <c r="X241" i="12"/>
  <c r="W241" i="12"/>
  <c r="V241" i="12"/>
  <c r="U241" i="12"/>
  <c r="T241" i="12"/>
  <c r="S241" i="12"/>
  <c r="Q241" i="12"/>
  <c r="O241" i="12"/>
  <c r="M241" i="12"/>
  <c r="K241" i="12"/>
  <c r="X240" i="12"/>
  <c r="W240" i="12"/>
  <c r="V240" i="12"/>
  <c r="U240" i="12"/>
  <c r="T240" i="12"/>
  <c r="S240" i="12"/>
  <c r="Q240" i="12"/>
  <c r="O240" i="12"/>
  <c r="M240" i="12"/>
  <c r="K240" i="12"/>
  <c r="X239" i="12"/>
  <c r="W239" i="12"/>
  <c r="V239" i="12"/>
  <c r="U239" i="12"/>
  <c r="T239" i="12"/>
  <c r="S239" i="12"/>
  <c r="Q239" i="12"/>
  <c r="O239" i="12"/>
  <c r="M239" i="12"/>
  <c r="K239" i="12"/>
  <c r="X238" i="12"/>
  <c r="W238" i="12"/>
  <c r="V238" i="12"/>
  <c r="U238" i="12"/>
  <c r="T238" i="12"/>
  <c r="S238" i="12"/>
  <c r="Q238" i="12"/>
  <c r="O238" i="12"/>
  <c r="M238" i="12"/>
  <c r="K238" i="12"/>
  <c r="X237" i="12"/>
  <c r="W237" i="12"/>
  <c r="V237" i="12"/>
  <c r="U237" i="12"/>
  <c r="T237" i="12"/>
  <c r="S237" i="12"/>
  <c r="Q237" i="12"/>
  <c r="O237" i="12"/>
  <c r="M237" i="12"/>
  <c r="K237" i="12"/>
  <c r="X236" i="12"/>
  <c r="W236" i="12"/>
  <c r="V236" i="12"/>
  <c r="U236" i="12"/>
  <c r="T236" i="12"/>
  <c r="S236" i="12"/>
  <c r="Q236" i="12"/>
  <c r="O236" i="12"/>
  <c r="M236" i="12"/>
  <c r="K236" i="12"/>
  <c r="X235" i="12"/>
  <c r="W235" i="12"/>
  <c r="V235" i="12"/>
  <c r="U235" i="12"/>
  <c r="T235" i="12"/>
  <c r="S235" i="12"/>
  <c r="Q235" i="12"/>
  <c r="O235" i="12"/>
  <c r="M235" i="12"/>
  <c r="K235" i="12"/>
  <c r="X234" i="12"/>
  <c r="W234" i="12"/>
  <c r="V234" i="12"/>
  <c r="U234" i="12"/>
  <c r="T234" i="12"/>
  <c r="S234" i="12"/>
  <c r="Q234" i="12"/>
  <c r="O234" i="12"/>
  <c r="M234" i="12"/>
  <c r="K234" i="12"/>
  <c r="X233" i="12"/>
  <c r="W233" i="12"/>
  <c r="V233" i="12"/>
  <c r="U233" i="12"/>
  <c r="T233" i="12"/>
  <c r="S233" i="12"/>
  <c r="Q233" i="12"/>
  <c r="O233" i="12"/>
  <c r="M233" i="12"/>
  <c r="K233" i="12"/>
  <c r="X232" i="12"/>
  <c r="W232" i="12"/>
  <c r="V232" i="12"/>
  <c r="U232" i="12"/>
  <c r="T232" i="12"/>
  <c r="S232" i="12"/>
  <c r="Q232" i="12"/>
  <c r="O232" i="12"/>
  <c r="M232" i="12"/>
  <c r="K232" i="12"/>
  <c r="X231" i="12"/>
  <c r="W231" i="12"/>
  <c r="V231" i="12"/>
  <c r="U231" i="12"/>
  <c r="T231" i="12"/>
  <c r="S231" i="12"/>
  <c r="Q231" i="12"/>
  <c r="O231" i="12"/>
  <c r="M231" i="12"/>
  <c r="K231" i="12"/>
  <c r="X230" i="12"/>
  <c r="W230" i="12"/>
  <c r="V230" i="12"/>
  <c r="U230" i="12"/>
  <c r="T230" i="12"/>
  <c r="S230" i="12"/>
  <c r="Q230" i="12"/>
  <c r="O230" i="12"/>
  <c r="M230" i="12"/>
  <c r="K230" i="12"/>
  <c r="X229" i="12"/>
  <c r="W229" i="12"/>
  <c r="V229" i="12"/>
  <c r="U229" i="12"/>
  <c r="T229" i="12"/>
  <c r="S229" i="12"/>
  <c r="Q229" i="12"/>
  <c r="O229" i="12"/>
  <c r="M229" i="12"/>
  <c r="K229" i="12"/>
  <c r="X228" i="12"/>
  <c r="W228" i="12"/>
  <c r="V228" i="12"/>
  <c r="U228" i="12"/>
  <c r="T228" i="12"/>
  <c r="S228" i="12"/>
  <c r="Q228" i="12"/>
  <c r="O228" i="12"/>
  <c r="M228" i="12"/>
  <c r="K228" i="12"/>
  <c r="X227" i="12"/>
  <c r="W227" i="12"/>
  <c r="V227" i="12"/>
  <c r="U227" i="12"/>
  <c r="T227" i="12"/>
  <c r="S227" i="12"/>
  <c r="Q227" i="12"/>
  <c r="O227" i="12"/>
  <c r="M227" i="12"/>
  <c r="K227" i="12"/>
  <c r="X226" i="12"/>
  <c r="W226" i="12"/>
  <c r="V226" i="12"/>
  <c r="U226" i="12"/>
  <c r="T226" i="12"/>
  <c r="S226" i="12"/>
  <c r="Q226" i="12"/>
  <c r="O226" i="12"/>
  <c r="M226" i="12"/>
  <c r="K226" i="12"/>
  <c r="X225" i="12"/>
  <c r="W225" i="12"/>
  <c r="V225" i="12"/>
  <c r="U225" i="12"/>
  <c r="T225" i="12"/>
  <c r="S225" i="12"/>
  <c r="Q225" i="12"/>
  <c r="O225" i="12"/>
  <c r="M225" i="12"/>
  <c r="K225" i="12"/>
  <c r="X224" i="12"/>
  <c r="W224" i="12"/>
  <c r="V224" i="12"/>
  <c r="U224" i="12"/>
  <c r="T224" i="12"/>
  <c r="S224" i="12"/>
  <c r="Q224" i="12"/>
  <c r="O224" i="12"/>
  <c r="M224" i="12"/>
  <c r="K224" i="12"/>
  <c r="X223" i="12"/>
  <c r="W223" i="12"/>
  <c r="V223" i="12"/>
  <c r="U223" i="12"/>
  <c r="T223" i="12"/>
  <c r="S223" i="12"/>
  <c r="Q223" i="12"/>
  <c r="O223" i="12"/>
  <c r="M223" i="12"/>
  <c r="K223" i="12"/>
  <c r="X222" i="12"/>
  <c r="W222" i="12"/>
  <c r="V222" i="12"/>
  <c r="U222" i="12"/>
  <c r="T222" i="12"/>
  <c r="S222" i="12"/>
  <c r="Q222" i="12"/>
  <c r="O222" i="12"/>
  <c r="M222" i="12"/>
  <c r="K222" i="12"/>
  <c r="X221" i="12"/>
  <c r="W221" i="12"/>
  <c r="V221" i="12"/>
  <c r="U221" i="12"/>
  <c r="T221" i="12"/>
  <c r="S221" i="12"/>
  <c r="Q221" i="12"/>
  <c r="O221" i="12"/>
  <c r="M221" i="12"/>
  <c r="K221" i="12"/>
  <c r="X220" i="12"/>
  <c r="W220" i="12"/>
  <c r="V220" i="12"/>
  <c r="U220" i="12"/>
  <c r="T220" i="12"/>
  <c r="S220" i="12"/>
  <c r="Q220" i="12"/>
  <c r="O220" i="12"/>
  <c r="M220" i="12"/>
  <c r="K220" i="12"/>
  <c r="X219" i="12"/>
  <c r="W219" i="12"/>
  <c r="V219" i="12"/>
  <c r="U219" i="12"/>
  <c r="T219" i="12"/>
  <c r="S219" i="12"/>
  <c r="Q219" i="12"/>
  <c r="O219" i="12"/>
  <c r="M219" i="12"/>
  <c r="K219" i="12"/>
  <c r="X218" i="12"/>
  <c r="W218" i="12"/>
  <c r="V218" i="12"/>
  <c r="U218" i="12"/>
  <c r="T218" i="12"/>
  <c r="S218" i="12"/>
  <c r="Q218" i="12"/>
  <c r="O218" i="12"/>
  <c r="M218" i="12"/>
  <c r="K218" i="12"/>
  <c r="X217" i="12"/>
  <c r="W217" i="12"/>
  <c r="V217" i="12"/>
  <c r="U217" i="12"/>
  <c r="T217" i="12"/>
  <c r="S217" i="12"/>
  <c r="Q217" i="12"/>
  <c r="O217" i="12"/>
  <c r="M217" i="12"/>
  <c r="K217" i="12"/>
  <c r="X216" i="12"/>
  <c r="W216" i="12"/>
  <c r="V216" i="12"/>
  <c r="U216" i="12"/>
  <c r="T216" i="12"/>
  <c r="S216" i="12"/>
  <c r="Q216" i="12"/>
  <c r="O216" i="12"/>
  <c r="M216" i="12"/>
  <c r="K216" i="12"/>
  <c r="X215" i="12"/>
  <c r="W215" i="12"/>
  <c r="V215" i="12"/>
  <c r="U215" i="12"/>
  <c r="T215" i="12"/>
  <c r="S215" i="12"/>
  <c r="Q215" i="12"/>
  <c r="O215" i="12"/>
  <c r="M215" i="12"/>
  <c r="K215" i="12"/>
  <c r="X214" i="12"/>
  <c r="W214" i="12"/>
  <c r="V214" i="12"/>
  <c r="U214" i="12"/>
  <c r="T214" i="12"/>
  <c r="S214" i="12"/>
  <c r="Q214" i="12"/>
  <c r="O214" i="12"/>
  <c r="M214" i="12"/>
  <c r="K214" i="12"/>
  <c r="X213" i="12"/>
  <c r="W213" i="12"/>
  <c r="V213" i="12"/>
  <c r="U213" i="12"/>
  <c r="T213" i="12"/>
  <c r="S213" i="12"/>
  <c r="Q213" i="12"/>
  <c r="O213" i="12"/>
  <c r="M213" i="12"/>
  <c r="K213" i="12"/>
  <c r="X212" i="12"/>
  <c r="W212" i="12"/>
  <c r="V212" i="12"/>
  <c r="U212" i="12"/>
  <c r="T212" i="12"/>
  <c r="S212" i="12"/>
  <c r="Q212" i="12"/>
  <c r="O212" i="12"/>
  <c r="M212" i="12"/>
  <c r="K212" i="12"/>
  <c r="X211" i="12"/>
  <c r="W211" i="12"/>
  <c r="V211" i="12"/>
  <c r="U211" i="12"/>
  <c r="T211" i="12"/>
  <c r="S211" i="12"/>
  <c r="Q211" i="12"/>
  <c r="O211" i="12"/>
  <c r="M211" i="12"/>
  <c r="K211" i="12"/>
  <c r="X210" i="12"/>
  <c r="W210" i="12"/>
  <c r="V210" i="12"/>
  <c r="U210" i="12"/>
  <c r="T210" i="12"/>
  <c r="S210" i="12"/>
  <c r="Q210" i="12"/>
  <c r="O210" i="12"/>
  <c r="M210" i="12"/>
  <c r="K210" i="12"/>
  <c r="X209" i="12"/>
  <c r="W209" i="12"/>
  <c r="V209" i="12"/>
  <c r="U209" i="12"/>
  <c r="T209" i="12"/>
  <c r="S209" i="12"/>
  <c r="Q209" i="12"/>
  <c r="O209" i="12"/>
  <c r="M209" i="12"/>
  <c r="K209" i="12"/>
  <c r="X208" i="12"/>
  <c r="W208" i="12"/>
  <c r="V208" i="12"/>
  <c r="U208" i="12"/>
  <c r="T208" i="12"/>
  <c r="S208" i="12"/>
  <c r="Q208" i="12"/>
  <c r="O208" i="12"/>
  <c r="M208" i="12"/>
  <c r="K208" i="12"/>
  <c r="X207" i="12"/>
  <c r="W207" i="12"/>
  <c r="V207" i="12"/>
  <c r="U207" i="12"/>
  <c r="T207" i="12"/>
  <c r="S207" i="12"/>
  <c r="Q207" i="12"/>
  <c r="O207" i="12"/>
  <c r="M207" i="12"/>
  <c r="K207" i="12"/>
  <c r="X206" i="12"/>
  <c r="W206" i="12"/>
  <c r="V206" i="12"/>
  <c r="U206" i="12"/>
  <c r="T206" i="12"/>
  <c r="S206" i="12"/>
  <c r="Q206" i="12"/>
  <c r="O206" i="12"/>
  <c r="M206" i="12"/>
  <c r="K206" i="12"/>
  <c r="X205" i="12"/>
  <c r="W205" i="12"/>
  <c r="V205" i="12"/>
  <c r="U205" i="12"/>
  <c r="T205" i="12"/>
  <c r="S205" i="12"/>
  <c r="Q205" i="12"/>
  <c r="O205" i="12"/>
  <c r="M205" i="12"/>
  <c r="K205" i="12"/>
  <c r="X204" i="12"/>
  <c r="W204" i="12"/>
  <c r="V204" i="12"/>
  <c r="U204" i="12"/>
  <c r="T204" i="12"/>
  <c r="S204" i="12"/>
  <c r="Q204" i="12"/>
  <c r="O204" i="12"/>
  <c r="M204" i="12"/>
  <c r="K204" i="12"/>
  <c r="X203" i="12"/>
  <c r="W203" i="12"/>
  <c r="V203" i="12"/>
  <c r="U203" i="12"/>
  <c r="T203" i="12"/>
  <c r="S203" i="12"/>
  <c r="Q203" i="12"/>
  <c r="O203" i="12"/>
  <c r="M203" i="12"/>
  <c r="K203" i="12"/>
  <c r="X202" i="12"/>
  <c r="W202" i="12"/>
  <c r="V202" i="12"/>
  <c r="U202" i="12"/>
  <c r="T202" i="12"/>
  <c r="S202" i="12"/>
  <c r="Q202" i="12"/>
  <c r="O202" i="12"/>
  <c r="M202" i="12"/>
  <c r="K202" i="12"/>
  <c r="X201" i="12"/>
  <c r="W201" i="12"/>
  <c r="V201" i="12"/>
  <c r="U201" i="12"/>
  <c r="T201" i="12"/>
  <c r="S201" i="12"/>
  <c r="Q201" i="12"/>
  <c r="O201" i="12"/>
  <c r="M201" i="12"/>
  <c r="K201" i="12"/>
  <c r="X200" i="12"/>
  <c r="W200" i="12"/>
  <c r="V200" i="12"/>
  <c r="U200" i="12"/>
  <c r="T200" i="12"/>
  <c r="S200" i="12"/>
  <c r="Q200" i="12"/>
  <c r="O200" i="12"/>
  <c r="M200" i="12"/>
  <c r="K200" i="12"/>
  <c r="X199" i="12"/>
  <c r="W199" i="12"/>
  <c r="V199" i="12"/>
  <c r="U199" i="12"/>
  <c r="T199" i="12"/>
  <c r="S199" i="12"/>
  <c r="Q199" i="12"/>
  <c r="O199" i="12"/>
  <c r="M199" i="12"/>
  <c r="K199" i="12"/>
  <c r="X198" i="12"/>
  <c r="W198" i="12"/>
  <c r="V198" i="12"/>
  <c r="U198" i="12"/>
  <c r="T198" i="12"/>
  <c r="S198" i="12"/>
  <c r="Q198" i="12"/>
  <c r="O198" i="12"/>
  <c r="M198" i="12"/>
  <c r="K198" i="12"/>
  <c r="X197" i="12"/>
  <c r="W197" i="12"/>
  <c r="V197" i="12"/>
  <c r="U197" i="12"/>
  <c r="T197" i="12"/>
  <c r="S197" i="12"/>
  <c r="Q197" i="12"/>
  <c r="O197" i="12"/>
  <c r="M197" i="12"/>
  <c r="K197" i="12"/>
  <c r="X196" i="12"/>
  <c r="W196" i="12"/>
  <c r="V196" i="12"/>
  <c r="U196" i="12"/>
  <c r="T196" i="12"/>
  <c r="S196" i="12"/>
  <c r="Q196" i="12"/>
  <c r="O196" i="12"/>
  <c r="M196" i="12"/>
  <c r="K196" i="12"/>
  <c r="X195" i="12"/>
  <c r="W195" i="12"/>
  <c r="V195" i="12"/>
  <c r="U195" i="12"/>
  <c r="T195" i="12"/>
  <c r="S195" i="12"/>
  <c r="Q195" i="12"/>
  <c r="O195" i="12"/>
  <c r="M195" i="12"/>
  <c r="K195" i="12"/>
  <c r="X194" i="12"/>
  <c r="W194" i="12"/>
  <c r="V194" i="12"/>
  <c r="U194" i="12"/>
  <c r="T194" i="12"/>
  <c r="S194" i="12"/>
  <c r="Q194" i="12"/>
  <c r="O194" i="12"/>
  <c r="M194" i="12"/>
  <c r="K194" i="12"/>
  <c r="X193" i="12"/>
  <c r="W193" i="12"/>
  <c r="V193" i="12"/>
  <c r="U193" i="12"/>
  <c r="T193" i="12"/>
  <c r="S193" i="12"/>
  <c r="Q193" i="12"/>
  <c r="O193" i="12"/>
  <c r="M193" i="12"/>
  <c r="K193" i="12"/>
  <c r="X192" i="12"/>
  <c r="W192" i="12"/>
  <c r="V192" i="12"/>
  <c r="U192" i="12"/>
  <c r="T192" i="12"/>
  <c r="S192" i="12"/>
  <c r="Q192" i="12"/>
  <c r="O192" i="12"/>
  <c r="M192" i="12"/>
  <c r="K192" i="12"/>
  <c r="X191" i="12"/>
  <c r="W191" i="12"/>
  <c r="V191" i="12"/>
  <c r="U191" i="12"/>
  <c r="T191" i="12"/>
  <c r="S191" i="12"/>
  <c r="Q191" i="12"/>
  <c r="O191" i="12"/>
  <c r="M191" i="12"/>
  <c r="K191" i="12"/>
  <c r="X190" i="12"/>
  <c r="W190" i="12"/>
  <c r="V190" i="12"/>
  <c r="U190" i="12"/>
  <c r="T190" i="12"/>
  <c r="S190" i="12"/>
  <c r="Q190" i="12"/>
  <c r="O190" i="12"/>
  <c r="M190" i="12"/>
  <c r="K190" i="12"/>
  <c r="X189" i="12"/>
  <c r="W189" i="12"/>
  <c r="V189" i="12"/>
  <c r="U189" i="12"/>
  <c r="T189" i="12"/>
  <c r="S189" i="12"/>
  <c r="Q189" i="12"/>
  <c r="O189" i="12"/>
  <c r="M189" i="12"/>
  <c r="K189" i="12"/>
  <c r="X188" i="12"/>
  <c r="W188" i="12"/>
  <c r="V188" i="12"/>
  <c r="U188" i="12"/>
  <c r="T188" i="12"/>
  <c r="S188" i="12"/>
  <c r="Q188" i="12"/>
  <c r="O188" i="12"/>
  <c r="M188" i="12"/>
  <c r="K188" i="12"/>
  <c r="X187" i="12"/>
  <c r="W187" i="12"/>
  <c r="V187" i="12"/>
  <c r="U187" i="12"/>
  <c r="T187" i="12"/>
  <c r="S187" i="12"/>
  <c r="Q187" i="12"/>
  <c r="O187" i="12"/>
  <c r="M187" i="12"/>
  <c r="K187" i="12"/>
  <c r="X186" i="12"/>
  <c r="W186" i="12"/>
  <c r="V186" i="12"/>
  <c r="U186" i="12"/>
  <c r="T186" i="12"/>
  <c r="S186" i="12"/>
  <c r="Q186" i="12"/>
  <c r="O186" i="12"/>
  <c r="M186" i="12"/>
  <c r="K186" i="12"/>
  <c r="X185" i="12"/>
  <c r="W185" i="12"/>
  <c r="V185" i="12"/>
  <c r="U185" i="12"/>
  <c r="T185" i="12"/>
  <c r="S185" i="12"/>
  <c r="Q185" i="12"/>
  <c r="O185" i="12"/>
  <c r="M185" i="12"/>
  <c r="K185" i="12"/>
  <c r="X184" i="12"/>
  <c r="W184" i="12"/>
  <c r="V184" i="12"/>
  <c r="U184" i="12"/>
  <c r="T184" i="12"/>
  <c r="S184" i="12"/>
  <c r="Q184" i="12"/>
  <c r="O184" i="12"/>
  <c r="M184" i="12"/>
  <c r="K184" i="12"/>
  <c r="X183" i="12"/>
  <c r="W183" i="12"/>
  <c r="V183" i="12"/>
  <c r="U183" i="12"/>
  <c r="T183" i="12"/>
  <c r="S183" i="12"/>
  <c r="Q183" i="12"/>
  <c r="O183" i="12"/>
  <c r="M183" i="12"/>
  <c r="K183" i="12"/>
  <c r="X182" i="12"/>
  <c r="W182" i="12"/>
  <c r="V182" i="12"/>
  <c r="U182" i="12"/>
  <c r="T182" i="12"/>
  <c r="S182" i="12"/>
  <c r="Q182" i="12"/>
  <c r="O182" i="12"/>
  <c r="M182" i="12"/>
  <c r="K182" i="12"/>
  <c r="X181" i="12"/>
  <c r="W181" i="12"/>
  <c r="V181" i="12"/>
  <c r="U181" i="12"/>
  <c r="T181" i="12"/>
  <c r="S181" i="12"/>
  <c r="Q181" i="12"/>
  <c r="O181" i="12"/>
  <c r="M181" i="12"/>
  <c r="K181" i="12"/>
  <c r="X180" i="12"/>
  <c r="W180" i="12"/>
  <c r="V180" i="12"/>
  <c r="U180" i="12"/>
  <c r="T180" i="12"/>
  <c r="S180" i="12"/>
  <c r="Q180" i="12"/>
  <c r="O180" i="12"/>
  <c r="M180" i="12"/>
  <c r="K180" i="12"/>
  <c r="X179" i="12"/>
  <c r="W179" i="12"/>
  <c r="V179" i="12"/>
  <c r="U179" i="12"/>
  <c r="T179" i="12"/>
  <c r="S179" i="12"/>
  <c r="Q179" i="12"/>
  <c r="O179" i="12"/>
  <c r="M179" i="12"/>
  <c r="K179" i="12"/>
  <c r="X178" i="12"/>
  <c r="W178" i="12"/>
  <c r="V178" i="12"/>
  <c r="U178" i="12"/>
  <c r="T178" i="12"/>
  <c r="S178" i="12"/>
  <c r="Q178" i="12"/>
  <c r="O178" i="12"/>
  <c r="M178" i="12"/>
  <c r="K178" i="12"/>
  <c r="X177" i="12"/>
  <c r="W177" i="12"/>
  <c r="V177" i="12"/>
  <c r="U177" i="12"/>
  <c r="T177" i="12"/>
  <c r="S177" i="12"/>
  <c r="Q177" i="12"/>
  <c r="O177" i="12"/>
  <c r="M177" i="12"/>
  <c r="K177" i="12"/>
  <c r="X176" i="12"/>
  <c r="W176" i="12"/>
  <c r="V176" i="12"/>
  <c r="U176" i="12"/>
  <c r="T176" i="12"/>
  <c r="S176" i="12"/>
  <c r="Q176" i="12"/>
  <c r="O176" i="12"/>
  <c r="M176" i="12"/>
  <c r="K176" i="12"/>
  <c r="X175" i="12"/>
  <c r="W175" i="12"/>
  <c r="V175" i="12"/>
  <c r="U175" i="12"/>
  <c r="T175" i="12"/>
  <c r="S175" i="12"/>
  <c r="Q175" i="12"/>
  <c r="O175" i="12"/>
  <c r="M175" i="12"/>
  <c r="K175" i="12"/>
  <c r="X174" i="12"/>
  <c r="W174" i="12"/>
  <c r="V174" i="12"/>
  <c r="U174" i="12"/>
  <c r="T174" i="12"/>
  <c r="S174" i="12"/>
  <c r="Q174" i="12"/>
  <c r="O174" i="12"/>
  <c r="M174" i="12"/>
  <c r="K174" i="12"/>
  <c r="X173" i="12"/>
  <c r="W173" i="12"/>
  <c r="V173" i="12"/>
  <c r="U173" i="12"/>
  <c r="T173" i="12"/>
  <c r="S173" i="12"/>
  <c r="Q173" i="12"/>
  <c r="O173" i="12"/>
  <c r="M173" i="12"/>
  <c r="K173" i="12"/>
  <c r="X172" i="12"/>
  <c r="W172" i="12"/>
  <c r="V172" i="12"/>
  <c r="U172" i="12"/>
  <c r="T172" i="12"/>
  <c r="S172" i="12"/>
  <c r="Q172" i="12"/>
  <c r="O172" i="12"/>
  <c r="M172" i="12"/>
  <c r="K172" i="12"/>
  <c r="X171" i="12"/>
  <c r="W171" i="12"/>
  <c r="V171" i="12"/>
  <c r="U171" i="12"/>
  <c r="T171" i="12"/>
  <c r="S171" i="12"/>
  <c r="Q171" i="12"/>
  <c r="O171" i="12"/>
  <c r="M171" i="12"/>
  <c r="K171" i="12"/>
  <c r="X170" i="12"/>
  <c r="W170" i="12"/>
  <c r="V170" i="12"/>
  <c r="U170" i="12"/>
  <c r="T170" i="12"/>
  <c r="S170" i="12"/>
  <c r="Q170" i="12"/>
  <c r="O170" i="12"/>
  <c r="M170" i="12"/>
  <c r="K170" i="12"/>
  <c r="X169" i="12"/>
  <c r="W169" i="12"/>
  <c r="V169" i="12"/>
  <c r="U169" i="12"/>
  <c r="T169" i="12"/>
  <c r="S169" i="12"/>
  <c r="Q169" i="12"/>
  <c r="O169" i="12"/>
  <c r="M169" i="12"/>
  <c r="K169" i="12"/>
  <c r="X168" i="12"/>
  <c r="W168" i="12"/>
  <c r="V168" i="12"/>
  <c r="U168" i="12"/>
  <c r="T168" i="12"/>
  <c r="S168" i="12"/>
  <c r="Q168" i="12"/>
  <c r="O168" i="12"/>
  <c r="M168" i="12"/>
  <c r="K168" i="12"/>
  <c r="X167" i="12"/>
  <c r="W167" i="12"/>
  <c r="V167" i="12"/>
  <c r="U167" i="12"/>
  <c r="T167" i="12"/>
  <c r="S167" i="12"/>
  <c r="Q167" i="12"/>
  <c r="O167" i="12"/>
  <c r="M167" i="12"/>
  <c r="K167" i="12"/>
  <c r="X166" i="12"/>
  <c r="W166" i="12"/>
  <c r="V166" i="12"/>
  <c r="U166" i="12"/>
  <c r="T166" i="12"/>
  <c r="S166" i="12"/>
  <c r="Q166" i="12"/>
  <c r="O166" i="12"/>
  <c r="M166" i="12"/>
  <c r="K166" i="12"/>
  <c r="X165" i="12"/>
  <c r="W165" i="12"/>
  <c r="V165" i="12"/>
  <c r="U165" i="12"/>
  <c r="T165" i="12"/>
  <c r="S165" i="12"/>
  <c r="Q165" i="12"/>
  <c r="O165" i="12"/>
  <c r="M165" i="12"/>
  <c r="K165" i="12"/>
  <c r="X164" i="12"/>
  <c r="W164" i="12"/>
  <c r="V164" i="12"/>
  <c r="U164" i="12"/>
  <c r="T164" i="12"/>
  <c r="S164" i="12"/>
  <c r="Q164" i="12"/>
  <c r="O164" i="12"/>
  <c r="M164" i="12"/>
  <c r="K164" i="12"/>
  <c r="X163" i="12"/>
  <c r="W163" i="12"/>
  <c r="V163" i="12"/>
  <c r="U163" i="12"/>
  <c r="T163" i="12"/>
  <c r="S163" i="12"/>
  <c r="Q163" i="12"/>
  <c r="O163" i="12"/>
  <c r="M163" i="12"/>
  <c r="K163" i="12"/>
  <c r="X162" i="12"/>
  <c r="W162" i="12"/>
  <c r="V162" i="12"/>
  <c r="U162" i="12"/>
  <c r="T162" i="12"/>
  <c r="S162" i="12"/>
  <c r="Q162" i="12"/>
  <c r="O162" i="12"/>
  <c r="M162" i="12"/>
  <c r="K162" i="12"/>
  <c r="X161" i="12"/>
  <c r="W161" i="12"/>
  <c r="V161" i="12"/>
  <c r="U161" i="12"/>
  <c r="T161" i="12"/>
  <c r="S161" i="12"/>
  <c r="Q161" i="12"/>
  <c r="O161" i="12"/>
  <c r="M161" i="12"/>
  <c r="K161" i="12"/>
  <c r="X160" i="12"/>
  <c r="W160" i="12"/>
  <c r="V160" i="12"/>
  <c r="U160" i="12"/>
  <c r="T160" i="12"/>
  <c r="S160" i="12"/>
  <c r="Q160" i="12"/>
  <c r="O160" i="12"/>
  <c r="M160" i="12"/>
  <c r="K160" i="12"/>
  <c r="X159" i="12"/>
  <c r="W159" i="12"/>
  <c r="V159" i="12"/>
  <c r="U159" i="12"/>
  <c r="T159" i="12"/>
  <c r="S159" i="12"/>
  <c r="Q159" i="12"/>
  <c r="O159" i="12"/>
  <c r="M159" i="12"/>
  <c r="K159" i="12"/>
  <c r="X158" i="12"/>
  <c r="W158" i="12"/>
  <c r="V158" i="12"/>
  <c r="U158" i="12"/>
  <c r="T158" i="12"/>
  <c r="S158" i="12"/>
  <c r="Q158" i="12"/>
  <c r="O158" i="12"/>
  <c r="M158" i="12"/>
  <c r="K158" i="12"/>
  <c r="X157" i="12"/>
  <c r="W157" i="12"/>
  <c r="V157" i="12"/>
  <c r="U157" i="12"/>
  <c r="T157" i="12"/>
  <c r="S157" i="12"/>
  <c r="Q157" i="12"/>
  <c r="O157" i="12"/>
  <c r="M157" i="12"/>
  <c r="K157" i="12"/>
  <c r="X156" i="12"/>
  <c r="W156" i="12"/>
  <c r="V156" i="12"/>
  <c r="U156" i="12"/>
  <c r="T156" i="12"/>
  <c r="S156" i="12"/>
  <c r="Q156" i="12"/>
  <c r="O156" i="12"/>
  <c r="M156" i="12"/>
  <c r="K156" i="12"/>
  <c r="X155" i="12"/>
  <c r="W155" i="12"/>
  <c r="V155" i="12"/>
  <c r="U155" i="12"/>
  <c r="T155" i="12"/>
  <c r="S155" i="12"/>
  <c r="Q155" i="12"/>
  <c r="O155" i="12"/>
  <c r="M155" i="12"/>
  <c r="K155" i="12"/>
  <c r="X154" i="12"/>
  <c r="W154" i="12"/>
  <c r="V154" i="12"/>
  <c r="U154" i="12"/>
  <c r="T154" i="12"/>
  <c r="S154" i="12"/>
  <c r="Q154" i="12"/>
  <c r="O154" i="12"/>
  <c r="M154" i="12"/>
  <c r="K154" i="12"/>
  <c r="X153" i="12"/>
  <c r="W153" i="12"/>
  <c r="V153" i="12"/>
  <c r="U153" i="12"/>
  <c r="T153" i="12"/>
  <c r="S153" i="12"/>
  <c r="Q153" i="12"/>
  <c r="O153" i="12"/>
  <c r="M153" i="12"/>
  <c r="K153" i="12"/>
  <c r="X152" i="12"/>
  <c r="W152" i="12"/>
  <c r="V152" i="12"/>
  <c r="U152" i="12"/>
  <c r="T152" i="12"/>
  <c r="S152" i="12"/>
  <c r="Q152" i="12"/>
  <c r="O152" i="12"/>
  <c r="M152" i="12"/>
  <c r="K152" i="12"/>
  <c r="X151" i="12"/>
  <c r="W151" i="12"/>
  <c r="V151" i="12"/>
  <c r="U151" i="12"/>
  <c r="T151" i="12"/>
  <c r="S151" i="12"/>
  <c r="Q151" i="12"/>
  <c r="O151" i="12"/>
  <c r="M151" i="12"/>
  <c r="K151" i="12"/>
  <c r="X150" i="12"/>
  <c r="W150" i="12"/>
  <c r="V150" i="12"/>
  <c r="U150" i="12"/>
  <c r="T150" i="12"/>
  <c r="S150" i="12"/>
  <c r="Q150" i="12"/>
  <c r="O150" i="12"/>
  <c r="M150" i="12"/>
  <c r="K150" i="12"/>
  <c r="X149" i="12"/>
  <c r="W149" i="12"/>
  <c r="V149" i="12"/>
  <c r="U149" i="12"/>
  <c r="T149" i="12"/>
  <c r="S149" i="12"/>
  <c r="Q149" i="12"/>
  <c r="O149" i="12"/>
  <c r="M149" i="12"/>
  <c r="K149" i="12"/>
  <c r="X148" i="12"/>
  <c r="W148" i="12"/>
  <c r="V148" i="12"/>
  <c r="U148" i="12"/>
  <c r="T148" i="12"/>
  <c r="S148" i="12"/>
  <c r="Q148" i="12"/>
  <c r="O148" i="12"/>
  <c r="M148" i="12"/>
  <c r="K148" i="12"/>
  <c r="X147" i="12"/>
  <c r="W147" i="12"/>
  <c r="V147" i="12"/>
  <c r="U147" i="12"/>
  <c r="T147" i="12"/>
  <c r="S147" i="12"/>
  <c r="Q147" i="12"/>
  <c r="O147" i="12"/>
  <c r="M147" i="12"/>
  <c r="K147" i="12"/>
  <c r="X146" i="12"/>
  <c r="W146" i="12"/>
  <c r="V146" i="12"/>
  <c r="U146" i="12"/>
  <c r="T146" i="12"/>
  <c r="S146" i="12"/>
  <c r="Q146" i="12"/>
  <c r="O146" i="12"/>
  <c r="M146" i="12"/>
  <c r="K146" i="12"/>
  <c r="X145" i="12"/>
  <c r="W145" i="12"/>
  <c r="V145" i="12"/>
  <c r="U145" i="12"/>
  <c r="T145" i="12"/>
  <c r="S145" i="12"/>
  <c r="Q145" i="12"/>
  <c r="O145" i="12"/>
  <c r="M145" i="12"/>
  <c r="K145" i="12"/>
  <c r="X144" i="12"/>
  <c r="W144" i="12"/>
  <c r="V144" i="12"/>
  <c r="U144" i="12"/>
  <c r="T144" i="12"/>
  <c r="S144" i="12"/>
  <c r="Q144" i="12"/>
  <c r="O144" i="12"/>
  <c r="M144" i="12"/>
  <c r="K144" i="12"/>
  <c r="X143" i="12"/>
  <c r="W143" i="12"/>
  <c r="V143" i="12"/>
  <c r="U143" i="12"/>
  <c r="T143" i="12"/>
  <c r="S143" i="12"/>
  <c r="Q143" i="12"/>
  <c r="O143" i="12"/>
  <c r="M143" i="12"/>
  <c r="K143" i="12"/>
  <c r="X142" i="12"/>
  <c r="W142" i="12"/>
  <c r="V142" i="12"/>
  <c r="U142" i="12"/>
  <c r="T142" i="12"/>
  <c r="S142" i="12"/>
  <c r="Q142" i="12"/>
  <c r="O142" i="12"/>
  <c r="M142" i="12"/>
  <c r="K142" i="12"/>
  <c r="X141" i="12"/>
  <c r="W141" i="12"/>
  <c r="V141" i="12"/>
  <c r="U141" i="12"/>
  <c r="T141" i="12"/>
  <c r="S141" i="12"/>
  <c r="Q141" i="12"/>
  <c r="O141" i="12"/>
  <c r="M141" i="12"/>
  <c r="K141" i="12"/>
  <c r="X140" i="12"/>
  <c r="W140" i="12"/>
  <c r="V140" i="12"/>
  <c r="U140" i="12"/>
  <c r="T140" i="12"/>
  <c r="S140" i="12"/>
  <c r="Q140" i="12"/>
  <c r="O140" i="12"/>
  <c r="M140" i="12"/>
  <c r="K140" i="12"/>
  <c r="X139" i="12"/>
  <c r="W139" i="12"/>
  <c r="V139" i="12"/>
  <c r="U139" i="12"/>
  <c r="T139" i="12"/>
  <c r="S139" i="12"/>
  <c r="Q139" i="12"/>
  <c r="O139" i="12"/>
  <c r="M139" i="12"/>
  <c r="K139" i="12"/>
  <c r="X138" i="12"/>
  <c r="W138" i="12"/>
  <c r="V138" i="12"/>
  <c r="U138" i="12"/>
  <c r="T138" i="12"/>
  <c r="S138" i="12"/>
  <c r="Q138" i="12"/>
  <c r="O138" i="12"/>
  <c r="M138" i="12"/>
  <c r="K138" i="12"/>
  <c r="X137" i="12"/>
  <c r="W137" i="12"/>
  <c r="V137" i="12"/>
  <c r="U137" i="12"/>
  <c r="T137" i="12"/>
  <c r="S137" i="12"/>
  <c r="Q137" i="12"/>
  <c r="O137" i="12"/>
  <c r="M137" i="12"/>
  <c r="K137" i="12"/>
  <c r="X136" i="12"/>
  <c r="W136" i="12"/>
  <c r="V136" i="12"/>
  <c r="U136" i="12"/>
  <c r="T136" i="12"/>
  <c r="S136" i="12"/>
  <c r="Q136" i="12"/>
  <c r="O136" i="12"/>
  <c r="M136" i="12"/>
  <c r="K136" i="12"/>
  <c r="X135" i="12"/>
  <c r="W135" i="12"/>
  <c r="V135" i="12"/>
  <c r="U135" i="12"/>
  <c r="T135" i="12"/>
  <c r="S135" i="12"/>
  <c r="Q135" i="12"/>
  <c r="O135" i="12"/>
  <c r="M135" i="12"/>
  <c r="K135" i="12"/>
  <c r="X134" i="12"/>
  <c r="W134" i="12"/>
  <c r="V134" i="12"/>
  <c r="U134" i="12"/>
  <c r="T134" i="12"/>
  <c r="S134" i="12"/>
  <c r="Q134" i="12"/>
  <c r="O134" i="12"/>
  <c r="M134" i="12"/>
  <c r="K134" i="12"/>
  <c r="X133" i="12"/>
  <c r="W133" i="12"/>
  <c r="V133" i="12"/>
  <c r="U133" i="12"/>
  <c r="T133" i="12"/>
  <c r="S133" i="12"/>
  <c r="Q133" i="12"/>
  <c r="O133" i="12"/>
  <c r="M133" i="12"/>
  <c r="K133" i="12"/>
  <c r="X132" i="12"/>
  <c r="W132" i="12"/>
  <c r="V132" i="12"/>
  <c r="U132" i="12"/>
  <c r="T132" i="12"/>
  <c r="S132" i="12"/>
  <c r="Q132" i="12"/>
  <c r="O132" i="12"/>
  <c r="M132" i="12"/>
  <c r="K132" i="12"/>
  <c r="X131" i="12"/>
  <c r="W131" i="12"/>
  <c r="V131" i="12"/>
  <c r="U131" i="12"/>
  <c r="T131" i="12"/>
  <c r="S131" i="12"/>
  <c r="Q131" i="12"/>
  <c r="O131" i="12"/>
  <c r="M131" i="12"/>
  <c r="K131" i="12"/>
  <c r="X130" i="12"/>
  <c r="W130" i="12"/>
  <c r="V130" i="12"/>
  <c r="U130" i="12"/>
  <c r="T130" i="12"/>
  <c r="S130" i="12"/>
  <c r="Q130" i="12"/>
  <c r="O130" i="12"/>
  <c r="M130" i="12"/>
  <c r="K130" i="12"/>
  <c r="X129" i="12"/>
  <c r="W129" i="12"/>
  <c r="V129" i="12"/>
  <c r="U129" i="12"/>
  <c r="T129" i="12"/>
  <c r="S129" i="12"/>
  <c r="Q129" i="12"/>
  <c r="O129" i="12"/>
  <c r="M129" i="12"/>
  <c r="K129" i="12"/>
  <c r="X128" i="12"/>
  <c r="W128" i="12"/>
  <c r="V128" i="12"/>
  <c r="U128" i="12"/>
  <c r="T128" i="12"/>
  <c r="S128" i="12"/>
  <c r="Q128" i="12"/>
  <c r="O128" i="12"/>
  <c r="M128" i="12"/>
  <c r="K128" i="12"/>
  <c r="X127" i="12"/>
  <c r="W127" i="12"/>
  <c r="V127" i="12"/>
  <c r="U127" i="12"/>
  <c r="T127" i="12"/>
  <c r="S127" i="12"/>
  <c r="Q127" i="12"/>
  <c r="O127" i="12"/>
  <c r="M127" i="12"/>
  <c r="K127" i="12"/>
  <c r="X126" i="12"/>
  <c r="W126" i="12"/>
  <c r="V126" i="12"/>
  <c r="U126" i="12"/>
  <c r="T126" i="12"/>
  <c r="S126" i="12"/>
  <c r="Q126" i="12"/>
  <c r="O126" i="12"/>
  <c r="M126" i="12"/>
  <c r="K126" i="12"/>
  <c r="X125" i="12"/>
  <c r="W125" i="12"/>
  <c r="V125" i="12"/>
  <c r="U125" i="12"/>
  <c r="T125" i="12"/>
  <c r="S125" i="12"/>
  <c r="Q125" i="12"/>
  <c r="O125" i="12"/>
  <c r="M125" i="12"/>
  <c r="K125" i="12"/>
  <c r="X124" i="12"/>
  <c r="W124" i="12"/>
  <c r="V124" i="12"/>
  <c r="U124" i="12"/>
  <c r="T124" i="12"/>
  <c r="S124" i="12"/>
  <c r="Q124" i="12"/>
  <c r="O124" i="12"/>
  <c r="M124" i="12"/>
  <c r="K124" i="12"/>
  <c r="X123" i="12"/>
  <c r="W123" i="12"/>
  <c r="V123" i="12"/>
  <c r="U123" i="12"/>
  <c r="T123" i="12"/>
  <c r="S123" i="12"/>
  <c r="Q123" i="12"/>
  <c r="O123" i="12"/>
  <c r="M123" i="12"/>
  <c r="K123" i="12"/>
  <c r="X122" i="12"/>
  <c r="W122" i="12"/>
  <c r="V122" i="12"/>
  <c r="U122" i="12"/>
  <c r="T122" i="12"/>
  <c r="S122" i="12"/>
  <c r="Q122" i="12"/>
  <c r="O122" i="12"/>
  <c r="M122" i="12"/>
  <c r="K122" i="12"/>
  <c r="X121" i="12"/>
  <c r="W121" i="12"/>
  <c r="V121" i="12"/>
  <c r="U121" i="12"/>
  <c r="T121" i="12"/>
  <c r="S121" i="12"/>
  <c r="Q121" i="12"/>
  <c r="O121" i="12"/>
  <c r="M121" i="12"/>
  <c r="K121" i="12"/>
  <c r="X120" i="12"/>
  <c r="W120" i="12"/>
  <c r="V120" i="12"/>
  <c r="U120" i="12"/>
  <c r="T120" i="12"/>
  <c r="S120" i="12"/>
  <c r="Q120" i="12"/>
  <c r="O120" i="12"/>
  <c r="M120" i="12"/>
  <c r="K120" i="12"/>
  <c r="X119" i="12"/>
  <c r="W119" i="12"/>
  <c r="V119" i="12"/>
  <c r="U119" i="12"/>
  <c r="T119" i="12"/>
  <c r="S119" i="12"/>
  <c r="Q119" i="12"/>
  <c r="O119" i="12"/>
  <c r="M119" i="12"/>
  <c r="K119" i="12"/>
  <c r="X118" i="12"/>
  <c r="W118" i="12"/>
  <c r="V118" i="12"/>
  <c r="U118" i="12"/>
  <c r="T118" i="12"/>
  <c r="S118" i="12"/>
  <c r="Q118" i="12"/>
  <c r="O118" i="12"/>
  <c r="M118" i="12"/>
  <c r="K118" i="12"/>
  <c r="X117" i="12"/>
  <c r="W117" i="12"/>
  <c r="V117" i="12"/>
  <c r="U117" i="12"/>
  <c r="T117" i="12"/>
  <c r="S117" i="12"/>
  <c r="Q117" i="12"/>
  <c r="O117" i="12"/>
  <c r="M117" i="12"/>
  <c r="K117" i="12"/>
  <c r="X116" i="12"/>
  <c r="W116" i="12"/>
  <c r="V116" i="12"/>
  <c r="U116" i="12"/>
  <c r="T116" i="12"/>
  <c r="S116" i="12"/>
  <c r="Q116" i="12"/>
  <c r="O116" i="12"/>
  <c r="M116" i="12"/>
  <c r="K116" i="12"/>
  <c r="X115" i="12"/>
  <c r="W115" i="12"/>
  <c r="V115" i="12"/>
  <c r="U115" i="12"/>
  <c r="T115" i="12"/>
  <c r="S115" i="12"/>
  <c r="Q115" i="12"/>
  <c r="O115" i="12"/>
  <c r="M115" i="12"/>
  <c r="K115" i="12"/>
  <c r="X114" i="12"/>
  <c r="W114" i="12"/>
  <c r="V114" i="12"/>
  <c r="U114" i="12"/>
  <c r="T114" i="12"/>
  <c r="S114" i="12"/>
  <c r="Q114" i="12"/>
  <c r="O114" i="12"/>
  <c r="M114" i="12"/>
  <c r="K114" i="12"/>
  <c r="X113" i="12"/>
  <c r="W113" i="12"/>
  <c r="V113" i="12"/>
  <c r="U113" i="12"/>
  <c r="T113" i="12"/>
  <c r="S113" i="12"/>
  <c r="Q113" i="12"/>
  <c r="O113" i="12"/>
  <c r="M113" i="12"/>
  <c r="K113" i="12"/>
  <c r="X112" i="12"/>
  <c r="W112" i="12"/>
  <c r="V112" i="12"/>
  <c r="U112" i="12"/>
  <c r="T112" i="12"/>
  <c r="S112" i="12"/>
  <c r="Q112" i="12"/>
  <c r="O112" i="12"/>
  <c r="M112" i="12"/>
  <c r="K112" i="12"/>
  <c r="X111" i="12"/>
  <c r="W111" i="12"/>
  <c r="V111" i="12"/>
  <c r="U111" i="12"/>
  <c r="T111" i="12"/>
  <c r="S111" i="12"/>
  <c r="Q111" i="12"/>
  <c r="O111" i="12"/>
  <c r="M111" i="12"/>
  <c r="K111" i="12"/>
  <c r="X110" i="12"/>
  <c r="W110" i="12"/>
  <c r="V110" i="12"/>
  <c r="U110" i="12"/>
  <c r="T110" i="12"/>
  <c r="S110" i="12"/>
  <c r="Q110" i="12"/>
  <c r="O110" i="12"/>
  <c r="M110" i="12"/>
  <c r="K110" i="12"/>
  <c r="X109" i="12"/>
  <c r="W109" i="12"/>
  <c r="V109" i="12"/>
  <c r="U109" i="12"/>
  <c r="T109" i="12"/>
  <c r="S109" i="12"/>
  <c r="Q109" i="12"/>
  <c r="O109" i="12"/>
  <c r="M109" i="12"/>
  <c r="K109" i="12"/>
  <c r="X108" i="12"/>
  <c r="W108" i="12"/>
  <c r="V108" i="12"/>
  <c r="U108" i="12"/>
  <c r="T108" i="12"/>
  <c r="S108" i="12"/>
  <c r="Q108" i="12"/>
  <c r="O108" i="12"/>
  <c r="M108" i="12"/>
  <c r="K108" i="12"/>
  <c r="X107" i="12"/>
  <c r="W107" i="12"/>
  <c r="V107" i="12"/>
  <c r="U107" i="12"/>
  <c r="T107" i="12"/>
  <c r="S107" i="12"/>
  <c r="Q107" i="12"/>
  <c r="O107" i="12"/>
  <c r="M107" i="12"/>
  <c r="K107" i="12"/>
  <c r="X106" i="12"/>
  <c r="W106" i="12"/>
  <c r="V106" i="12"/>
  <c r="U106" i="12"/>
  <c r="T106" i="12"/>
  <c r="S106" i="12"/>
  <c r="Q106" i="12"/>
  <c r="O106" i="12"/>
  <c r="M106" i="12"/>
  <c r="K106" i="12"/>
  <c r="X105" i="12"/>
  <c r="W105" i="12"/>
  <c r="V105" i="12"/>
  <c r="U105" i="12"/>
  <c r="T105" i="12"/>
  <c r="S105" i="12"/>
  <c r="Q105" i="12"/>
  <c r="O105" i="12"/>
  <c r="M105" i="12"/>
  <c r="K105" i="12"/>
  <c r="X104" i="12"/>
  <c r="W104" i="12"/>
  <c r="V104" i="12"/>
  <c r="U104" i="12"/>
  <c r="T104" i="12"/>
  <c r="S104" i="12"/>
  <c r="Q104" i="12"/>
  <c r="O104" i="12"/>
  <c r="M104" i="12"/>
  <c r="K104" i="12"/>
  <c r="X103" i="12"/>
  <c r="W103" i="12"/>
  <c r="V103" i="12"/>
  <c r="U103" i="12"/>
  <c r="T103" i="12"/>
  <c r="S103" i="12"/>
  <c r="Q103" i="12"/>
  <c r="O103" i="12"/>
  <c r="M103" i="12"/>
  <c r="K103" i="12"/>
  <c r="X102" i="12"/>
  <c r="W102" i="12"/>
  <c r="V102" i="12"/>
  <c r="U102" i="12"/>
  <c r="T102" i="12"/>
  <c r="S102" i="12"/>
  <c r="Q102" i="12"/>
  <c r="O102" i="12"/>
  <c r="M102" i="12"/>
  <c r="K102" i="12"/>
  <c r="X101" i="12"/>
  <c r="W101" i="12"/>
  <c r="V101" i="12"/>
  <c r="U101" i="12"/>
  <c r="T101" i="12"/>
  <c r="S101" i="12"/>
  <c r="Q101" i="12"/>
  <c r="O101" i="12"/>
  <c r="M101" i="12"/>
  <c r="K101" i="12"/>
  <c r="X100" i="12"/>
  <c r="W100" i="12"/>
  <c r="V100" i="12"/>
  <c r="U100" i="12"/>
  <c r="T100" i="12"/>
  <c r="S100" i="12"/>
  <c r="Q100" i="12"/>
  <c r="O100" i="12"/>
  <c r="M100" i="12"/>
  <c r="K100" i="12"/>
  <c r="X99" i="12"/>
  <c r="W99" i="12"/>
  <c r="V99" i="12"/>
  <c r="U99" i="12"/>
  <c r="T99" i="12"/>
  <c r="S99" i="12"/>
  <c r="Q99" i="12"/>
  <c r="O99" i="12"/>
  <c r="M99" i="12"/>
  <c r="K99" i="12"/>
  <c r="X98" i="12"/>
  <c r="W98" i="12"/>
  <c r="V98" i="12"/>
  <c r="U98" i="12"/>
  <c r="T98" i="12"/>
  <c r="S98" i="12"/>
  <c r="Q98" i="12"/>
  <c r="O98" i="12"/>
  <c r="M98" i="12"/>
  <c r="K98" i="12"/>
  <c r="X97" i="12"/>
  <c r="W97" i="12"/>
  <c r="V97" i="12"/>
  <c r="U97" i="12"/>
  <c r="T97" i="12"/>
  <c r="S97" i="12"/>
  <c r="Q97" i="12"/>
  <c r="O97" i="12"/>
  <c r="M97" i="12"/>
  <c r="K97" i="12"/>
  <c r="X96" i="12"/>
  <c r="W96" i="12"/>
  <c r="V96" i="12"/>
  <c r="U96" i="12"/>
  <c r="T96" i="12"/>
  <c r="S96" i="12"/>
  <c r="Q96" i="12"/>
  <c r="O96" i="12"/>
  <c r="M96" i="12"/>
  <c r="K96" i="12"/>
  <c r="X95" i="12"/>
  <c r="W95" i="12"/>
  <c r="V95" i="12"/>
  <c r="U95" i="12"/>
  <c r="T95" i="12"/>
  <c r="S95" i="12"/>
  <c r="Q95" i="12"/>
  <c r="O95" i="12"/>
  <c r="M95" i="12"/>
  <c r="K95" i="12"/>
  <c r="X94" i="12"/>
  <c r="W94" i="12"/>
  <c r="V94" i="12"/>
  <c r="U94" i="12"/>
  <c r="T94" i="12"/>
  <c r="S94" i="12"/>
  <c r="Q94" i="12"/>
  <c r="O94" i="12"/>
  <c r="M94" i="12"/>
  <c r="K94" i="12"/>
  <c r="X93" i="12"/>
  <c r="W93" i="12"/>
  <c r="V93" i="12"/>
  <c r="U93" i="12"/>
  <c r="T93" i="12"/>
  <c r="S93" i="12"/>
  <c r="Q93" i="12"/>
  <c r="O93" i="12"/>
  <c r="M93" i="12"/>
  <c r="K93" i="12"/>
  <c r="X92" i="12"/>
  <c r="W92" i="12"/>
  <c r="V92" i="12"/>
  <c r="U92" i="12"/>
  <c r="T92" i="12"/>
  <c r="S92" i="12"/>
  <c r="Q92" i="12"/>
  <c r="O92" i="12"/>
  <c r="M92" i="12"/>
  <c r="K92" i="12"/>
  <c r="X91" i="12"/>
  <c r="W91" i="12"/>
  <c r="V91" i="12"/>
  <c r="U91" i="12"/>
  <c r="T91" i="12"/>
  <c r="S91" i="12"/>
  <c r="Q91" i="12"/>
  <c r="O91" i="12"/>
  <c r="M91" i="12"/>
  <c r="K91" i="12"/>
  <c r="X90" i="12"/>
  <c r="W90" i="12"/>
  <c r="V90" i="12"/>
  <c r="U90" i="12"/>
  <c r="T90" i="12"/>
  <c r="S90" i="12"/>
  <c r="Q90" i="12"/>
  <c r="O90" i="12"/>
  <c r="M90" i="12"/>
  <c r="K90" i="12"/>
  <c r="X89" i="12"/>
  <c r="W89" i="12"/>
  <c r="V89" i="12"/>
  <c r="U89" i="12"/>
  <c r="T89" i="12"/>
  <c r="S89" i="12"/>
  <c r="Q89" i="12"/>
  <c r="O89" i="12"/>
  <c r="M89" i="12"/>
  <c r="K89" i="12"/>
  <c r="X88" i="12"/>
  <c r="W88" i="12"/>
  <c r="V88" i="12"/>
  <c r="U88" i="12"/>
  <c r="T88" i="12"/>
  <c r="S88" i="12"/>
  <c r="Q88" i="12"/>
  <c r="O88" i="12"/>
  <c r="M88" i="12"/>
  <c r="K88" i="12"/>
  <c r="X87" i="12"/>
  <c r="W87" i="12"/>
  <c r="V87" i="12"/>
  <c r="U87" i="12"/>
  <c r="T87" i="12"/>
  <c r="S87" i="12"/>
  <c r="Q87" i="12"/>
  <c r="O87" i="12"/>
  <c r="M87" i="12"/>
  <c r="K87" i="12"/>
  <c r="X86" i="12"/>
  <c r="W86" i="12"/>
  <c r="V86" i="12"/>
  <c r="U86" i="12"/>
  <c r="T86" i="12"/>
  <c r="S86" i="12"/>
  <c r="Q86" i="12"/>
  <c r="O86" i="12"/>
  <c r="M86" i="12"/>
  <c r="K86" i="12"/>
  <c r="X85" i="12"/>
  <c r="W85" i="12"/>
  <c r="V85" i="12"/>
  <c r="U85" i="12"/>
  <c r="T85" i="12"/>
  <c r="S85" i="12"/>
  <c r="Q85" i="12"/>
  <c r="O85" i="12"/>
  <c r="M85" i="12"/>
  <c r="K85" i="12"/>
  <c r="X84" i="12"/>
  <c r="W84" i="12"/>
  <c r="V84" i="12"/>
  <c r="U84" i="12"/>
  <c r="T84" i="12"/>
  <c r="S84" i="12"/>
  <c r="Q84" i="12"/>
  <c r="O84" i="12"/>
  <c r="M84" i="12"/>
  <c r="K84" i="12"/>
  <c r="X83" i="12"/>
  <c r="W83" i="12"/>
  <c r="V83" i="12"/>
  <c r="U83" i="12"/>
  <c r="T83" i="12"/>
  <c r="S83" i="12"/>
  <c r="Q83" i="12"/>
  <c r="O83" i="12"/>
  <c r="M83" i="12"/>
  <c r="K83" i="12"/>
  <c r="X82" i="12"/>
  <c r="W82" i="12"/>
  <c r="V82" i="12"/>
  <c r="U82" i="12"/>
  <c r="T82" i="12"/>
  <c r="S82" i="12"/>
  <c r="Q82" i="12"/>
  <c r="O82" i="12"/>
  <c r="M82" i="12"/>
  <c r="K82" i="12"/>
  <c r="X81" i="12"/>
  <c r="W81" i="12"/>
  <c r="V81" i="12"/>
  <c r="U81" i="12"/>
  <c r="T81" i="12"/>
  <c r="S81" i="12"/>
  <c r="Q81" i="12"/>
  <c r="O81" i="12"/>
  <c r="M81" i="12"/>
  <c r="K81" i="12"/>
  <c r="X80" i="12"/>
  <c r="W80" i="12"/>
  <c r="V80" i="12"/>
  <c r="U80" i="12"/>
  <c r="T80" i="12"/>
  <c r="S80" i="12"/>
  <c r="Q80" i="12"/>
  <c r="O80" i="12"/>
  <c r="M80" i="12"/>
  <c r="K80" i="12"/>
  <c r="X79" i="12"/>
  <c r="W79" i="12"/>
  <c r="V79" i="12"/>
  <c r="U79" i="12"/>
  <c r="T79" i="12"/>
  <c r="S79" i="12"/>
  <c r="Q79" i="12"/>
  <c r="O79" i="12"/>
  <c r="M79" i="12"/>
  <c r="K79" i="12"/>
  <c r="X78" i="12"/>
  <c r="W78" i="12"/>
  <c r="V78" i="12"/>
  <c r="U78" i="12"/>
  <c r="T78" i="12"/>
  <c r="S78" i="12"/>
  <c r="Q78" i="12"/>
  <c r="O78" i="12"/>
  <c r="M78" i="12"/>
  <c r="K78" i="12"/>
  <c r="X77" i="12"/>
  <c r="W77" i="12"/>
  <c r="V77" i="12"/>
  <c r="U77" i="12"/>
  <c r="T77" i="12"/>
  <c r="S77" i="12"/>
  <c r="Q77" i="12"/>
  <c r="O77" i="12"/>
  <c r="M77" i="12"/>
  <c r="K77" i="12"/>
  <c r="X76" i="12"/>
  <c r="W76" i="12"/>
  <c r="V76" i="12"/>
  <c r="U76" i="12"/>
  <c r="T76" i="12"/>
  <c r="S76" i="12"/>
  <c r="Q76" i="12"/>
  <c r="O76" i="12"/>
  <c r="M76" i="12"/>
  <c r="K76" i="12"/>
  <c r="X75" i="12"/>
  <c r="W75" i="12"/>
  <c r="V75" i="12"/>
  <c r="U75" i="12"/>
  <c r="T75" i="12"/>
  <c r="S75" i="12"/>
  <c r="Q75" i="12"/>
  <c r="O75" i="12"/>
  <c r="M75" i="12"/>
  <c r="K75" i="12"/>
  <c r="X74" i="12"/>
  <c r="W74" i="12"/>
  <c r="V74" i="12"/>
  <c r="U74" i="12"/>
  <c r="T74" i="12"/>
  <c r="S74" i="12"/>
  <c r="Q74" i="12"/>
  <c r="O74" i="12"/>
  <c r="M74" i="12"/>
  <c r="K74" i="12"/>
  <c r="X73" i="12"/>
  <c r="W73" i="12"/>
  <c r="V73" i="12"/>
  <c r="U73" i="12"/>
  <c r="T73" i="12"/>
  <c r="S73" i="12"/>
  <c r="Q73" i="12"/>
  <c r="O73" i="12"/>
  <c r="M73" i="12"/>
  <c r="K73" i="12"/>
  <c r="X72" i="12"/>
  <c r="W72" i="12"/>
  <c r="V72" i="12"/>
  <c r="U72" i="12"/>
  <c r="T72" i="12"/>
  <c r="S72" i="12"/>
  <c r="Q72" i="12"/>
  <c r="O72" i="12"/>
  <c r="M72" i="12"/>
  <c r="K72" i="12"/>
  <c r="X71" i="12"/>
  <c r="W71" i="12"/>
  <c r="V71" i="12"/>
  <c r="U71" i="12"/>
  <c r="T71" i="12"/>
  <c r="S71" i="12"/>
  <c r="Q71" i="12"/>
  <c r="O71" i="12"/>
  <c r="M71" i="12"/>
  <c r="K71" i="12"/>
  <c r="X70" i="12"/>
  <c r="W70" i="12"/>
  <c r="V70" i="12"/>
  <c r="U70" i="12"/>
  <c r="T70" i="12"/>
  <c r="S70" i="12"/>
  <c r="Q70" i="12"/>
  <c r="O70" i="12"/>
  <c r="M70" i="12"/>
  <c r="K70" i="12"/>
  <c r="X69" i="12"/>
  <c r="W69" i="12"/>
  <c r="V69" i="12"/>
  <c r="U69" i="12"/>
  <c r="T69" i="12"/>
  <c r="S69" i="12"/>
  <c r="Q69" i="12"/>
  <c r="O69" i="12"/>
  <c r="M69" i="12"/>
  <c r="K69" i="12"/>
  <c r="X68" i="12"/>
  <c r="W68" i="12"/>
  <c r="V68" i="12"/>
  <c r="U68" i="12"/>
  <c r="T68" i="12"/>
  <c r="S68" i="12"/>
  <c r="Q68" i="12"/>
  <c r="O68" i="12"/>
  <c r="M68" i="12"/>
  <c r="K68" i="12"/>
  <c r="X67" i="12"/>
  <c r="W67" i="12"/>
  <c r="V67" i="12"/>
  <c r="U67" i="12"/>
  <c r="T67" i="12"/>
  <c r="S67" i="12"/>
  <c r="Q67" i="12"/>
  <c r="O67" i="12"/>
  <c r="M67" i="12"/>
  <c r="K67" i="12"/>
  <c r="X66" i="12"/>
  <c r="W66" i="12"/>
  <c r="V66" i="12"/>
  <c r="U66" i="12"/>
  <c r="T66" i="12"/>
  <c r="S66" i="12"/>
  <c r="Q66" i="12"/>
  <c r="O66" i="12"/>
  <c r="M66" i="12"/>
  <c r="K66" i="12"/>
  <c r="X65" i="12"/>
  <c r="W65" i="12"/>
  <c r="V65" i="12"/>
  <c r="U65" i="12"/>
  <c r="T65" i="12"/>
  <c r="S65" i="12"/>
  <c r="Q65" i="12"/>
  <c r="O65" i="12"/>
  <c r="M65" i="12"/>
  <c r="K65" i="12"/>
  <c r="X64" i="12"/>
  <c r="W64" i="12"/>
  <c r="V64" i="12"/>
  <c r="U64" i="12"/>
  <c r="T64" i="12"/>
  <c r="S64" i="12"/>
  <c r="Q64" i="12"/>
  <c r="O64" i="12"/>
  <c r="M64" i="12"/>
  <c r="K64" i="12"/>
  <c r="X63" i="12"/>
  <c r="W63" i="12"/>
  <c r="V63" i="12"/>
  <c r="U63" i="12"/>
  <c r="T63" i="12"/>
  <c r="S63" i="12"/>
  <c r="Q63" i="12"/>
  <c r="O63" i="12"/>
  <c r="M63" i="12"/>
  <c r="K63" i="12"/>
  <c r="X62" i="12"/>
  <c r="W62" i="12"/>
  <c r="V62" i="12"/>
  <c r="U62" i="12"/>
  <c r="T62" i="12"/>
  <c r="S62" i="12"/>
  <c r="Q62" i="12"/>
  <c r="O62" i="12"/>
  <c r="M62" i="12"/>
  <c r="K62" i="12"/>
  <c r="X61" i="12"/>
  <c r="W61" i="12"/>
  <c r="V61" i="12"/>
  <c r="U61" i="12"/>
  <c r="T61" i="12"/>
  <c r="S61" i="12"/>
  <c r="Q61" i="12"/>
  <c r="O61" i="12"/>
  <c r="M61" i="12"/>
  <c r="K61" i="12"/>
  <c r="X60" i="12"/>
  <c r="W60" i="12"/>
  <c r="V60" i="12"/>
  <c r="U60" i="12"/>
  <c r="T60" i="12"/>
  <c r="S60" i="12"/>
  <c r="Q60" i="12"/>
  <c r="O60" i="12"/>
  <c r="M60" i="12"/>
  <c r="K60" i="12"/>
  <c r="X59" i="12"/>
  <c r="W59" i="12"/>
  <c r="V59" i="12"/>
  <c r="U59" i="12"/>
  <c r="T59" i="12"/>
  <c r="S59" i="12"/>
  <c r="Q59" i="12"/>
  <c r="O59" i="12"/>
  <c r="M59" i="12"/>
  <c r="K59" i="12"/>
  <c r="X58" i="12"/>
  <c r="W58" i="12"/>
  <c r="V58" i="12"/>
  <c r="U58" i="12"/>
  <c r="T58" i="12"/>
  <c r="S58" i="12"/>
  <c r="Q58" i="12"/>
  <c r="O58" i="12"/>
  <c r="M58" i="12"/>
  <c r="K58" i="12"/>
  <c r="X57" i="12"/>
  <c r="W57" i="12"/>
  <c r="V57" i="12"/>
  <c r="U57" i="12"/>
  <c r="T57" i="12"/>
  <c r="S57" i="12"/>
  <c r="Q57" i="12"/>
  <c r="O57" i="12"/>
  <c r="M57" i="12"/>
  <c r="K57" i="12"/>
  <c r="X56" i="12"/>
  <c r="W56" i="12"/>
  <c r="V56" i="12"/>
  <c r="U56" i="12"/>
  <c r="T56" i="12"/>
  <c r="S56" i="12"/>
  <c r="Q56" i="12"/>
  <c r="O56" i="12"/>
  <c r="M56" i="12"/>
  <c r="K56" i="12"/>
  <c r="X55" i="12"/>
  <c r="W55" i="12"/>
  <c r="V55" i="12"/>
  <c r="U55" i="12"/>
  <c r="T55" i="12"/>
  <c r="S55" i="12"/>
  <c r="Q55" i="12"/>
  <c r="O55" i="12"/>
  <c r="M55" i="12"/>
  <c r="K55" i="12"/>
  <c r="X54" i="12"/>
  <c r="W54" i="12"/>
  <c r="V54" i="12"/>
  <c r="U54" i="12"/>
  <c r="T54" i="12"/>
  <c r="S54" i="12"/>
  <c r="Q54" i="12"/>
  <c r="O54" i="12"/>
  <c r="M54" i="12"/>
  <c r="K54" i="12"/>
  <c r="X53" i="12"/>
  <c r="W53" i="12"/>
  <c r="V53" i="12"/>
  <c r="U53" i="12"/>
  <c r="T53" i="12"/>
  <c r="S53" i="12"/>
  <c r="Q53" i="12"/>
  <c r="O53" i="12"/>
  <c r="M53" i="12"/>
  <c r="K53" i="12"/>
  <c r="X52" i="12"/>
  <c r="W52" i="12"/>
  <c r="V52" i="12"/>
  <c r="U52" i="12"/>
  <c r="T52" i="12"/>
  <c r="S52" i="12"/>
  <c r="Q52" i="12"/>
  <c r="O52" i="12"/>
  <c r="M52" i="12"/>
  <c r="K52" i="12"/>
  <c r="X51" i="12"/>
  <c r="W51" i="12"/>
  <c r="V51" i="12"/>
  <c r="U51" i="12"/>
  <c r="T51" i="12"/>
  <c r="S51" i="12"/>
  <c r="Q51" i="12"/>
  <c r="O51" i="12"/>
  <c r="M51" i="12"/>
  <c r="K51" i="12"/>
  <c r="X50" i="12"/>
  <c r="W50" i="12"/>
  <c r="V50" i="12"/>
  <c r="U50" i="12"/>
  <c r="T50" i="12"/>
  <c r="S50" i="12"/>
  <c r="Q50" i="12"/>
  <c r="O50" i="12"/>
  <c r="M50" i="12"/>
  <c r="K50" i="12"/>
  <c r="X49" i="12"/>
  <c r="W49" i="12"/>
  <c r="V49" i="12"/>
  <c r="U49" i="12"/>
  <c r="T49" i="12"/>
  <c r="S49" i="12"/>
  <c r="Q49" i="12"/>
  <c r="O49" i="12"/>
  <c r="M49" i="12"/>
  <c r="K49" i="12"/>
  <c r="X48" i="12"/>
  <c r="W48" i="12"/>
  <c r="V48" i="12"/>
  <c r="U48" i="12"/>
  <c r="T48" i="12"/>
  <c r="S48" i="12"/>
  <c r="Q48" i="12"/>
  <c r="O48" i="12"/>
  <c r="M48" i="12"/>
  <c r="K48" i="12"/>
  <c r="X47" i="12"/>
  <c r="W47" i="12"/>
  <c r="V47" i="12"/>
  <c r="U47" i="12"/>
  <c r="T47" i="12"/>
  <c r="S47" i="12"/>
  <c r="Q47" i="12"/>
  <c r="O47" i="12"/>
  <c r="M47" i="12"/>
  <c r="K47" i="12"/>
  <c r="X46" i="12"/>
  <c r="W46" i="12"/>
  <c r="V46" i="12"/>
  <c r="U46" i="12"/>
  <c r="T46" i="12"/>
  <c r="S46" i="12"/>
  <c r="Q46" i="12"/>
  <c r="O46" i="12"/>
  <c r="M46" i="12"/>
  <c r="K46" i="12"/>
  <c r="X45" i="12"/>
  <c r="W45" i="12"/>
  <c r="V45" i="12"/>
  <c r="U45" i="12"/>
  <c r="T45" i="12"/>
  <c r="S45" i="12"/>
  <c r="Q45" i="12"/>
  <c r="O45" i="12"/>
  <c r="M45" i="12"/>
  <c r="K45" i="12"/>
  <c r="X44" i="12"/>
  <c r="W44" i="12"/>
  <c r="V44" i="12"/>
  <c r="U44" i="12"/>
  <c r="T44" i="12"/>
  <c r="S44" i="12"/>
  <c r="Q44" i="12"/>
  <c r="O44" i="12"/>
  <c r="M44" i="12"/>
  <c r="K44" i="12"/>
  <c r="X43" i="12"/>
  <c r="W43" i="12"/>
  <c r="V43" i="12"/>
  <c r="U43" i="12"/>
  <c r="T43" i="12"/>
  <c r="S43" i="12"/>
  <c r="Q43" i="12"/>
  <c r="O43" i="12"/>
  <c r="M43" i="12"/>
  <c r="K43" i="12"/>
  <c r="X42" i="12"/>
  <c r="W42" i="12"/>
  <c r="V42" i="12"/>
  <c r="U42" i="12"/>
  <c r="T42" i="12"/>
  <c r="S42" i="12"/>
  <c r="Q42" i="12"/>
  <c r="O42" i="12"/>
  <c r="M42" i="12"/>
  <c r="K42" i="12"/>
  <c r="X41" i="12"/>
  <c r="W41" i="12"/>
  <c r="V41" i="12"/>
  <c r="U41" i="12"/>
  <c r="T41" i="12"/>
  <c r="S41" i="12"/>
  <c r="Q41" i="12"/>
  <c r="O41" i="12"/>
  <c r="M41" i="12"/>
  <c r="K41" i="12"/>
  <c r="X40" i="12"/>
  <c r="W40" i="12"/>
  <c r="V40" i="12"/>
  <c r="U40" i="12"/>
  <c r="T40" i="12"/>
  <c r="S40" i="12"/>
  <c r="Q40" i="12"/>
  <c r="O40" i="12"/>
  <c r="M40" i="12"/>
  <c r="K40" i="12"/>
  <c r="X39" i="12"/>
  <c r="W39" i="12"/>
  <c r="V39" i="12"/>
  <c r="U39" i="12"/>
  <c r="T39" i="12"/>
  <c r="S39" i="12"/>
  <c r="Q39" i="12"/>
  <c r="O39" i="12"/>
  <c r="M39" i="12"/>
  <c r="K39" i="12"/>
  <c r="X38" i="12"/>
  <c r="W38" i="12"/>
  <c r="V38" i="12"/>
  <c r="U38" i="12"/>
  <c r="T38" i="12"/>
  <c r="S38" i="12"/>
  <c r="Q38" i="12"/>
  <c r="O38" i="12"/>
  <c r="M38" i="12"/>
  <c r="K38" i="12"/>
  <c r="X37" i="12"/>
  <c r="W37" i="12"/>
  <c r="V37" i="12"/>
  <c r="U37" i="12"/>
  <c r="T37" i="12"/>
  <c r="S37" i="12"/>
  <c r="Q37" i="12"/>
  <c r="O37" i="12"/>
  <c r="M37" i="12"/>
  <c r="K37" i="12"/>
  <c r="X36" i="12"/>
  <c r="W36" i="12"/>
  <c r="V36" i="12"/>
  <c r="U36" i="12"/>
  <c r="T36" i="12"/>
  <c r="S36" i="12"/>
  <c r="Q36" i="12"/>
  <c r="O36" i="12"/>
  <c r="M36" i="12"/>
  <c r="K36" i="12"/>
  <c r="X35" i="12"/>
  <c r="W35" i="12"/>
  <c r="V35" i="12"/>
  <c r="U35" i="12"/>
  <c r="T35" i="12"/>
  <c r="S35" i="12"/>
  <c r="Q35" i="12"/>
  <c r="O35" i="12"/>
  <c r="M35" i="12"/>
  <c r="K35" i="12"/>
  <c r="X34" i="12"/>
  <c r="W34" i="12"/>
  <c r="V34" i="12"/>
  <c r="U34" i="12"/>
  <c r="T34" i="12"/>
  <c r="S34" i="12"/>
  <c r="Q34" i="12"/>
  <c r="O34" i="12"/>
  <c r="M34" i="12"/>
  <c r="K34" i="12"/>
  <c r="X33" i="12"/>
  <c r="W33" i="12"/>
  <c r="V33" i="12"/>
  <c r="U33" i="12"/>
  <c r="T33" i="12"/>
  <c r="S33" i="12"/>
  <c r="Q33" i="12"/>
  <c r="O33" i="12"/>
  <c r="M33" i="12"/>
  <c r="K33" i="12"/>
  <c r="X32" i="12"/>
  <c r="W32" i="12"/>
  <c r="V32" i="12"/>
  <c r="U32" i="12"/>
  <c r="T32" i="12"/>
  <c r="S32" i="12"/>
  <c r="Q32" i="12"/>
  <c r="O32" i="12"/>
  <c r="M32" i="12"/>
  <c r="K32" i="12"/>
  <c r="X31" i="12"/>
  <c r="W31" i="12"/>
  <c r="V31" i="12"/>
  <c r="U31" i="12"/>
  <c r="T31" i="12"/>
  <c r="S31" i="12"/>
  <c r="Q31" i="12"/>
  <c r="O31" i="12"/>
  <c r="M31" i="12"/>
  <c r="K31" i="12"/>
  <c r="X30" i="12"/>
  <c r="W30" i="12"/>
  <c r="V30" i="12"/>
  <c r="U30" i="12"/>
  <c r="T30" i="12"/>
  <c r="S30" i="12"/>
  <c r="Q30" i="12"/>
  <c r="O30" i="12"/>
  <c r="M30" i="12"/>
  <c r="K30" i="12"/>
  <c r="X29" i="12"/>
  <c r="W29" i="12"/>
  <c r="V29" i="12"/>
  <c r="U29" i="12"/>
  <c r="T29" i="12"/>
  <c r="S29" i="12"/>
  <c r="Q29" i="12"/>
  <c r="O29" i="12"/>
  <c r="M29" i="12"/>
  <c r="K29" i="12"/>
  <c r="X28" i="12"/>
  <c r="W28" i="12"/>
  <c r="V28" i="12"/>
  <c r="U28" i="12"/>
  <c r="T28" i="12"/>
  <c r="S28" i="12"/>
  <c r="Q28" i="12"/>
  <c r="O28" i="12"/>
  <c r="M28" i="12"/>
  <c r="K28" i="12"/>
  <c r="X27" i="12"/>
  <c r="W27" i="12"/>
  <c r="V27" i="12"/>
  <c r="U27" i="12"/>
  <c r="T27" i="12"/>
  <c r="S27" i="12"/>
  <c r="Q27" i="12"/>
  <c r="O27" i="12"/>
  <c r="M27" i="12"/>
  <c r="K27" i="12"/>
  <c r="X26" i="12"/>
  <c r="W26" i="12"/>
  <c r="V26" i="12"/>
  <c r="U26" i="12"/>
  <c r="T26" i="12"/>
  <c r="S26" i="12"/>
  <c r="Q26" i="12"/>
  <c r="O26" i="12"/>
  <c r="M26" i="12"/>
  <c r="K26" i="12"/>
  <c r="X25" i="12"/>
  <c r="W25" i="12"/>
  <c r="V25" i="12"/>
  <c r="U25" i="12"/>
  <c r="T25" i="12"/>
  <c r="S25" i="12"/>
  <c r="Q25" i="12"/>
  <c r="O25" i="12"/>
  <c r="M25" i="12"/>
  <c r="K25" i="12"/>
  <c r="X24" i="12"/>
  <c r="W24" i="12"/>
  <c r="V24" i="12"/>
  <c r="U24" i="12"/>
  <c r="T24" i="12"/>
  <c r="S24" i="12"/>
  <c r="Q24" i="12"/>
  <c r="O24" i="12"/>
  <c r="M24" i="12"/>
  <c r="K24" i="12"/>
  <c r="X23" i="12"/>
  <c r="W23" i="12"/>
  <c r="V23" i="12"/>
  <c r="U23" i="12"/>
  <c r="T23" i="12"/>
  <c r="S23" i="12"/>
  <c r="Q23" i="12"/>
  <c r="O23" i="12"/>
  <c r="M23" i="12"/>
  <c r="K23" i="12"/>
  <c r="X22" i="12"/>
  <c r="W22" i="12"/>
  <c r="V22" i="12"/>
  <c r="U22" i="12"/>
  <c r="T22" i="12"/>
  <c r="S22" i="12"/>
  <c r="Q22" i="12"/>
  <c r="O22" i="12"/>
  <c r="M22" i="12"/>
  <c r="K22" i="12"/>
  <c r="X21" i="12"/>
  <c r="W21" i="12"/>
  <c r="V21" i="12"/>
  <c r="U21" i="12"/>
  <c r="T21" i="12"/>
  <c r="S21" i="12"/>
  <c r="Q21" i="12"/>
  <c r="O21" i="12"/>
  <c r="M21" i="12"/>
  <c r="K21" i="12"/>
  <c r="X20" i="12"/>
  <c r="W20" i="12"/>
  <c r="V20" i="12"/>
  <c r="U20" i="12"/>
  <c r="T20" i="12"/>
  <c r="S20" i="12"/>
  <c r="Q20" i="12"/>
  <c r="O20" i="12"/>
  <c r="M20" i="12"/>
  <c r="K20" i="12"/>
  <c r="X19" i="12"/>
  <c r="W19" i="12"/>
  <c r="V19" i="12"/>
  <c r="U19" i="12"/>
  <c r="T19" i="12"/>
  <c r="S19" i="12"/>
  <c r="Q19" i="12"/>
  <c r="O19" i="12"/>
  <c r="M19" i="12"/>
  <c r="K19" i="12"/>
  <c r="X18" i="12"/>
  <c r="W18" i="12"/>
  <c r="V18" i="12"/>
  <c r="U18" i="12"/>
  <c r="T18" i="12"/>
  <c r="S18" i="12"/>
  <c r="Q18" i="12"/>
  <c r="O18" i="12"/>
  <c r="M18" i="12"/>
  <c r="K18" i="12"/>
  <c r="X17" i="12"/>
  <c r="W17" i="12"/>
  <c r="V17" i="12"/>
  <c r="U17" i="12"/>
  <c r="T17" i="12"/>
  <c r="S17" i="12"/>
  <c r="Q17" i="12"/>
  <c r="O17" i="12"/>
  <c r="M17" i="12"/>
  <c r="K17" i="12"/>
  <c r="X16" i="12"/>
  <c r="W16" i="12"/>
  <c r="V16" i="12"/>
  <c r="U16" i="12"/>
  <c r="T16" i="12"/>
  <c r="S16" i="12"/>
  <c r="Q16" i="12"/>
  <c r="O16" i="12"/>
  <c r="M16" i="12"/>
  <c r="K16" i="12"/>
  <c r="X15" i="12"/>
  <c r="W15" i="12"/>
  <c r="V15" i="12"/>
  <c r="U15" i="12"/>
  <c r="T15" i="12"/>
  <c r="S15" i="12"/>
  <c r="Q15" i="12"/>
  <c r="O15" i="12"/>
  <c r="M15" i="12"/>
  <c r="K15" i="12"/>
  <c r="X14" i="12"/>
  <c r="W14" i="12"/>
  <c r="V14" i="12"/>
  <c r="U14" i="12"/>
  <c r="T14" i="12"/>
  <c r="S14" i="12"/>
  <c r="Q14" i="12"/>
  <c r="O14" i="12"/>
  <c r="M14" i="12"/>
  <c r="K14" i="12"/>
  <c r="X13" i="12"/>
  <c r="W13" i="12"/>
  <c r="V13" i="12"/>
  <c r="U13" i="12"/>
  <c r="T13" i="12"/>
  <c r="S13" i="12"/>
  <c r="Q13" i="12"/>
  <c r="O13" i="12"/>
  <c r="M13" i="12"/>
  <c r="K13" i="12"/>
  <c r="X12" i="12"/>
  <c r="W12" i="12"/>
  <c r="V12" i="12"/>
  <c r="U12" i="12"/>
  <c r="T12" i="12"/>
  <c r="S12" i="12"/>
  <c r="Q12" i="12"/>
  <c r="O12" i="12"/>
  <c r="M12" i="12"/>
  <c r="K12" i="12"/>
  <c r="X11" i="12"/>
  <c r="W11" i="12"/>
  <c r="V11" i="12"/>
  <c r="U11" i="12"/>
  <c r="T11" i="12"/>
  <c r="S11" i="12"/>
  <c r="Q11" i="12"/>
  <c r="O11" i="12"/>
  <c r="M11" i="12"/>
  <c r="K11" i="12"/>
  <c r="X10" i="12"/>
  <c r="W10" i="12"/>
  <c r="V10" i="12"/>
  <c r="U10" i="12"/>
  <c r="T10" i="12"/>
  <c r="S10" i="12"/>
  <c r="Q10" i="12"/>
  <c r="O10" i="12"/>
  <c r="M10" i="12"/>
  <c r="K10" i="12"/>
  <c r="X9" i="12"/>
  <c r="W9" i="12"/>
  <c r="V9" i="12"/>
  <c r="U9" i="12"/>
  <c r="T9" i="12"/>
  <c r="S9" i="12"/>
  <c r="Q9" i="12"/>
  <c r="O9" i="12"/>
  <c r="M9" i="12"/>
  <c r="K9" i="12"/>
  <c r="X8" i="12"/>
  <c r="W8" i="12"/>
  <c r="V8" i="12"/>
  <c r="U8" i="12"/>
  <c r="T8" i="12"/>
  <c r="S8" i="12"/>
  <c r="Q8" i="12"/>
  <c r="O8" i="12"/>
  <c r="M8" i="12"/>
  <c r="K8" i="12"/>
  <c r="X7" i="12"/>
  <c r="W7" i="12"/>
  <c r="V7" i="12"/>
  <c r="U7" i="12"/>
  <c r="T7" i="12"/>
  <c r="S7" i="12"/>
  <c r="Q7" i="12"/>
  <c r="O7" i="12"/>
  <c r="M7" i="12"/>
  <c r="K7" i="12"/>
  <c r="X280" i="11"/>
  <c r="W280" i="11"/>
  <c r="V280" i="11"/>
  <c r="U280" i="11"/>
  <c r="T280" i="11"/>
  <c r="S280" i="11"/>
  <c r="Q280" i="11"/>
  <c r="O280" i="11"/>
  <c r="M280" i="11"/>
  <c r="K280" i="11"/>
  <c r="X279" i="11"/>
  <c r="W279" i="11"/>
  <c r="V279" i="11"/>
  <c r="U279" i="11"/>
  <c r="T279" i="11"/>
  <c r="S279" i="11"/>
  <c r="Q279" i="11"/>
  <c r="O279" i="11"/>
  <c r="M279" i="11"/>
  <c r="K279" i="11"/>
  <c r="X278" i="11"/>
  <c r="W278" i="11"/>
  <c r="V278" i="11"/>
  <c r="U278" i="11"/>
  <c r="T278" i="11"/>
  <c r="S278" i="11"/>
  <c r="Q278" i="11"/>
  <c r="O278" i="11"/>
  <c r="M278" i="11"/>
  <c r="K278" i="11"/>
  <c r="X277" i="11"/>
  <c r="W277" i="11"/>
  <c r="V277" i="11"/>
  <c r="U277" i="11"/>
  <c r="T277" i="11"/>
  <c r="S277" i="11"/>
  <c r="Q277" i="11"/>
  <c r="O277" i="11"/>
  <c r="M277" i="11"/>
  <c r="K277" i="11"/>
  <c r="X276" i="11"/>
  <c r="W276" i="11"/>
  <c r="V276" i="11"/>
  <c r="U276" i="11"/>
  <c r="T276" i="11"/>
  <c r="S276" i="11"/>
  <c r="Q276" i="11"/>
  <c r="O276" i="11"/>
  <c r="M276" i="11"/>
  <c r="K276" i="11"/>
  <c r="X275" i="11"/>
  <c r="W275" i="11"/>
  <c r="V275" i="11"/>
  <c r="U275" i="11"/>
  <c r="T275" i="11"/>
  <c r="S275" i="11"/>
  <c r="Q275" i="11"/>
  <c r="O275" i="11"/>
  <c r="M275" i="11"/>
  <c r="K275" i="11"/>
  <c r="X274" i="11"/>
  <c r="W274" i="11"/>
  <c r="V274" i="11"/>
  <c r="U274" i="11"/>
  <c r="T274" i="11"/>
  <c r="S274" i="11"/>
  <c r="Q274" i="11"/>
  <c r="O274" i="11"/>
  <c r="M274" i="11"/>
  <c r="K274" i="11"/>
  <c r="X273" i="11"/>
  <c r="W273" i="11"/>
  <c r="V273" i="11"/>
  <c r="U273" i="11"/>
  <c r="T273" i="11"/>
  <c r="S273" i="11"/>
  <c r="Q273" i="11"/>
  <c r="O273" i="11"/>
  <c r="M273" i="11"/>
  <c r="K273" i="11"/>
  <c r="X272" i="11"/>
  <c r="W272" i="11"/>
  <c r="V272" i="11"/>
  <c r="U272" i="11"/>
  <c r="T272" i="11"/>
  <c r="S272" i="11"/>
  <c r="Q272" i="11"/>
  <c r="O272" i="11"/>
  <c r="M272" i="11"/>
  <c r="K272" i="11"/>
  <c r="X271" i="11"/>
  <c r="W271" i="11"/>
  <c r="V271" i="11"/>
  <c r="U271" i="11"/>
  <c r="T271" i="11"/>
  <c r="S271" i="11"/>
  <c r="Q271" i="11"/>
  <c r="O271" i="11"/>
  <c r="M271" i="11"/>
  <c r="K271" i="11"/>
  <c r="X270" i="11"/>
  <c r="W270" i="11"/>
  <c r="V270" i="11"/>
  <c r="U270" i="11"/>
  <c r="T270" i="11"/>
  <c r="S270" i="11"/>
  <c r="Q270" i="11"/>
  <c r="O270" i="11"/>
  <c r="M270" i="11"/>
  <c r="K270" i="11"/>
  <c r="X269" i="11"/>
  <c r="W269" i="11"/>
  <c r="V269" i="11"/>
  <c r="U269" i="11"/>
  <c r="T269" i="11"/>
  <c r="S269" i="11"/>
  <c r="Q269" i="11"/>
  <c r="O269" i="11"/>
  <c r="M269" i="11"/>
  <c r="K269" i="11"/>
  <c r="X268" i="11"/>
  <c r="W268" i="11"/>
  <c r="V268" i="11"/>
  <c r="U268" i="11"/>
  <c r="T268" i="11"/>
  <c r="S268" i="11"/>
  <c r="Q268" i="11"/>
  <c r="O268" i="11"/>
  <c r="M268" i="11"/>
  <c r="K268" i="11"/>
  <c r="X267" i="11"/>
  <c r="W267" i="11"/>
  <c r="V267" i="11"/>
  <c r="U267" i="11"/>
  <c r="T267" i="11"/>
  <c r="S267" i="11"/>
  <c r="Q267" i="11"/>
  <c r="O267" i="11"/>
  <c r="M267" i="11"/>
  <c r="K267" i="11"/>
  <c r="X266" i="11"/>
  <c r="W266" i="11"/>
  <c r="V266" i="11"/>
  <c r="U266" i="11"/>
  <c r="T266" i="11"/>
  <c r="S266" i="11"/>
  <c r="Q266" i="11"/>
  <c r="O266" i="11"/>
  <c r="M266" i="11"/>
  <c r="K266" i="11"/>
  <c r="X265" i="11"/>
  <c r="W265" i="11"/>
  <c r="V265" i="11"/>
  <c r="U265" i="11"/>
  <c r="T265" i="11"/>
  <c r="S265" i="11"/>
  <c r="Q265" i="11"/>
  <c r="O265" i="11"/>
  <c r="M265" i="11"/>
  <c r="K265" i="11"/>
  <c r="X264" i="11"/>
  <c r="W264" i="11"/>
  <c r="V264" i="11"/>
  <c r="U264" i="11"/>
  <c r="T264" i="11"/>
  <c r="S264" i="11"/>
  <c r="Q264" i="11"/>
  <c r="O264" i="11"/>
  <c r="M264" i="11"/>
  <c r="K264" i="11"/>
  <c r="X263" i="11"/>
  <c r="W263" i="11"/>
  <c r="V263" i="11"/>
  <c r="U263" i="11"/>
  <c r="T263" i="11"/>
  <c r="S263" i="11"/>
  <c r="Q263" i="11"/>
  <c r="O263" i="11"/>
  <c r="M263" i="11"/>
  <c r="K263" i="11"/>
  <c r="X262" i="11"/>
  <c r="W262" i="11"/>
  <c r="V262" i="11"/>
  <c r="U262" i="11"/>
  <c r="T262" i="11"/>
  <c r="S262" i="11"/>
  <c r="Q262" i="11"/>
  <c r="O262" i="11"/>
  <c r="M262" i="11"/>
  <c r="K262" i="11"/>
  <c r="X261" i="11"/>
  <c r="W261" i="11"/>
  <c r="V261" i="11"/>
  <c r="U261" i="11"/>
  <c r="T261" i="11"/>
  <c r="S261" i="11"/>
  <c r="Q261" i="11"/>
  <c r="O261" i="11"/>
  <c r="M261" i="11"/>
  <c r="K261" i="11"/>
  <c r="X260" i="11"/>
  <c r="W260" i="11"/>
  <c r="V260" i="11"/>
  <c r="U260" i="11"/>
  <c r="T260" i="11"/>
  <c r="S260" i="11"/>
  <c r="Q260" i="11"/>
  <c r="O260" i="11"/>
  <c r="M260" i="11"/>
  <c r="K260" i="11"/>
  <c r="X259" i="11"/>
  <c r="W259" i="11"/>
  <c r="V259" i="11"/>
  <c r="U259" i="11"/>
  <c r="T259" i="11"/>
  <c r="S259" i="11"/>
  <c r="Q259" i="11"/>
  <c r="O259" i="11"/>
  <c r="M259" i="11"/>
  <c r="K259" i="11"/>
  <c r="X258" i="11"/>
  <c r="W258" i="11"/>
  <c r="V258" i="11"/>
  <c r="U258" i="11"/>
  <c r="T258" i="11"/>
  <c r="S258" i="11"/>
  <c r="Q258" i="11"/>
  <c r="O258" i="11"/>
  <c r="M258" i="11"/>
  <c r="K258" i="11"/>
  <c r="X257" i="11"/>
  <c r="W257" i="11"/>
  <c r="V257" i="11"/>
  <c r="U257" i="11"/>
  <c r="T257" i="11"/>
  <c r="S257" i="11"/>
  <c r="Q257" i="11"/>
  <c r="O257" i="11"/>
  <c r="M257" i="11"/>
  <c r="K257" i="11"/>
  <c r="X256" i="11"/>
  <c r="W256" i="11"/>
  <c r="V256" i="11"/>
  <c r="U256" i="11"/>
  <c r="T256" i="11"/>
  <c r="S256" i="11"/>
  <c r="Q256" i="11"/>
  <c r="O256" i="11"/>
  <c r="M256" i="11"/>
  <c r="K256" i="11"/>
  <c r="X255" i="11"/>
  <c r="W255" i="11"/>
  <c r="V255" i="11"/>
  <c r="U255" i="11"/>
  <c r="T255" i="11"/>
  <c r="S255" i="11"/>
  <c r="Q255" i="11"/>
  <c r="O255" i="11"/>
  <c r="M255" i="11"/>
  <c r="K255" i="11"/>
  <c r="X254" i="11"/>
  <c r="W254" i="11"/>
  <c r="V254" i="11"/>
  <c r="U254" i="11"/>
  <c r="T254" i="11"/>
  <c r="S254" i="11"/>
  <c r="Q254" i="11"/>
  <c r="O254" i="11"/>
  <c r="M254" i="11"/>
  <c r="K254" i="11"/>
  <c r="X253" i="11"/>
  <c r="W253" i="11"/>
  <c r="V253" i="11"/>
  <c r="U253" i="11"/>
  <c r="T253" i="11"/>
  <c r="S253" i="11"/>
  <c r="Q253" i="11"/>
  <c r="O253" i="11"/>
  <c r="M253" i="11"/>
  <c r="K253" i="11"/>
  <c r="X252" i="11"/>
  <c r="W252" i="11"/>
  <c r="V252" i="11"/>
  <c r="U252" i="11"/>
  <c r="T252" i="11"/>
  <c r="S252" i="11"/>
  <c r="Q252" i="11"/>
  <c r="O252" i="11"/>
  <c r="M252" i="11"/>
  <c r="K252" i="11"/>
  <c r="X251" i="11"/>
  <c r="W251" i="11"/>
  <c r="V251" i="11"/>
  <c r="U251" i="11"/>
  <c r="T251" i="11"/>
  <c r="S251" i="11"/>
  <c r="Q251" i="11"/>
  <c r="O251" i="11"/>
  <c r="M251" i="11"/>
  <c r="K251" i="11"/>
  <c r="X250" i="11"/>
  <c r="W250" i="11"/>
  <c r="V250" i="11"/>
  <c r="U250" i="11"/>
  <c r="T250" i="11"/>
  <c r="S250" i="11"/>
  <c r="Q250" i="11"/>
  <c r="O250" i="11"/>
  <c r="M250" i="11"/>
  <c r="K250" i="11"/>
  <c r="X249" i="11"/>
  <c r="W249" i="11"/>
  <c r="V249" i="11"/>
  <c r="U249" i="11"/>
  <c r="T249" i="11"/>
  <c r="S249" i="11"/>
  <c r="Q249" i="11"/>
  <c r="O249" i="11"/>
  <c r="M249" i="11"/>
  <c r="K249" i="11"/>
  <c r="X248" i="11"/>
  <c r="W248" i="11"/>
  <c r="V248" i="11"/>
  <c r="U248" i="11"/>
  <c r="T248" i="11"/>
  <c r="S248" i="11"/>
  <c r="Q248" i="11"/>
  <c r="O248" i="11"/>
  <c r="M248" i="11"/>
  <c r="K248" i="11"/>
  <c r="X247" i="11"/>
  <c r="W247" i="11"/>
  <c r="V247" i="11"/>
  <c r="U247" i="11"/>
  <c r="T247" i="11"/>
  <c r="S247" i="11"/>
  <c r="Q247" i="11"/>
  <c r="O247" i="11"/>
  <c r="M247" i="11"/>
  <c r="K247" i="11"/>
  <c r="X246" i="11"/>
  <c r="W246" i="11"/>
  <c r="V246" i="11"/>
  <c r="U246" i="11"/>
  <c r="T246" i="11"/>
  <c r="S246" i="11"/>
  <c r="Q246" i="11"/>
  <c r="O246" i="11"/>
  <c r="M246" i="11"/>
  <c r="K246" i="11"/>
  <c r="X245" i="11"/>
  <c r="W245" i="11"/>
  <c r="V245" i="11"/>
  <c r="U245" i="11"/>
  <c r="T245" i="11"/>
  <c r="S245" i="11"/>
  <c r="Q245" i="11"/>
  <c r="O245" i="11"/>
  <c r="M245" i="11"/>
  <c r="K245" i="11"/>
  <c r="X244" i="11"/>
  <c r="W244" i="11"/>
  <c r="V244" i="11"/>
  <c r="U244" i="11"/>
  <c r="T244" i="11"/>
  <c r="S244" i="11"/>
  <c r="Q244" i="11"/>
  <c r="O244" i="11"/>
  <c r="M244" i="11"/>
  <c r="K244" i="11"/>
  <c r="X243" i="11"/>
  <c r="W243" i="11"/>
  <c r="V243" i="11"/>
  <c r="U243" i="11"/>
  <c r="T243" i="11"/>
  <c r="S243" i="11"/>
  <c r="Q243" i="11"/>
  <c r="O243" i="11"/>
  <c r="M243" i="11"/>
  <c r="K243" i="11"/>
  <c r="X242" i="11"/>
  <c r="W242" i="11"/>
  <c r="V242" i="11"/>
  <c r="U242" i="11"/>
  <c r="T242" i="11"/>
  <c r="S242" i="11"/>
  <c r="Q242" i="11"/>
  <c r="O242" i="11"/>
  <c r="M242" i="11"/>
  <c r="K242" i="11"/>
  <c r="X241" i="11"/>
  <c r="W241" i="11"/>
  <c r="V241" i="11"/>
  <c r="U241" i="11"/>
  <c r="T241" i="11"/>
  <c r="S241" i="11"/>
  <c r="Q241" i="11"/>
  <c r="O241" i="11"/>
  <c r="M241" i="11"/>
  <c r="K241" i="11"/>
  <c r="X240" i="11"/>
  <c r="W240" i="11"/>
  <c r="V240" i="11"/>
  <c r="U240" i="11"/>
  <c r="T240" i="11"/>
  <c r="S240" i="11"/>
  <c r="Q240" i="11"/>
  <c r="O240" i="11"/>
  <c r="M240" i="11"/>
  <c r="K240" i="11"/>
  <c r="X239" i="11"/>
  <c r="W239" i="11"/>
  <c r="V239" i="11"/>
  <c r="U239" i="11"/>
  <c r="T239" i="11"/>
  <c r="S239" i="11"/>
  <c r="Q239" i="11"/>
  <c r="O239" i="11"/>
  <c r="M239" i="11"/>
  <c r="K239" i="11"/>
  <c r="X238" i="11"/>
  <c r="W238" i="11"/>
  <c r="V238" i="11"/>
  <c r="U238" i="11"/>
  <c r="T238" i="11"/>
  <c r="S238" i="11"/>
  <c r="Q238" i="11"/>
  <c r="O238" i="11"/>
  <c r="M238" i="11"/>
  <c r="K238" i="11"/>
  <c r="X237" i="11"/>
  <c r="W237" i="11"/>
  <c r="V237" i="11"/>
  <c r="U237" i="11"/>
  <c r="T237" i="11"/>
  <c r="S237" i="11"/>
  <c r="Q237" i="11"/>
  <c r="O237" i="11"/>
  <c r="M237" i="11"/>
  <c r="K237" i="11"/>
  <c r="X236" i="11"/>
  <c r="W236" i="11"/>
  <c r="V236" i="11"/>
  <c r="U236" i="11"/>
  <c r="T236" i="11"/>
  <c r="S236" i="11"/>
  <c r="Q236" i="11"/>
  <c r="O236" i="11"/>
  <c r="M236" i="11"/>
  <c r="K236" i="11"/>
  <c r="X235" i="11"/>
  <c r="W235" i="11"/>
  <c r="V235" i="11"/>
  <c r="U235" i="11"/>
  <c r="T235" i="11"/>
  <c r="S235" i="11"/>
  <c r="Q235" i="11"/>
  <c r="O235" i="11"/>
  <c r="M235" i="11"/>
  <c r="K235" i="11"/>
  <c r="X234" i="11"/>
  <c r="W234" i="11"/>
  <c r="V234" i="11"/>
  <c r="U234" i="11"/>
  <c r="T234" i="11"/>
  <c r="S234" i="11"/>
  <c r="Q234" i="11"/>
  <c r="O234" i="11"/>
  <c r="M234" i="11"/>
  <c r="K234" i="11"/>
  <c r="X233" i="11"/>
  <c r="W233" i="11"/>
  <c r="V233" i="11"/>
  <c r="U233" i="11"/>
  <c r="T233" i="11"/>
  <c r="S233" i="11"/>
  <c r="Q233" i="11"/>
  <c r="O233" i="11"/>
  <c r="M233" i="11"/>
  <c r="K233" i="11"/>
  <c r="X232" i="11"/>
  <c r="W232" i="11"/>
  <c r="V232" i="11"/>
  <c r="U232" i="11"/>
  <c r="T232" i="11"/>
  <c r="S232" i="11"/>
  <c r="Q232" i="11"/>
  <c r="O232" i="11"/>
  <c r="M232" i="11"/>
  <c r="K232" i="11"/>
  <c r="X231" i="11"/>
  <c r="W231" i="11"/>
  <c r="V231" i="11"/>
  <c r="U231" i="11"/>
  <c r="T231" i="11"/>
  <c r="S231" i="11"/>
  <c r="Q231" i="11"/>
  <c r="O231" i="11"/>
  <c r="M231" i="11"/>
  <c r="K231" i="11"/>
  <c r="X230" i="11"/>
  <c r="W230" i="11"/>
  <c r="V230" i="11"/>
  <c r="U230" i="11"/>
  <c r="T230" i="11"/>
  <c r="S230" i="11"/>
  <c r="Q230" i="11"/>
  <c r="O230" i="11"/>
  <c r="M230" i="11"/>
  <c r="K230" i="11"/>
  <c r="X229" i="11"/>
  <c r="W229" i="11"/>
  <c r="V229" i="11"/>
  <c r="U229" i="11"/>
  <c r="T229" i="11"/>
  <c r="S229" i="11"/>
  <c r="Q229" i="11"/>
  <c r="O229" i="11"/>
  <c r="M229" i="11"/>
  <c r="K229" i="11"/>
  <c r="X228" i="11"/>
  <c r="W228" i="11"/>
  <c r="V228" i="11"/>
  <c r="U228" i="11"/>
  <c r="T228" i="11"/>
  <c r="S228" i="11"/>
  <c r="Q228" i="11"/>
  <c r="O228" i="11"/>
  <c r="M228" i="11"/>
  <c r="K228" i="11"/>
  <c r="X227" i="11"/>
  <c r="W227" i="11"/>
  <c r="V227" i="11"/>
  <c r="U227" i="11"/>
  <c r="T227" i="11"/>
  <c r="S227" i="11"/>
  <c r="Q227" i="11"/>
  <c r="O227" i="11"/>
  <c r="M227" i="11"/>
  <c r="K227" i="11"/>
  <c r="X226" i="11"/>
  <c r="W226" i="11"/>
  <c r="V226" i="11"/>
  <c r="U226" i="11"/>
  <c r="T226" i="11"/>
  <c r="S226" i="11"/>
  <c r="Q226" i="11"/>
  <c r="O226" i="11"/>
  <c r="M226" i="11"/>
  <c r="K226" i="11"/>
  <c r="X225" i="11"/>
  <c r="W225" i="11"/>
  <c r="V225" i="11"/>
  <c r="U225" i="11"/>
  <c r="T225" i="11"/>
  <c r="S225" i="11"/>
  <c r="Q225" i="11"/>
  <c r="O225" i="11"/>
  <c r="M225" i="11"/>
  <c r="K225" i="11"/>
  <c r="X224" i="11"/>
  <c r="W224" i="11"/>
  <c r="V224" i="11"/>
  <c r="U224" i="11"/>
  <c r="T224" i="11"/>
  <c r="S224" i="11"/>
  <c r="Q224" i="11"/>
  <c r="O224" i="11"/>
  <c r="M224" i="11"/>
  <c r="K224" i="11"/>
  <c r="X223" i="11"/>
  <c r="W223" i="11"/>
  <c r="V223" i="11"/>
  <c r="U223" i="11"/>
  <c r="T223" i="11"/>
  <c r="S223" i="11"/>
  <c r="Q223" i="11"/>
  <c r="O223" i="11"/>
  <c r="M223" i="11"/>
  <c r="K223" i="11"/>
  <c r="X222" i="11"/>
  <c r="W222" i="11"/>
  <c r="V222" i="11"/>
  <c r="U222" i="11"/>
  <c r="T222" i="11"/>
  <c r="S222" i="11"/>
  <c r="Q222" i="11"/>
  <c r="O222" i="11"/>
  <c r="M222" i="11"/>
  <c r="K222" i="11"/>
  <c r="X221" i="11"/>
  <c r="W221" i="11"/>
  <c r="V221" i="11"/>
  <c r="U221" i="11"/>
  <c r="T221" i="11"/>
  <c r="S221" i="11"/>
  <c r="Q221" i="11"/>
  <c r="O221" i="11"/>
  <c r="M221" i="11"/>
  <c r="K221" i="11"/>
  <c r="X220" i="11"/>
  <c r="W220" i="11"/>
  <c r="V220" i="11"/>
  <c r="U220" i="11"/>
  <c r="T220" i="11"/>
  <c r="S220" i="11"/>
  <c r="Q220" i="11"/>
  <c r="O220" i="11"/>
  <c r="M220" i="11"/>
  <c r="K220" i="11"/>
  <c r="X219" i="11"/>
  <c r="W219" i="11"/>
  <c r="V219" i="11"/>
  <c r="U219" i="11"/>
  <c r="T219" i="11"/>
  <c r="S219" i="11"/>
  <c r="Q219" i="11"/>
  <c r="O219" i="11"/>
  <c r="M219" i="11"/>
  <c r="K219" i="11"/>
  <c r="X218" i="11"/>
  <c r="W218" i="11"/>
  <c r="V218" i="11"/>
  <c r="U218" i="11"/>
  <c r="T218" i="11"/>
  <c r="S218" i="11"/>
  <c r="Q218" i="11"/>
  <c r="O218" i="11"/>
  <c r="M218" i="11"/>
  <c r="K218" i="11"/>
  <c r="X217" i="11"/>
  <c r="W217" i="11"/>
  <c r="V217" i="11"/>
  <c r="U217" i="11"/>
  <c r="T217" i="11"/>
  <c r="S217" i="11"/>
  <c r="Q217" i="11"/>
  <c r="O217" i="11"/>
  <c r="M217" i="11"/>
  <c r="K217" i="11"/>
  <c r="X216" i="11"/>
  <c r="W216" i="11"/>
  <c r="V216" i="11"/>
  <c r="U216" i="11"/>
  <c r="T216" i="11"/>
  <c r="S216" i="11"/>
  <c r="Q216" i="11"/>
  <c r="O216" i="11"/>
  <c r="M216" i="11"/>
  <c r="K216" i="11"/>
  <c r="X215" i="11"/>
  <c r="W215" i="11"/>
  <c r="V215" i="11"/>
  <c r="U215" i="11"/>
  <c r="T215" i="11"/>
  <c r="S215" i="11"/>
  <c r="Q215" i="11"/>
  <c r="O215" i="11"/>
  <c r="M215" i="11"/>
  <c r="K215" i="11"/>
  <c r="X214" i="11"/>
  <c r="W214" i="11"/>
  <c r="V214" i="11"/>
  <c r="U214" i="11"/>
  <c r="T214" i="11"/>
  <c r="S214" i="11"/>
  <c r="Q214" i="11"/>
  <c r="O214" i="11"/>
  <c r="M214" i="11"/>
  <c r="K214" i="11"/>
  <c r="X213" i="11"/>
  <c r="W213" i="11"/>
  <c r="V213" i="11"/>
  <c r="U213" i="11"/>
  <c r="T213" i="11"/>
  <c r="S213" i="11"/>
  <c r="Q213" i="11"/>
  <c r="O213" i="11"/>
  <c r="M213" i="11"/>
  <c r="K213" i="11"/>
  <c r="X212" i="11"/>
  <c r="W212" i="11"/>
  <c r="V212" i="11"/>
  <c r="U212" i="11"/>
  <c r="T212" i="11"/>
  <c r="S212" i="11"/>
  <c r="Q212" i="11"/>
  <c r="O212" i="11"/>
  <c r="M212" i="11"/>
  <c r="K212" i="11"/>
  <c r="X211" i="11"/>
  <c r="W211" i="11"/>
  <c r="V211" i="11"/>
  <c r="U211" i="11"/>
  <c r="T211" i="11"/>
  <c r="S211" i="11"/>
  <c r="Q211" i="11"/>
  <c r="O211" i="11"/>
  <c r="M211" i="11"/>
  <c r="K211" i="11"/>
  <c r="X210" i="11"/>
  <c r="W210" i="11"/>
  <c r="V210" i="11"/>
  <c r="U210" i="11"/>
  <c r="T210" i="11"/>
  <c r="S210" i="11"/>
  <c r="Q210" i="11"/>
  <c r="O210" i="11"/>
  <c r="M210" i="11"/>
  <c r="K210" i="11"/>
  <c r="X209" i="11"/>
  <c r="W209" i="11"/>
  <c r="V209" i="11"/>
  <c r="U209" i="11"/>
  <c r="T209" i="11"/>
  <c r="S209" i="11"/>
  <c r="Q209" i="11"/>
  <c r="O209" i="11"/>
  <c r="M209" i="11"/>
  <c r="K209" i="11"/>
  <c r="X208" i="11"/>
  <c r="W208" i="11"/>
  <c r="V208" i="11"/>
  <c r="U208" i="11"/>
  <c r="T208" i="11"/>
  <c r="S208" i="11"/>
  <c r="Q208" i="11"/>
  <c r="O208" i="11"/>
  <c r="M208" i="11"/>
  <c r="K208" i="11"/>
  <c r="X207" i="11"/>
  <c r="W207" i="11"/>
  <c r="V207" i="11"/>
  <c r="U207" i="11"/>
  <c r="T207" i="11"/>
  <c r="S207" i="11"/>
  <c r="Q207" i="11"/>
  <c r="O207" i="11"/>
  <c r="M207" i="11"/>
  <c r="K207" i="11"/>
  <c r="X206" i="11"/>
  <c r="W206" i="11"/>
  <c r="V206" i="11"/>
  <c r="U206" i="11"/>
  <c r="T206" i="11"/>
  <c r="S206" i="11"/>
  <c r="Q206" i="11"/>
  <c r="O206" i="11"/>
  <c r="M206" i="11"/>
  <c r="K206" i="11"/>
  <c r="X205" i="11"/>
  <c r="W205" i="11"/>
  <c r="V205" i="11"/>
  <c r="U205" i="11"/>
  <c r="T205" i="11"/>
  <c r="S205" i="11"/>
  <c r="Q205" i="11"/>
  <c r="O205" i="11"/>
  <c r="M205" i="11"/>
  <c r="K205" i="11"/>
  <c r="X204" i="11"/>
  <c r="W204" i="11"/>
  <c r="V204" i="11"/>
  <c r="U204" i="11"/>
  <c r="T204" i="11"/>
  <c r="S204" i="11"/>
  <c r="Q204" i="11"/>
  <c r="O204" i="11"/>
  <c r="M204" i="11"/>
  <c r="K204" i="11"/>
  <c r="X203" i="11"/>
  <c r="W203" i="11"/>
  <c r="V203" i="11"/>
  <c r="U203" i="11"/>
  <c r="T203" i="11"/>
  <c r="S203" i="11"/>
  <c r="Q203" i="11"/>
  <c r="O203" i="11"/>
  <c r="M203" i="11"/>
  <c r="K203" i="11"/>
  <c r="X202" i="11"/>
  <c r="W202" i="11"/>
  <c r="V202" i="11"/>
  <c r="U202" i="11"/>
  <c r="T202" i="11"/>
  <c r="S202" i="11"/>
  <c r="Q202" i="11"/>
  <c r="O202" i="11"/>
  <c r="M202" i="11"/>
  <c r="K202" i="11"/>
  <c r="X201" i="11"/>
  <c r="W201" i="11"/>
  <c r="V201" i="11"/>
  <c r="U201" i="11"/>
  <c r="T201" i="11"/>
  <c r="S201" i="11"/>
  <c r="Q201" i="11"/>
  <c r="O201" i="11"/>
  <c r="M201" i="11"/>
  <c r="K201" i="11"/>
  <c r="X200" i="11"/>
  <c r="W200" i="11"/>
  <c r="V200" i="11"/>
  <c r="U200" i="11"/>
  <c r="T200" i="11"/>
  <c r="S200" i="11"/>
  <c r="Q200" i="11"/>
  <c r="O200" i="11"/>
  <c r="M200" i="11"/>
  <c r="K200" i="11"/>
  <c r="X199" i="11"/>
  <c r="W199" i="11"/>
  <c r="V199" i="11"/>
  <c r="U199" i="11"/>
  <c r="T199" i="11"/>
  <c r="S199" i="11"/>
  <c r="Q199" i="11"/>
  <c r="O199" i="11"/>
  <c r="M199" i="11"/>
  <c r="K199" i="11"/>
  <c r="X198" i="11"/>
  <c r="W198" i="11"/>
  <c r="V198" i="11"/>
  <c r="U198" i="11"/>
  <c r="T198" i="11"/>
  <c r="S198" i="11"/>
  <c r="Q198" i="11"/>
  <c r="O198" i="11"/>
  <c r="M198" i="11"/>
  <c r="K198" i="11"/>
  <c r="X197" i="11"/>
  <c r="W197" i="11"/>
  <c r="V197" i="11"/>
  <c r="U197" i="11"/>
  <c r="T197" i="11"/>
  <c r="S197" i="11"/>
  <c r="Q197" i="11"/>
  <c r="O197" i="11"/>
  <c r="M197" i="11"/>
  <c r="K197" i="11"/>
  <c r="X196" i="11"/>
  <c r="W196" i="11"/>
  <c r="V196" i="11"/>
  <c r="U196" i="11"/>
  <c r="T196" i="11"/>
  <c r="S196" i="11"/>
  <c r="Q196" i="11"/>
  <c r="O196" i="11"/>
  <c r="M196" i="11"/>
  <c r="K196" i="11"/>
  <c r="X195" i="11"/>
  <c r="W195" i="11"/>
  <c r="V195" i="11"/>
  <c r="U195" i="11"/>
  <c r="T195" i="11"/>
  <c r="S195" i="11"/>
  <c r="Q195" i="11"/>
  <c r="O195" i="11"/>
  <c r="M195" i="11"/>
  <c r="K195" i="11"/>
  <c r="X194" i="11"/>
  <c r="W194" i="11"/>
  <c r="V194" i="11"/>
  <c r="U194" i="11"/>
  <c r="T194" i="11"/>
  <c r="S194" i="11"/>
  <c r="Q194" i="11"/>
  <c r="O194" i="11"/>
  <c r="M194" i="11"/>
  <c r="K194" i="11"/>
  <c r="X193" i="11"/>
  <c r="W193" i="11"/>
  <c r="V193" i="11"/>
  <c r="U193" i="11"/>
  <c r="T193" i="11"/>
  <c r="S193" i="11"/>
  <c r="Q193" i="11"/>
  <c r="O193" i="11"/>
  <c r="M193" i="11"/>
  <c r="K193" i="11"/>
  <c r="X192" i="11"/>
  <c r="W192" i="11"/>
  <c r="V192" i="11"/>
  <c r="U192" i="11"/>
  <c r="T192" i="11"/>
  <c r="S192" i="11"/>
  <c r="Q192" i="11"/>
  <c r="O192" i="11"/>
  <c r="M192" i="11"/>
  <c r="K192" i="11"/>
  <c r="X191" i="11"/>
  <c r="W191" i="11"/>
  <c r="V191" i="11"/>
  <c r="U191" i="11"/>
  <c r="T191" i="11"/>
  <c r="S191" i="11"/>
  <c r="Q191" i="11"/>
  <c r="O191" i="11"/>
  <c r="M191" i="11"/>
  <c r="K191" i="11"/>
  <c r="X190" i="11"/>
  <c r="W190" i="11"/>
  <c r="V190" i="11"/>
  <c r="U190" i="11"/>
  <c r="T190" i="11"/>
  <c r="S190" i="11"/>
  <c r="Q190" i="11"/>
  <c r="O190" i="11"/>
  <c r="M190" i="11"/>
  <c r="K190" i="11"/>
  <c r="X189" i="11"/>
  <c r="W189" i="11"/>
  <c r="V189" i="11"/>
  <c r="U189" i="11"/>
  <c r="T189" i="11"/>
  <c r="S189" i="11"/>
  <c r="Q189" i="11"/>
  <c r="O189" i="11"/>
  <c r="M189" i="11"/>
  <c r="K189" i="11"/>
  <c r="X188" i="11"/>
  <c r="W188" i="11"/>
  <c r="V188" i="11"/>
  <c r="U188" i="11"/>
  <c r="T188" i="11"/>
  <c r="S188" i="11"/>
  <c r="Q188" i="11"/>
  <c r="O188" i="11"/>
  <c r="M188" i="11"/>
  <c r="K188" i="11"/>
  <c r="X187" i="11"/>
  <c r="W187" i="11"/>
  <c r="V187" i="11"/>
  <c r="U187" i="11"/>
  <c r="T187" i="11"/>
  <c r="S187" i="11"/>
  <c r="Q187" i="11"/>
  <c r="O187" i="11"/>
  <c r="M187" i="11"/>
  <c r="K187" i="11"/>
  <c r="X186" i="11"/>
  <c r="W186" i="11"/>
  <c r="V186" i="11"/>
  <c r="U186" i="11"/>
  <c r="T186" i="11"/>
  <c r="S186" i="11"/>
  <c r="Q186" i="11"/>
  <c r="O186" i="11"/>
  <c r="M186" i="11"/>
  <c r="K186" i="11"/>
  <c r="X185" i="11"/>
  <c r="W185" i="11"/>
  <c r="V185" i="11"/>
  <c r="U185" i="11"/>
  <c r="T185" i="11"/>
  <c r="S185" i="11"/>
  <c r="Q185" i="11"/>
  <c r="O185" i="11"/>
  <c r="M185" i="11"/>
  <c r="K185" i="11"/>
  <c r="X184" i="11"/>
  <c r="W184" i="11"/>
  <c r="V184" i="11"/>
  <c r="U184" i="11"/>
  <c r="T184" i="11"/>
  <c r="S184" i="11"/>
  <c r="Q184" i="11"/>
  <c r="O184" i="11"/>
  <c r="M184" i="11"/>
  <c r="K184" i="11"/>
  <c r="X183" i="11"/>
  <c r="W183" i="11"/>
  <c r="V183" i="11"/>
  <c r="U183" i="11"/>
  <c r="T183" i="11"/>
  <c r="S183" i="11"/>
  <c r="Q183" i="11"/>
  <c r="O183" i="11"/>
  <c r="M183" i="11"/>
  <c r="K183" i="11"/>
  <c r="X182" i="11"/>
  <c r="W182" i="11"/>
  <c r="V182" i="11"/>
  <c r="U182" i="11"/>
  <c r="T182" i="11"/>
  <c r="S182" i="11"/>
  <c r="Q182" i="11"/>
  <c r="O182" i="11"/>
  <c r="M182" i="11"/>
  <c r="K182" i="11"/>
  <c r="X181" i="11"/>
  <c r="W181" i="11"/>
  <c r="V181" i="11"/>
  <c r="U181" i="11"/>
  <c r="T181" i="11"/>
  <c r="S181" i="11"/>
  <c r="Q181" i="11"/>
  <c r="O181" i="11"/>
  <c r="M181" i="11"/>
  <c r="K181" i="11"/>
  <c r="X180" i="11"/>
  <c r="W180" i="11"/>
  <c r="V180" i="11"/>
  <c r="U180" i="11"/>
  <c r="T180" i="11"/>
  <c r="S180" i="11"/>
  <c r="Q180" i="11"/>
  <c r="O180" i="11"/>
  <c r="M180" i="11"/>
  <c r="K180" i="11"/>
  <c r="X179" i="11"/>
  <c r="W179" i="11"/>
  <c r="V179" i="11"/>
  <c r="U179" i="11"/>
  <c r="T179" i="11"/>
  <c r="S179" i="11"/>
  <c r="Q179" i="11"/>
  <c r="O179" i="11"/>
  <c r="M179" i="11"/>
  <c r="K179" i="11"/>
  <c r="X178" i="11"/>
  <c r="W178" i="11"/>
  <c r="V178" i="11"/>
  <c r="U178" i="11"/>
  <c r="T178" i="11"/>
  <c r="S178" i="11"/>
  <c r="Q178" i="11"/>
  <c r="O178" i="11"/>
  <c r="M178" i="11"/>
  <c r="K178" i="11"/>
  <c r="X177" i="11"/>
  <c r="W177" i="11"/>
  <c r="V177" i="11"/>
  <c r="U177" i="11"/>
  <c r="T177" i="11"/>
  <c r="S177" i="11"/>
  <c r="Q177" i="11"/>
  <c r="O177" i="11"/>
  <c r="M177" i="11"/>
  <c r="K177" i="11"/>
  <c r="X176" i="11"/>
  <c r="W176" i="11"/>
  <c r="V176" i="11"/>
  <c r="U176" i="11"/>
  <c r="T176" i="11"/>
  <c r="S176" i="11"/>
  <c r="Q176" i="11"/>
  <c r="O176" i="11"/>
  <c r="M176" i="11"/>
  <c r="K176" i="11"/>
  <c r="X175" i="11"/>
  <c r="W175" i="11"/>
  <c r="V175" i="11"/>
  <c r="U175" i="11"/>
  <c r="T175" i="11"/>
  <c r="S175" i="11"/>
  <c r="Q175" i="11"/>
  <c r="O175" i="11"/>
  <c r="M175" i="11"/>
  <c r="K175" i="11"/>
  <c r="X174" i="11"/>
  <c r="W174" i="11"/>
  <c r="V174" i="11"/>
  <c r="U174" i="11"/>
  <c r="T174" i="11"/>
  <c r="S174" i="11"/>
  <c r="Q174" i="11"/>
  <c r="O174" i="11"/>
  <c r="M174" i="11"/>
  <c r="K174" i="11"/>
  <c r="X173" i="11"/>
  <c r="W173" i="11"/>
  <c r="V173" i="11"/>
  <c r="U173" i="11"/>
  <c r="T173" i="11"/>
  <c r="S173" i="11"/>
  <c r="Q173" i="11"/>
  <c r="O173" i="11"/>
  <c r="M173" i="11"/>
  <c r="K173" i="11"/>
  <c r="X172" i="11"/>
  <c r="W172" i="11"/>
  <c r="V172" i="11"/>
  <c r="U172" i="11"/>
  <c r="T172" i="11"/>
  <c r="S172" i="11"/>
  <c r="Q172" i="11"/>
  <c r="O172" i="11"/>
  <c r="M172" i="11"/>
  <c r="K172" i="11"/>
  <c r="X171" i="11"/>
  <c r="W171" i="11"/>
  <c r="V171" i="11"/>
  <c r="U171" i="11"/>
  <c r="T171" i="11"/>
  <c r="S171" i="11"/>
  <c r="Q171" i="11"/>
  <c r="O171" i="11"/>
  <c r="M171" i="11"/>
  <c r="K171" i="11"/>
  <c r="X170" i="11"/>
  <c r="W170" i="11"/>
  <c r="V170" i="11"/>
  <c r="U170" i="11"/>
  <c r="T170" i="11"/>
  <c r="S170" i="11"/>
  <c r="Q170" i="11"/>
  <c r="O170" i="11"/>
  <c r="M170" i="11"/>
  <c r="K170" i="11"/>
  <c r="X169" i="11"/>
  <c r="W169" i="11"/>
  <c r="V169" i="11"/>
  <c r="U169" i="11"/>
  <c r="T169" i="11"/>
  <c r="S169" i="11"/>
  <c r="Q169" i="11"/>
  <c r="O169" i="11"/>
  <c r="M169" i="11"/>
  <c r="K169" i="11"/>
  <c r="X168" i="11"/>
  <c r="W168" i="11"/>
  <c r="V168" i="11"/>
  <c r="U168" i="11"/>
  <c r="T168" i="11"/>
  <c r="S168" i="11"/>
  <c r="Q168" i="11"/>
  <c r="O168" i="11"/>
  <c r="M168" i="11"/>
  <c r="K168" i="11"/>
  <c r="X167" i="11"/>
  <c r="W167" i="11"/>
  <c r="V167" i="11"/>
  <c r="U167" i="11"/>
  <c r="T167" i="11"/>
  <c r="S167" i="11"/>
  <c r="Q167" i="11"/>
  <c r="O167" i="11"/>
  <c r="M167" i="11"/>
  <c r="K167" i="11"/>
  <c r="X166" i="11"/>
  <c r="W166" i="11"/>
  <c r="V166" i="11"/>
  <c r="U166" i="11"/>
  <c r="T166" i="11"/>
  <c r="S166" i="11"/>
  <c r="Q166" i="11"/>
  <c r="O166" i="11"/>
  <c r="M166" i="11"/>
  <c r="K166" i="11"/>
  <c r="X165" i="11"/>
  <c r="W165" i="11"/>
  <c r="V165" i="11"/>
  <c r="U165" i="11"/>
  <c r="T165" i="11"/>
  <c r="S165" i="11"/>
  <c r="Q165" i="11"/>
  <c r="O165" i="11"/>
  <c r="M165" i="11"/>
  <c r="K165" i="11"/>
  <c r="X164" i="11"/>
  <c r="W164" i="11"/>
  <c r="V164" i="11"/>
  <c r="U164" i="11"/>
  <c r="T164" i="11"/>
  <c r="S164" i="11"/>
  <c r="Q164" i="11"/>
  <c r="O164" i="11"/>
  <c r="M164" i="11"/>
  <c r="K164" i="11"/>
  <c r="X163" i="11"/>
  <c r="W163" i="11"/>
  <c r="V163" i="11"/>
  <c r="U163" i="11"/>
  <c r="T163" i="11"/>
  <c r="S163" i="11"/>
  <c r="Q163" i="11"/>
  <c r="O163" i="11"/>
  <c r="M163" i="11"/>
  <c r="K163" i="11"/>
  <c r="X162" i="11"/>
  <c r="W162" i="11"/>
  <c r="V162" i="11"/>
  <c r="U162" i="11"/>
  <c r="T162" i="11"/>
  <c r="S162" i="11"/>
  <c r="Q162" i="11"/>
  <c r="O162" i="11"/>
  <c r="M162" i="11"/>
  <c r="K162" i="11"/>
  <c r="X161" i="11"/>
  <c r="W161" i="11"/>
  <c r="V161" i="11"/>
  <c r="U161" i="11"/>
  <c r="T161" i="11"/>
  <c r="S161" i="11"/>
  <c r="Q161" i="11"/>
  <c r="O161" i="11"/>
  <c r="M161" i="11"/>
  <c r="K161" i="11"/>
  <c r="X160" i="11"/>
  <c r="W160" i="11"/>
  <c r="V160" i="11"/>
  <c r="U160" i="11"/>
  <c r="T160" i="11"/>
  <c r="S160" i="11"/>
  <c r="Q160" i="11"/>
  <c r="O160" i="11"/>
  <c r="M160" i="11"/>
  <c r="K160" i="11"/>
  <c r="X159" i="11"/>
  <c r="W159" i="11"/>
  <c r="V159" i="11"/>
  <c r="U159" i="11"/>
  <c r="T159" i="11"/>
  <c r="S159" i="11"/>
  <c r="Q159" i="11"/>
  <c r="O159" i="11"/>
  <c r="M159" i="11"/>
  <c r="K159" i="11"/>
  <c r="X158" i="11"/>
  <c r="W158" i="11"/>
  <c r="V158" i="11"/>
  <c r="U158" i="11"/>
  <c r="T158" i="11"/>
  <c r="S158" i="11"/>
  <c r="Q158" i="11"/>
  <c r="O158" i="11"/>
  <c r="M158" i="11"/>
  <c r="K158" i="11"/>
  <c r="X157" i="11"/>
  <c r="W157" i="11"/>
  <c r="V157" i="11"/>
  <c r="U157" i="11"/>
  <c r="T157" i="11"/>
  <c r="S157" i="11"/>
  <c r="Q157" i="11"/>
  <c r="O157" i="11"/>
  <c r="M157" i="11"/>
  <c r="K157" i="11"/>
  <c r="X156" i="11"/>
  <c r="W156" i="11"/>
  <c r="V156" i="11"/>
  <c r="U156" i="11"/>
  <c r="T156" i="11"/>
  <c r="S156" i="11"/>
  <c r="Q156" i="11"/>
  <c r="O156" i="11"/>
  <c r="M156" i="11"/>
  <c r="K156" i="11"/>
  <c r="X155" i="11"/>
  <c r="W155" i="11"/>
  <c r="V155" i="11"/>
  <c r="U155" i="11"/>
  <c r="T155" i="11"/>
  <c r="S155" i="11"/>
  <c r="Q155" i="11"/>
  <c r="O155" i="11"/>
  <c r="M155" i="11"/>
  <c r="K155" i="11"/>
  <c r="X154" i="11"/>
  <c r="W154" i="11"/>
  <c r="V154" i="11"/>
  <c r="U154" i="11"/>
  <c r="T154" i="11"/>
  <c r="S154" i="11"/>
  <c r="Q154" i="11"/>
  <c r="O154" i="11"/>
  <c r="M154" i="11"/>
  <c r="K154" i="11"/>
  <c r="X153" i="11"/>
  <c r="W153" i="11"/>
  <c r="V153" i="11"/>
  <c r="U153" i="11"/>
  <c r="T153" i="11"/>
  <c r="S153" i="11"/>
  <c r="Q153" i="11"/>
  <c r="O153" i="11"/>
  <c r="M153" i="11"/>
  <c r="K153" i="11"/>
  <c r="X152" i="11"/>
  <c r="W152" i="11"/>
  <c r="V152" i="11"/>
  <c r="U152" i="11"/>
  <c r="T152" i="11"/>
  <c r="S152" i="11"/>
  <c r="Q152" i="11"/>
  <c r="O152" i="11"/>
  <c r="M152" i="11"/>
  <c r="K152" i="11"/>
  <c r="X151" i="11"/>
  <c r="W151" i="11"/>
  <c r="V151" i="11"/>
  <c r="U151" i="11"/>
  <c r="T151" i="11"/>
  <c r="S151" i="11"/>
  <c r="Q151" i="11"/>
  <c r="O151" i="11"/>
  <c r="M151" i="11"/>
  <c r="K151" i="11"/>
  <c r="X150" i="11"/>
  <c r="W150" i="11"/>
  <c r="V150" i="11"/>
  <c r="U150" i="11"/>
  <c r="T150" i="11"/>
  <c r="S150" i="11"/>
  <c r="Q150" i="11"/>
  <c r="O150" i="11"/>
  <c r="M150" i="11"/>
  <c r="K150" i="11"/>
  <c r="X149" i="11"/>
  <c r="W149" i="11"/>
  <c r="V149" i="11"/>
  <c r="U149" i="11"/>
  <c r="T149" i="11"/>
  <c r="S149" i="11"/>
  <c r="Q149" i="11"/>
  <c r="O149" i="11"/>
  <c r="M149" i="11"/>
  <c r="K149" i="11"/>
  <c r="X148" i="11"/>
  <c r="W148" i="11"/>
  <c r="V148" i="11"/>
  <c r="U148" i="11"/>
  <c r="T148" i="11"/>
  <c r="S148" i="11"/>
  <c r="Q148" i="11"/>
  <c r="O148" i="11"/>
  <c r="M148" i="11"/>
  <c r="K148" i="11"/>
  <c r="X147" i="11"/>
  <c r="W147" i="11"/>
  <c r="V147" i="11"/>
  <c r="U147" i="11"/>
  <c r="T147" i="11"/>
  <c r="S147" i="11"/>
  <c r="Q147" i="11"/>
  <c r="O147" i="11"/>
  <c r="M147" i="11"/>
  <c r="K147" i="11"/>
  <c r="X146" i="11"/>
  <c r="W146" i="11"/>
  <c r="V146" i="11"/>
  <c r="U146" i="11"/>
  <c r="T146" i="11"/>
  <c r="S146" i="11"/>
  <c r="Q146" i="11"/>
  <c r="O146" i="11"/>
  <c r="M146" i="11"/>
  <c r="K146" i="11"/>
  <c r="X145" i="11"/>
  <c r="W145" i="11"/>
  <c r="V145" i="11"/>
  <c r="U145" i="11"/>
  <c r="T145" i="11"/>
  <c r="S145" i="11"/>
  <c r="Q145" i="11"/>
  <c r="O145" i="11"/>
  <c r="M145" i="11"/>
  <c r="K145" i="11"/>
  <c r="X144" i="11"/>
  <c r="W144" i="11"/>
  <c r="V144" i="11"/>
  <c r="U144" i="11"/>
  <c r="T144" i="11"/>
  <c r="S144" i="11"/>
  <c r="Q144" i="11"/>
  <c r="O144" i="11"/>
  <c r="M144" i="11"/>
  <c r="K144" i="11"/>
  <c r="X143" i="11"/>
  <c r="W143" i="11"/>
  <c r="V143" i="11"/>
  <c r="U143" i="11"/>
  <c r="T143" i="11"/>
  <c r="S143" i="11"/>
  <c r="Q143" i="11"/>
  <c r="O143" i="11"/>
  <c r="M143" i="11"/>
  <c r="K143" i="11"/>
  <c r="X142" i="11"/>
  <c r="W142" i="11"/>
  <c r="V142" i="11"/>
  <c r="U142" i="11"/>
  <c r="T142" i="11"/>
  <c r="S142" i="11"/>
  <c r="Q142" i="11"/>
  <c r="O142" i="11"/>
  <c r="M142" i="11"/>
  <c r="K142" i="11"/>
  <c r="X141" i="11"/>
  <c r="W141" i="11"/>
  <c r="V141" i="11"/>
  <c r="U141" i="11"/>
  <c r="T141" i="11"/>
  <c r="S141" i="11"/>
  <c r="Q141" i="11"/>
  <c r="O141" i="11"/>
  <c r="M141" i="11"/>
  <c r="K141" i="11"/>
  <c r="X140" i="11"/>
  <c r="W140" i="11"/>
  <c r="V140" i="11"/>
  <c r="U140" i="11"/>
  <c r="T140" i="11"/>
  <c r="S140" i="11"/>
  <c r="Q140" i="11"/>
  <c r="O140" i="11"/>
  <c r="M140" i="11"/>
  <c r="K140" i="11"/>
  <c r="X139" i="11"/>
  <c r="W139" i="11"/>
  <c r="V139" i="11"/>
  <c r="U139" i="11"/>
  <c r="T139" i="11"/>
  <c r="S139" i="11"/>
  <c r="Q139" i="11"/>
  <c r="O139" i="11"/>
  <c r="M139" i="11"/>
  <c r="K139" i="11"/>
  <c r="X138" i="11"/>
  <c r="W138" i="11"/>
  <c r="V138" i="11"/>
  <c r="U138" i="11"/>
  <c r="T138" i="11"/>
  <c r="S138" i="11"/>
  <c r="Q138" i="11"/>
  <c r="O138" i="11"/>
  <c r="M138" i="11"/>
  <c r="K138" i="11"/>
  <c r="X137" i="11"/>
  <c r="W137" i="11"/>
  <c r="V137" i="11"/>
  <c r="U137" i="11"/>
  <c r="T137" i="11"/>
  <c r="S137" i="11"/>
  <c r="Q137" i="11"/>
  <c r="O137" i="11"/>
  <c r="M137" i="11"/>
  <c r="K137" i="11"/>
  <c r="X136" i="11"/>
  <c r="W136" i="11"/>
  <c r="V136" i="11"/>
  <c r="U136" i="11"/>
  <c r="T136" i="11"/>
  <c r="S136" i="11"/>
  <c r="Q136" i="11"/>
  <c r="O136" i="11"/>
  <c r="M136" i="11"/>
  <c r="K136" i="11"/>
  <c r="X135" i="11"/>
  <c r="W135" i="11"/>
  <c r="V135" i="11"/>
  <c r="U135" i="11"/>
  <c r="T135" i="11"/>
  <c r="S135" i="11"/>
  <c r="Q135" i="11"/>
  <c r="O135" i="11"/>
  <c r="M135" i="11"/>
  <c r="K135" i="11"/>
  <c r="X134" i="11"/>
  <c r="W134" i="11"/>
  <c r="V134" i="11"/>
  <c r="U134" i="11"/>
  <c r="T134" i="11"/>
  <c r="S134" i="11"/>
  <c r="Q134" i="11"/>
  <c r="O134" i="11"/>
  <c r="M134" i="11"/>
  <c r="K134" i="11"/>
  <c r="X133" i="11"/>
  <c r="W133" i="11"/>
  <c r="V133" i="11"/>
  <c r="U133" i="11"/>
  <c r="T133" i="11"/>
  <c r="S133" i="11"/>
  <c r="Q133" i="11"/>
  <c r="O133" i="11"/>
  <c r="M133" i="11"/>
  <c r="K133" i="11"/>
  <c r="X132" i="11"/>
  <c r="W132" i="11"/>
  <c r="V132" i="11"/>
  <c r="U132" i="11"/>
  <c r="T132" i="11"/>
  <c r="S132" i="11"/>
  <c r="Q132" i="11"/>
  <c r="O132" i="11"/>
  <c r="M132" i="11"/>
  <c r="K132" i="11"/>
  <c r="X131" i="11"/>
  <c r="W131" i="11"/>
  <c r="V131" i="11"/>
  <c r="U131" i="11"/>
  <c r="T131" i="11"/>
  <c r="S131" i="11"/>
  <c r="Q131" i="11"/>
  <c r="O131" i="11"/>
  <c r="M131" i="11"/>
  <c r="K131" i="11"/>
  <c r="X130" i="11"/>
  <c r="W130" i="11"/>
  <c r="V130" i="11"/>
  <c r="U130" i="11"/>
  <c r="T130" i="11"/>
  <c r="S130" i="11"/>
  <c r="Q130" i="11"/>
  <c r="O130" i="11"/>
  <c r="M130" i="11"/>
  <c r="K130" i="11"/>
  <c r="X129" i="11"/>
  <c r="W129" i="11"/>
  <c r="V129" i="11"/>
  <c r="U129" i="11"/>
  <c r="T129" i="11"/>
  <c r="S129" i="11"/>
  <c r="Q129" i="11"/>
  <c r="O129" i="11"/>
  <c r="M129" i="11"/>
  <c r="K129" i="11"/>
  <c r="X128" i="11"/>
  <c r="W128" i="11"/>
  <c r="V128" i="11"/>
  <c r="U128" i="11"/>
  <c r="T128" i="11"/>
  <c r="S128" i="11"/>
  <c r="Q128" i="11"/>
  <c r="O128" i="11"/>
  <c r="M128" i="11"/>
  <c r="K128" i="11"/>
  <c r="X127" i="11"/>
  <c r="W127" i="11"/>
  <c r="V127" i="11"/>
  <c r="U127" i="11"/>
  <c r="T127" i="11"/>
  <c r="S127" i="11"/>
  <c r="Q127" i="11"/>
  <c r="O127" i="11"/>
  <c r="M127" i="11"/>
  <c r="K127" i="11"/>
  <c r="X126" i="11"/>
  <c r="W126" i="11"/>
  <c r="V126" i="11"/>
  <c r="U126" i="11"/>
  <c r="T126" i="11"/>
  <c r="S126" i="11"/>
  <c r="Q126" i="11"/>
  <c r="O126" i="11"/>
  <c r="M126" i="11"/>
  <c r="K126" i="11"/>
  <c r="X125" i="11"/>
  <c r="W125" i="11"/>
  <c r="V125" i="11"/>
  <c r="U125" i="11"/>
  <c r="T125" i="11"/>
  <c r="S125" i="11"/>
  <c r="Q125" i="11"/>
  <c r="O125" i="11"/>
  <c r="M125" i="11"/>
  <c r="K125" i="11"/>
  <c r="X124" i="11"/>
  <c r="W124" i="11"/>
  <c r="V124" i="11"/>
  <c r="U124" i="11"/>
  <c r="T124" i="11"/>
  <c r="S124" i="11"/>
  <c r="Q124" i="11"/>
  <c r="O124" i="11"/>
  <c r="M124" i="11"/>
  <c r="K124" i="11"/>
  <c r="X123" i="11"/>
  <c r="W123" i="11"/>
  <c r="V123" i="11"/>
  <c r="U123" i="11"/>
  <c r="T123" i="11"/>
  <c r="S123" i="11"/>
  <c r="Q123" i="11"/>
  <c r="O123" i="11"/>
  <c r="M123" i="11"/>
  <c r="K123" i="11"/>
  <c r="X122" i="11"/>
  <c r="W122" i="11"/>
  <c r="V122" i="11"/>
  <c r="U122" i="11"/>
  <c r="T122" i="11"/>
  <c r="S122" i="11"/>
  <c r="Q122" i="11"/>
  <c r="O122" i="11"/>
  <c r="M122" i="11"/>
  <c r="K122" i="11"/>
  <c r="X121" i="11"/>
  <c r="W121" i="11"/>
  <c r="V121" i="11"/>
  <c r="U121" i="11"/>
  <c r="T121" i="11"/>
  <c r="S121" i="11"/>
  <c r="Q121" i="11"/>
  <c r="O121" i="11"/>
  <c r="M121" i="11"/>
  <c r="K121" i="11"/>
  <c r="X120" i="11"/>
  <c r="W120" i="11"/>
  <c r="V120" i="11"/>
  <c r="U120" i="11"/>
  <c r="T120" i="11"/>
  <c r="S120" i="11"/>
  <c r="Q120" i="11"/>
  <c r="O120" i="11"/>
  <c r="M120" i="11"/>
  <c r="K120" i="11"/>
  <c r="X119" i="11"/>
  <c r="W119" i="11"/>
  <c r="V119" i="11"/>
  <c r="U119" i="11"/>
  <c r="T119" i="11"/>
  <c r="S119" i="11"/>
  <c r="Q119" i="11"/>
  <c r="O119" i="11"/>
  <c r="M119" i="11"/>
  <c r="K119" i="11"/>
  <c r="X118" i="11"/>
  <c r="W118" i="11"/>
  <c r="V118" i="11"/>
  <c r="U118" i="11"/>
  <c r="T118" i="11"/>
  <c r="S118" i="11"/>
  <c r="Q118" i="11"/>
  <c r="O118" i="11"/>
  <c r="M118" i="11"/>
  <c r="K118" i="11"/>
  <c r="X117" i="11"/>
  <c r="W117" i="11"/>
  <c r="V117" i="11"/>
  <c r="U117" i="11"/>
  <c r="T117" i="11"/>
  <c r="S117" i="11"/>
  <c r="Q117" i="11"/>
  <c r="O117" i="11"/>
  <c r="M117" i="11"/>
  <c r="K117" i="11"/>
  <c r="X116" i="11"/>
  <c r="W116" i="11"/>
  <c r="V116" i="11"/>
  <c r="U116" i="11"/>
  <c r="T116" i="11"/>
  <c r="S116" i="11"/>
  <c r="Q116" i="11"/>
  <c r="O116" i="11"/>
  <c r="M116" i="11"/>
  <c r="K116" i="11"/>
  <c r="X115" i="11"/>
  <c r="W115" i="11"/>
  <c r="V115" i="11"/>
  <c r="U115" i="11"/>
  <c r="T115" i="11"/>
  <c r="S115" i="11"/>
  <c r="Q115" i="11"/>
  <c r="O115" i="11"/>
  <c r="M115" i="11"/>
  <c r="K115" i="11"/>
  <c r="X114" i="11"/>
  <c r="W114" i="11"/>
  <c r="V114" i="11"/>
  <c r="U114" i="11"/>
  <c r="T114" i="11"/>
  <c r="S114" i="11"/>
  <c r="Q114" i="11"/>
  <c r="O114" i="11"/>
  <c r="M114" i="11"/>
  <c r="K114" i="11"/>
  <c r="X113" i="11"/>
  <c r="W113" i="11"/>
  <c r="V113" i="11"/>
  <c r="U113" i="11"/>
  <c r="T113" i="11"/>
  <c r="S113" i="11"/>
  <c r="Q113" i="11"/>
  <c r="O113" i="11"/>
  <c r="M113" i="11"/>
  <c r="K113" i="11"/>
  <c r="X112" i="11"/>
  <c r="W112" i="11"/>
  <c r="V112" i="11"/>
  <c r="U112" i="11"/>
  <c r="T112" i="11"/>
  <c r="S112" i="11"/>
  <c r="Q112" i="11"/>
  <c r="O112" i="11"/>
  <c r="M112" i="11"/>
  <c r="K112" i="11"/>
  <c r="X111" i="11"/>
  <c r="W111" i="11"/>
  <c r="V111" i="11"/>
  <c r="U111" i="11"/>
  <c r="T111" i="11"/>
  <c r="S111" i="11"/>
  <c r="Q111" i="11"/>
  <c r="O111" i="11"/>
  <c r="M111" i="11"/>
  <c r="K111" i="11"/>
  <c r="X110" i="11"/>
  <c r="W110" i="11"/>
  <c r="V110" i="11"/>
  <c r="U110" i="11"/>
  <c r="T110" i="11"/>
  <c r="S110" i="11"/>
  <c r="Q110" i="11"/>
  <c r="O110" i="11"/>
  <c r="M110" i="11"/>
  <c r="K110" i="11"/>
  <c r="X109" i="11"/>
  <c r="W109" i="11"/>
  <c r="V109" i="11"/>
  <c r="U109" i="11"/>
  <c r="T109" i="11"/>
  <c r="S109" i="11"/>
  <c r="Q109" i="11"/>
  <c r="O109" i="11"/>
  <c r="M109" i="11"/>
  <c r="K109" i="11"/>
  <c r="X108" i="11"/>
  <c r="W108" i="11"/>
  <c r="V108" i="11"/>
  <c r="U108" i="11"/>
  <c r="T108" i="11"/>
  <c r="S108" i="11"/>
  <c r="Q108" i="11"/>
  <c r="O108" i="11"/>
  <c r="M108" i="11"/>
  <c r="K108" i="11"/>
  <c r="X107" i="11"/>
  <c r="W107" i="11"/>
  <c r="V107" i="11"/>
  <c r="U107" i="11"/>
  <c r="T107" i="11"/>
  <c r="S107" i="11"/>
  <c r="Q107" i="11"/>
  <c r="O107" i="11"/>
  <c r="M107" i="11"/>
  <c r="K107" i="11"/>
  <c r="X106" i="11"/>
  <c r="W106" i="11"/>
  <c r="V106" i="11"/>
  <c r="U106" i="11"/>
  <c r="T106" i="11"/>
  <c r="S106" i="11"/>
  <c r="Q106" i="11"/>
  <c r="O106" i="11"/>
  <c r="M106" i="11"/>
  <c r="K106" i="11"/>
  <c r="X105" i="11"/>
  <c r="W105" i="11"/>
  <c r="V105" i="11"/>
  <c r="U105" i="11"/>
  <c r="T105" i="11"/>
  <c r="S105" i="11"/>
  <c r="Q105" i="11"/>
  <c r="O105" i="11"/>
  <c r="M105" i="11"/>
  <c r="K105" i="11"/>
  <c r="X104" i="11"/>
  <c r="W104" i="11"/>
  <c r="V104" i="11"/>
  <c r="U104" i="11"/>
  <c r="T104" i="11"/>
  <c r="S104" i="11"/>
  <c r="Q104" i="11"/>
  <c r="O104" i="11"/>
  <c r="M104" i="11"/>
  <c r="K104" i="11"/>
  <c r="X103" i="11"/>
  <c r="W103" i="11"/>
  <c r="V103" i="11"/>
  <c r="U103" i="11"/>
  <c r="T103" i="11"/>
  <c r="S103" i="11"/>
  <c r="Q103" i="11"/>
  <c r="O103" i="11"/>
  <c r="M103" i="11"/>
  <c r="K103" i="11"/>
  <c r="X102" i="11"/>
  <c r="W102" i="11"/>
  <c r="V102" i="11"/>
  <c r="U102" i="11"/>
  <c r="T102" i="11"/>
  <c r="S102" i="11"/>
  <c r="Q102" i="11"/>
  <c r="O102" i="11"/>
  <c r="M102" i="11"/>
  <c r="K102" i="11"/>
  <c r="X101" i="11"/>
  <c r="W101" i="11"/>
  <c r="V101" i="11"/>
  <c r="U101" i="11"/>
  <c r="T101" i="11"/>
  <c r="S101" i="11"/>
  <c r="Q101" i="11"/>
  <c r="O101" i="11"/>
  <c r="M101" i="11"/>
  <c r="K101" i="11"/>
  <c r="X100" i="11"/>
  <c r="W100" i="11"/>
  <c r="V100" i="11"/>
  <c r="U100" i="11"/>
  <c r="T100" i="11"/>
  <c r="S100" i="11"/>
  <c r="Q100" i="11"/>
  <c r="O100" i="11"/>
  <c r="M100" i="11"/>
  <c r="K100" i="11"/>
  <c r="X99" i="11"/>
  <c r="W99" i="11"/>
  <c r="V99" i="11"/>
  <c r="U99" i="11"/>
  <c r="T99" i="11"/>
  <c r="S99" i="11"/>
  <c r="Q99" i="11"/>
  <c r="O99" i="11"/>
  <c r="M99" i="11"/>
  <c r="K99" i="11"/>
  <c r="X98" i="11"/>
  <c r="W98" i="11"/>
  <c r="V98" i="11"/>
  <c r="U98" i="11"/>
  <c r="T98" i="11"/>
  <c r="S98" i="11"/>
  <c r="Q98" i="11"/>
  <c r="O98" i="11"/>
  <c r="M98" i="11"/>
  <c r="K98" i="11"/>
  <c r="X97" i="11"/>
  <c r="W97" i="11"/>
  <c r="V97" i="11"/>
  <c r="U97" i="11"/>
  <c r="T97" i="11"/>
  <c r="S97" i="11"/>
  <c r="Q97" i="11"/>
  <c r="O97" i="11"/>
  <c r="M97" i="11"/>
  <c r="K97" i="11"/>
  <c r="X96" i="11"/>
  <c r="W96" i="11"/>
  <c r="V96" i="11"/>
  <c r="U96" i="11"/>
  <c r="T96" i="11"/>
  <c r="S96" i="11"/>
  <c r="Q96" i="11"/>
  <c r="O96" i="11"/>
  <c r="M96" i="11"/>
  <c r="K96" i="11"/>
  <c r="X95" i="11"/>
  <c r="W95" i="11"/>
  <c r="V95" i="11"/>
  <c r="U95" i="11"/>
  <c r="T95" i="11"/>
  <c r="S95" i="11"/>
  <c r="Q95" i="11"/>
  <c r="O95" i="11"/>
  <c r="M95" i="11"/>
  <c r="K95" i="11"/>
  <c r="X94" i="11"/>
  <c r="W94" i="11"/>
  <c r="V94" i="11"/>
  <c r="U94" i="11"/>
  <c r="T94" i="11"/>
  <c r="S94" i="11"/>
  <c r="Q94" i="11"/>
  <c r="O94" i="11"/>
  <c r="M94" i="11"/>
  <c r="K94" i="11"/>
  <c r="X93" i="11"/>
  <c r="W93" i="11"/>
  <c r="V93" i="11"/>
  <c r="U93" i="11"/>
  <c r="T93" i="11"/>
  <c r="S93" i="11"/>
  <c r="Q93" i="11"/>
  <c r="O93" i="11"/>
  <c r="M93" i="11"/>
  <c r="K93" i="11"/>
  <c r="X92" i="11"/>
  <c r="W92" i="11"/>
  <c r="V92" i="11"/>
  <c r="U92" i="11"/>
  <c r="T92" i="11"/>
  <c r="S92" i="11"/>
  <c r="Q92" i="11"/>
  <c r="O92" i="11"/>
  <c r="M92" i="11"/>
  <c r="K92" i="11"/>
  <c r="X91" i="11"/>
  <c r="W91" i="11"/>
  <c r="V91" i="11"/>
  <c r="U91" i="11"/>
  <c r="T91" i="11"/>
  <c r="S91" i="11"/>
  <c r="Q91" i="11"/>
  <c r="O91" i="11"/>
  <c r="M91" i="11"/>
  <c r="K91" i="11"/>
  <c r="X90" i="11"/>
  <c r="W90" i="11"/>
  <c r="V90" i="11"/>
  <c r="U90" i="11"/>
  <c r="T90" i="11"/>
  <c r="S90" i="11"/>
  <c r="Q90" i="11"/>
  <c r="O90" i="11"/>
  <c r="M90" i="11"/>
  <c r="K90" i="11"/>
  <c r="X89" i="11"/>
  <c r="W89" i="11"/>
  <c r="V89" i="11"/>
  <c r="U89" i="11"/>
  <c r="T89" i="11"/>
  <c r="S89" i="11"/>
  <c r="Q89" i="11"/>
  <c r="O89" i="11"/>
  <c r="M89" i="11"/>
  <c r="K89" i="11"/>
  <c r="X88" i="11"/>
  <c r="W88" i="11"/>
  <c r="V88" i="11"/>
  <c r="U88" i="11"/>
  <c r="T88" i="11"/>
  <c r="S88" i="11"/>
  <c r="Q88" i="11"/>
  <c r="O88" i="11"/>
  <c r="M88" i="11"/>
  <c r="K88" i="11"/>
  <c r="X87" i="11"/>
  <c r="W87" i="11"/>
  <c r="V87" i="11"/>
  <c r="U87" i="11"/>
  <c r="T87" i="11"/>
  <c r="S87" i="11"/>
  <c r="Q87" i="11"/>
  <c r="O87" i="11"/>
  <c r="M87" i="11"/>
  <c r="K87" i="11"/>
  <c r="X86" i="11"/>
  <c r="W86" i="11"/>
  <c r="V86" i="11"/>
  <c r="U86" i="11"/>
  <c r="T86" i="11"/>
  <c r="S86" i="11"/>
  <c r="Q86" i="11"/>
  <c r="O86" i="11"/>
  <c r="M86" i="11"/>
  <c r="K86" i="11"/>
  <c r="X85" i="11"/>
  <c r="W85" i="11"/>
  <c r="V85" i="11"/>
  <c r="U85" i="11"/>
  <c r="T85" i="11"/>
  <c r="S85" i="11"/>
  <c r="Q85" i="11"/>
  <c r="O85" i="11"/>
  <c r="M85" i="11"/>
  <c r="K85" i="11"/>
  <c r="X84" i="11"/>
  <c r="W84" i="11"/>
  <c r="V84" i="11"/>
  <c r="U84" i="11"/>
  <c r="T84" i="11"/>
  <c r="S84" i="11"/>
  <c r="Q84" i="11"/>
  <c r="O84" i="11"/>
  <c r="M84" i="11"/>
  <c r="K84" i="11"/>
  <c r="X83" i="11"/>
  <c r="W83" i="11"/>
  <c r="V83" i="11"/>
  <c r="U83" i="11"/>
  <c r="T83" i="11"/>
  <c r="S83" i="11"/>
  <c r="Q83" i="11"/>
  <c r="O83" i="11"/>
  <c r="M83" i="11"/>
  <c r="K83" i="11"/>
  <c r="X82" i="11"/>
  <c r="W82" i="11"/>
  <c r="V82" i="11"/>
  <c r="U82" i="11"/>
  <c r="T82" i="11"/>
  <c r="S82" i="11"/>
  <c r="Q82" i="11"/>
  <c r="O82" i="11"/>
  <c r="M82" i="11"/>
  <c r="K82" i="11"/>
  <c r="X81" i="11"/>
  <c r="W81" i="11"/>
  <c r="V81" i="11"/>
  <c r="U81" i="11"/>
  <c r="T81" i="11"/>
  <c r="S81" i="11"/>
  <c r="Q81" i="11"/>
  <c r="O81" i="11"/>
  <c r="M81" i="11"/>
  <c r="K81" i="11"/>
  <c r="X80" i="11"/>
  <c r="W80" i="11"/>
  <c r="V80" i="11"/>
  <c r="U80" i="11"/>
  <c r="T80" i="11"/>
  <c r="S80" i="11"/>
  <c r="Q80" i="11"/>
  <c r="O80" i="11"/>
  <c r="M80" i="11"/>
  <c r="K80" i="11"/>
  <c r="X79" i="11"/>
  <c r="W79" i="11"/>
  <c r="V79" i="11"/>
  <c r="U79" i="11"/>
  <c r="T79" i="11"/>
  <c r="S79" i="11"/>
  <c r="Q79" i="11"/>
  <c r="O79" i="11"/>
  <c r="M79" i="11"/>
  <c r="K79" i="11"/>
  <c r="X78" i="11"/>
  <c r="W78" i="11"/>
  <c r="V78" i="11"/>
  <c r="U78" i="11"/>
  <c r="T78" i="11"/>
  <c r="S78" i="11"/>
  <c r="Q78" i="11"/>
  <c r="O78" i="11"/>
  <c r="M78" i="11"/>
  <c r="K78" i="11"/>
  <c r="X77" i="11"/>
  <c r="W77" i="11"/>
  <c r="V77" i="11"/>
  <c r="U77" i="11"/>
  <c r="T77" i="11"/>
  <c r="S77" i="11"/>
  <c r="Q77" i="11"/>
  <c r="O77" i="11"/>
  <c r="M77" i="11"/>
  <c r="K77" i="11"/>
  <c r="X76" i="11"/>
  <c r="W76" i="11"/>
  <c r="V76" i="11"/>
  <c r="U76" i="11"/>
  <c r="T76" i="11"/>
  <c r="S76" i="11"/>
  <c r="Q76" i="11"/>
  <c r="O76" i="11"/>
  <c r="M76" i="11"/>
  <c r="K76" i="11"/>
  <c r="X75" i="11"/>
  <c r="W75" i="11"/>
  <c r="V75" i="11"/>
  <c r="U75" i="11"/>
  <c r="T75" i="11"/>
  <c r="S75" i="11"/>
  <c r="Q75" i="11"/>
  <c r="O75" i="11"/>
  <c r="M75" i="11"/>
  <c r="K75" i="11"/>
  <c r="X74" i="11"/>
  <c r="W74" i="11"/>
  <c r="V74" i="11"/>
  <c r="U74" i="11"/>
  <c r="T74" i="11"/>
  <c r="S74" i="11"/>
  <c r="Q74" i="11"/>
  <c r="O74" i="11"/>
  <c r="M74" i="11"/>
  <c r="K74" i="11"/>
  <c r="X73" i="11"/>
  <c r="W73" i="11"/>
  <c r="V73" i="11"/>
  <c r="U73" i="11"/>
  <c r="T73" i="11"/>
  <c r="S73" i="11"/>
  <c r="Q73" i="11"/>
  <c r="O73" i="11"/>
  <c r="M73" i="11"/>
  <c r="K73" i="11"/>
  <c r="X72" i="11"/>
  <c r="W72" i="11"/>
  <c r="V72" i="11"/>
  <c r="U72" i="11"/>
  <c r="T72" i="11"/>
  <c r="S72" i="11"/>
  <c r="Q72" i="11"/>
  <c r="O72" i="11"/>
  <c r="M72" i="11"/>
  <c r="K72" i="11"/>
  <c r="X71" i="11"/>
  <c r="W71" i="11"/>
  <c r="V71" i="11"/>
  <c r="U71" i="11"/>
  <c r="T71" i="11"/>
  <c r="S71" i="11"/>
  <c r="Q71" i="11"/>
  <c r="O71" i="11"/>
  <c r="M71" i="11"/>
  <c r="K71" i="11"/>
  <c r="X70" i="11"/>
  <c r="W70" i="11"/>
  <c r="V70" i="11"/>
  <c r="U70" i="11"/>
  <c r="T70" i="11"/>
  <c r="S70" i="11"/>
  <c r="Q70" i="11"/>
  <c r="O70" i="11"/>
  <c r="M70" i="11"/>
  <c r="K70" i="11"/>
  <c r="X69" i="11"/>
  <c r="W69" i="11"/>
  <c r="V69" i="11"/>
  <c r="U69" i="11"/>
  <c r="T69" i="11"/>
  <c r="S69" i="11"/>
  <c r="Q69" i="11"/>
  <c r="O69" i="11"/>
  <c r="M69" i="11"/>
  <c r="K69" i="11"/>
  <c r="X68" i="11"/>
  <c r="W68" i="11"/>
  <c r="V68" i="11"/>
  <c r="U68" i="11"/>
  <c r="T68" i="11"/>
  <c r="S68" i="11"/>
  <c r="Q68" i="11"/>
  <c r="O68" i="11"/>
  <c r="M68" i="11"/>
  <c r="K68" i="11"/>
  <c r="X67" i="11"/>
  <c r="W67" i="11"/>
  <c r="V67" i="11"/>
  <c r="U67" i="11"/>
  <c r="T67" i="11"/>
  <c r="S67" i="11"/>
  <c r="Q67" i="11"/>
  <c r="O67" i="11"/>
  <c r="M67" i="11"/>
  <c r="K67" i="11"/>
  <c r="X66" i="11"/>
  <c r="W66" i="11"/>
  <c r="V66" i="11"/>
  <c r="U66" i="11"/>
  <c r="T66" i="11"/>
  <c r="S66" i="11"/>
  <c r="Q66" i="11"/>
  <c r="O66" i="11"/>
  <c r="M66" i="11"/>
  <c r="K66" i="11"/>
  <c r="X65" i="11"/>
  <c r="W65" i="11"/>
  <c r="V65" i="11"/>
  <c r="U65" i="11"/>
  <c r="T65" i="11"/>
  <c r="S65" i="11"/>
  <c r="Q65" i="11"/>
  <c r="O65" i="11"/>
  <c r="M65" i="11"/>
  <c r="K65" i="11"/>
  <c r="X64" i="11"/>
  <c r="W64" i="11"/>
  <c r="V64" i="11"/>
  <c r="U64" i="11"/>
  <c r="T64" i="11"/>
  <c r="S64" i="11"/>
  <c r="Q64" i="11"/>
  <c r="O64" i="11"/>
  <c r="M64" i="11"/>
  <c r="K64" i="11"/>
  <c r="X63" i="11"/>
  <c r="W63" i="11"/>
  <c r="V63" i="11"/>
  <c r="U63" i="11"/>
  <c r="T63" i="11"/>
  <c r="S63" i="11"/>
  <c r="Q63" i="11"/>
  <c r="O63" i="11"/>
  <c r="M63" i="11"/>
  <c r="K63" i="11"/>
  <c r="X62" i="11"/>
  <c r="W62" i="11"/>
  <c r="V62" i="11"/>
  <c r="U62" i="11"/>
  <c r="T62" i="11"/>
  <c r="S62" i="11"/>
  <c r="Q62" i="11"/>
  <c r="O62" i="11"/>
  <c r="M62" i="11"/>
  <c r="K62" i="11"/>
  <c r="X61" i="11"/>
  <c r="W61" i="11"/>
  <c r="V61" i="11"/>
  <c r="U61" i="11"/>
  <c r="T61" i="11"/>
  <c r="S61" i="11"/>
  <c r="Q61" i="11"/>
  <c r="O61" i="11"/>
  <c r="M61" i="11"/>
  <c r="K61" i="11"/>
  <c r="X60" i="11"/>
  <c r="W60" i="11"/>
  <c r="V60" i="11"/>
  <c r="U60" i="11"/>
  <c r="T60" i="11"/>
  <c r="S60" i="11"/>
  <c r="Q60" i="11"/>
  <c r="O60" i="11"/>
  <c r="M60" i="11"/>
  <c r="K60" i="11"/>
  <c r="X59" i="11"/>
  <c r="W59" i="11"/>
  <c r="V59" i="11"/>
  <c r="U59" i="11"/>
  <c r="T59" i="11"/>
  <c r="S59" i="11"/>
  <c r="Q59" i="11"/>
  <c r="O59" i="11"/>
  <c r="M59" i="11"/>
  <c r="K59" i="11"/>
  <c r="X58" i="11"/>
  <c r="W58" i="11"/>
  <c r="V58" i="11"/>
  <c r="U58" i="11"/>
  <c r="T58" i="11"/>
  <c r="S58" i="11"/>
  <c r="Q58" i="11"/>
  <c r="O58" i="11"/>
  <c r="M58" i="11"/>
  <c r="K58" i="11"/>
  <c r="X57" i="11"/>
  <c r="W57" i="11"/>
  <c r="V57" i="11"/>
  <c r="U57" i="11"/>
  <c r="T57" i="11"/>
  <c r="S57" i="11"/>
  <c r="Q57" i="11"/>
  <c r="O57" i="11"/>
  <c r="M57" i="11"/>
  <c r="K57" i="11"/>
  <c r="X56" i="11"/>
  <c r="W56" i="11"/>
  <c r="V56" i="11"/>
  <c r="U56" i="11"/>
  <c r="T56" i="11"/>
  <c r="S56" i="11"/>
  <c r="Q56" i="11"/>
  <c r="O56" i="11"/>
  <c r="M56" i="11"/>
  <c r="K56" i="11"/>
  <c r="X55" i="11"/>
  <c r="W55" i="11"/>
  <c r="V55" i="11"/>
  <c r="U55" i="11"/>
  <c r="T55" i="11"/>
  <c r="S55" i="11"/>
  <c r="Q55" i="11"/>
  <c r="O55" i="11"/>
  <c r="M55" i="11"/>
  <c r="K55" i="11"/>
  <c r="X54" i="11"/>
  <c r="W54" i="11"/>
  <c r="V54" i="11"/>
  <c r="U54" i="11"/>
  <c r="T54" i="11"/>
  <c r="S54" i="11"/>
  <c r="Q54" i="11"/>
  <c r="O54" i="11"/>
  <c r="M54" i="11"/>
  <c r="K54" i="11"/>
  <c r="X53" i="11"/>
  <c r="W53" i="11"/>
  <c r="V53" i="11"/>
  <c r="U53" i="11"/>
  <c r="T53" i="11"/>
  <c r="S53" i="11"/>
  <c r="Q53" i="11"/>
  <c r="O53" i="11"/>
  <c r="M53" i="11"/>
  <c r="K53" i="11"/>
  <c r="X52" i="11"/>
  <c r="W52" i="11"/>
  <c r="V52" i="11"/>
  <c r="U52" i="11"/>
  <c r="T52" i="11"/>
  <c r="S52" i="11"/>
  <c r="Q52" i="11"/>
  <c r="O52" i="11"/>
  <c r="M52" i="11"/>
  <c r="K52" i="11"/>
  <c r="X51" i="11"/>
  <c r="W51" i="11"/>
  <c r="V51" i="11"/>
  <c r="U51" i="11"/>
  <c r="T51" i="11"/>
  <c r="S51" i="11"/>
  <c r="Q51" i="11"/>
  <c r="O51" i="11"/>
  <c r="M51" i="11"/>
  <c r="K51" i="11"/>
  <c r="X50" i="11"/>
  <c r="W50" i="11"/>
  <c r="V50" i="11"/>
  <c r="U50" i="11"/>
  <c r="T50" i="11"/>
  <c r="S50" i="11"/>
  <c r="Q50" i="11"/>
  <c r="O50" i="11"/>
  <c r="M50" i="11"/>
  <c r="K50" i="11"/>
  <c r="X49" i="11"/>
  <c r="W49" i="11"/>
  <c r="V49" i="11"/>
  <c r="U49" i="11"/>
  <c r="T49" i="11"/>
  <c r="S49" i="11"/>
  <c r="Q49" i="11"/>
  <c r="O49" i="11"/>
  <c r="M49" i="11"/>
  <c r="K49" i="11"/>
  <c r="X48" i="11"/>
  <c r="W48" i="11"/>
  <c r="V48" i="11"/>
  <c r="U48" i="11"/>
  <c r="T48" i="11"/>
  <c r="S48" i="11"/>
  <c r="Q48" i="11"/>
  <c r="O48" i="11"/>
  <c r="M48" i="11"/>
  <c r="K48" i="11"/>
  <c r="X47" i="11"/>
  <c r="W47" i="11"/>
  <c r="V47" i="11"/>
  <c r="U47" i="11"/>
  <c r="T47" i="11"/>
  <c r="S47" i="11"/>
  <c r="Q47" i="11"/>
  <c r="O47" i="11"/>
  <c r="M47" i="11"/>
  <c r="K47" i="11"/>
  <c r="X46" i="11"/>
  <c r="W46" i="11"/>
  <c r="V46" i="11"/>
  <c r="U46" i="11"/>
  <c r="T46" i="11"/>
  <c r="S46" i="11"/>
  <c r="Q46" i="11"/>
  <c r="O46" i="11"/>
  <c r="M46" i="11"/>
  <c r="K46" i="11"/>
  <c r="X45" i="11"/>
  <c r="W45" i="11"/>
  <c r="V45" i="11"/>
  <c r="U45" i="11"/>
  <c r="T45" i="11"/>
  <c r="S45" i="11"/>
  <c r="Q45" i="11"/>
  <c r="O45" i="11"/>
  <c r="M45" i="11"/>
  <c r="K45" i="11"/>
  <c r="X44" i="11"/>
  <c r="W44" i="11"/>
  <c r="V44" i="11"/>
  <c r="U44" i="11"/>
  <c r="T44" i="11"/>
  <c r="S44" i="11"/>
  <c r="Q44" i="11"/>
  <c r="O44" i="11"/>
  <c r="M44" i="11"/>
  <c r="K44" i="11"/>
  <c r="X43" i="11"/>
  <c r="W43" i="11"/>
  <c r="V43" i="11"/>
  <c r="U43" i="11"/>
  <c r="T43" i="11"/>
  <c r="S43" i="11"/>
  <c r="Q43" i="11"/>
  <c r="O43" i="11"/>
  <c r="M43" i="11"/>
  <c r="K43" i="11"/>
  <c r="X42" i="11"/>
  <c r="W42" i="11"/>
  <c r="V42" i="11"/>
  <c r="U42" i="11"/>
  <c r="T42" i="11"/>
  <c r="S42" i="11"/>
  <c r="Q42" i="11"/>
  <c r="O42" i="11"/>
  <c r="M42" i="11"/>
  <c r="K42" i="11"/>
  <c r="X41" i="11"/>
  <c r="W41" i="11"/>
  <c r="V41" i="11"/>
  <c r="U41" i="11"/>
  <c r="T41" i="11"/>
  <c r="S41" i="11"/>
  <c r="Q41" i="11"/>
  <c r="O41" i="11"/>
  <c r="M41" i="11"/>
  <c r="K41" i="11"/>
  <c r="X40" i="11"/>
  <c r="W40" i="11"/>
  <c r="V40" i="11"/>
  <c r="U40" i="11"/>
  <c r="T40" i="11"/>
  <c r="S40" i="11"/>
  <c r="Q40" i="11"/>
  <c r="O40" i="11"/>
  <c r="M40" i="11"/>
  <c r="K40" i="11"/>
  <c r="X39" i="11"/>
  <c r="W39" i="11"/>
  <c r="V39" i="11"/>
  <c r="U39" i="11"/>
  <c r="T39" i="11"/>
  <c r="S39" i="11"/>
  <c r="Q39" i="11"/>
  <c r="O39" i="11"/>
  <c r="M39" i="11"/>
  <c r="K39" i="11"/>
  <c r="X38" i="11"/>
  <c r="W38" i="11"/>
  <c r="V38" i="11"/>
  <c r="U38" i="11"/>
  <c r="T38" i="11"/>
  <c r="S38" i="11"/>
  <c r="Q38" i="11"/>
  <c r="O38" i="11"/>
  <c r="M38" i="11"/>
  <c r="K38" i="11"/>
  <c r="X37" i="11"/>
  <c r="W37" i="11"/>
  <c r="V37" i="11"/>
  <c r="U37" i="11"/>
  <c r="T37" i="11"/>
  <c r="S37" i="11"/>
  <c r="Q37" i="11"/>
  <c r="O37" i="11"/>
  <c r="M37" i="11"/>
  <c r="K37" i="11"/>
  <c r="X36" i="11"/>
  <c r="W36" i="11"/>
  <c r="V36" i="11"/>
  <c r="U36" i="11"/>
  <c r="T36" i="11"/>
  <c r="S36" i="11"/>
  <c r="Q36" i="11"/>
  <c r="O36" i="11"/>
  <c r="M36" i="11"/>
  <c r="K36" i="11"/>
  <c r="X35" i="11"/>
  <c r="W35" i="11"/>
  <c r="V35" i="11"/>
  <c r="U35" i="11"/>
  <c r="T35" i="11"/>
  <c r="S35" i="11"/>
  <c r="Q35" i="11"/>
  <c r="O35" i="11"/>
  <c r="M35" i="11"/>
  <c r="K35" i="11"/>
  <c r="X34" i="11"/>
  <c r="W34" i="11"/>
  <c r="V34" i="11"/>
  <c r="U34" i="11"/>
  <c r="T34" i="11"/>
  <c r="S34" i="11"/>
  <c r="Q34" i="11"/>
  <c r="O34" i="11"/>
  <c r="M34" i="11"/>
  <c r="K34" i="11"/>
  <c r="X33" i="11"/>
  <c r="W33" i="11"/>
  <c r="V33" i="11"/>
  <c r="U33" i="11"/>
  <c r="T33" i="11"/>
  <c r="S33" i="11"/>
  <c r="Q33" i="11"/>
  <c r="O33" i="11"/>
  <c r="M33" i="11"/>
  <c r="K33" i="11"/>
  <c r="X32" i="11"/>
  <c r="W32" i="11"/>
  <c r="V32" i="11"/>
  <c r="U32" i="11"/>
  <c r="T32" i="11"/>
  <c r="S32" i="11"/>
  <c r="Q32" i="11"/>
  <c r="O32" i="11"/>
  <c r="M32" i="11"/>
  <c r="K32" i="11"/>
  <c r="X31" i="11"/>
  <c r="W31" i="11"/>
  <c r="V31" i="11"/>
  <c r="U31" i="11"/>
  <c r="T31" i="11"/>
  <c r="S31" i="11"/>
  <c r="Q31" i="11"/>
  <c r="O31" i="11"/>
  <c r="M31" i="11"/>
  <c r="K31" i="11"/>
  <c r="X30" i="11"/>
  <c r="W30" i="11"/>
  <c r="V30" i="11"/>
  <c r="U30" i="11"/>
  <c r="T30" i="11"/>
  <c r="S30" i="11"/>
  <c r="Q30" i="11"/>
  <c r="O30" i="11"/>
  <c r="M30" i="11"/>
  <c r="K30" i="11"/>
  <c r="X29" i="11"/>
  <c r="W29" i="11"/>
  <c r="V29" i="11"/>
  <c r="U29" i="11"/>
  <c r="T29" i="11"/>
  <c r="S29" i="11"/>
  <c r="Q29" i="11"/>
  <c r="O29" i="11"/>
  <c r="M29" i="11"/>
  <c r="K29" i="11"/>
  <c r="X28" i="11"/>
  <c r="W28" i="11"/>
  <c r="V28" i="11"/>
  <c r="U28" i="11"/>
  <c r="T28" i="11"/>
  <c r="S28" i="11"/>
  <c r="Q28" i="11"/>
  <c r="O28" i="11"/>
  <c r="M28" i="11"/>
  <c r="K28" i="11"/>
  <c r="X27" i="11"/>
  <c r="W27" i="11"/>
  <c r="V27" i="11"/>
  <c r="U27" i="11"/>
  <c r="T27" i="11"/>
  <c r="S27" i="11"/>
  <c r="Q27" i="11"/>
  <c r="O27" i="11"/>
  <c r="M27" i="11"/>
  <c r="K27" i="11"/>
  <c r="X26" i="11"/>
  <c r="W26" i="11"/>
  <c r="V26" i="11"/>
  <c r="U26" i="11"/>
  <c r="T26" i="11"/>
  <c r="S26" i="11"/>
  <c r="Q26" i="11"/>
  <c r="O26" i="11"/>
  <c r="M26" i="11"/>
  <c r="K26" i="11"/>
  <c r="X25" i="11"/>
  <c r="W25" i="11"/>
  <c r="V25" i="11"/>
  <c r="U25" i="11"/>
  <c r="T25" i="11"/>
  <c r="S25" i="11"/>
  <c r="Q25" i="11"/>
  <c r="O25" i="11"/>
  <c r="M25" i="11"/>
  <c r="K25" i="11"/>
  <c r="X24" i="11"/>
  <c r="W24" i="11"/>
  <c r="V24" i="11"/>
  <c r="U24" i="11"/>
  <c r="T24" i="11"/>
  <c r="S24" i="11"/>
  <c r="Q24" i="11"/>
  <c r="O24" i="11"/>
  <c r="M24" i="11"/>
  <c r="K24" i="11"/>
  <c r="X23" i="11"/>
  <c r="W23" i="11"/>
  <c r="V23" i="11"/>
  <c r="U23" i="11"/>
  <c r="T23" i="11"/>
  <c r="S23" i="11"/>
  <c r="Q23" i="11"/>
  <c r="O23" i="11"/>
  <c r="M23" i="11"/>
  <c r="K23" i="11"/>
  <c r="X22" i="11"/>
  <c r="W22" i="11"/>
  <c r="V22" i="11"/>
  <c r="U22" i="11"/>
  <c r="T22" i="11"/>
  <c r="S22" i="11"/>
  <c r="Q22" i="11"/>
  <c r="O22" i="11"/>
  <c r="M22" i="11"/>
  <c r="K22" i="11"/>
  <c r="X21" i="11"/>
  <c r="W21" i="11"/>
  <c r="V21" i="11"/>
  <c r="U21" i="11"/>
  <c r="T21" i="11"/>
  <c r="S21" i="11"/>
  <c r="Q21" i="11"/>
  <c r="O21" i="11"/>
  <c r="M21" i="11"/>
  <c r="K21" i="11"/>
  <c r="X20" i="11"/>
  <c r="W20" i="11"/>
  <c r="V20" i="11"/>
  <c r="U20" i="11"/>
  <c r="T20" i="11"/>
  <c r="S20" i="11"/>
  <c r="Q20" i="11"/>
  <c r="O20" i="11"/>
  <c r="M20" i="11"/>
  <c r="K20" i="11"/>
  <c r="X19" i="11"/>
  <c r="W19" i="11"/>
  <c r="V19" i="11"/>
  <c r="U19" i="11"/>
  <c r="T19" i="11"/>
  <c r="S19" i="11"/>
  <c r="Q19" i="11"/>
  <c r="O19" i="11"/>
  <c r="M19" i="11"/>
  <c r="K19" i="11"/>
  <c r="X18" i="11"/>
  <c r="W18" i="11"/>
  <c r="V18" i="11"/>
  <c r="U18" i="11"/>
  <c r="T18" i="11"/>
  <c r="S18" i="11"/>
  <c r="Q18" i="11"/>
  <c r="O18" i="11"/>
  <c r="M18" i="11"/>
  <c r="K18" i="11"/>
  <c r="X17" i="11"/>
  <c r="W17" i="11"/>
  <c r="V17" i="11"/>
  <c r="U17" i="11"/>
  <c r="T17" i="11"/>
  <c r="S17" i="11"/>
  <c r="Q17" i="11"/>
  <c r="O17" i="11"/>
  <c r="M17" i="11"/>
  <c r="K17" i="11"/>
  <c r="X16" i="11"/>
  <c r="W16" i="11"/>
  <c r="V16" i="11"/>
  <c r="U16" i="11"/>
  <c r="T16" i="11"/>
  <c r="S16" i="11"/>
  <c r="Q16" i="11"/>
  <c r="O16" i="11"/>
  <c r="M16" i="11"/>
  <c r="K16" i="11"/>
  <c r="X15" i="11"/>
  <c r="W15" i="11"/>
  <c r="V15" i="11"/>
  <c r="U15" i="11"/>
  <c r="T15" i="11"/>
  <c r="S15" i="11"/>
  <c r="Q15" i="11"/>
  <c r="O15" i="11"/>
  <c r="M15" i="11"/>
  <c r="K15" i="11"/>
  <c r="X14" i="11"/>
  <c r="W14" i="11"/>
  <c r="V14" i="11"/>
  <c r="U14" i="11"/>
  <c r="T14" i="11"/>
  <c r="S14" i="11"/>
  <c r="Q14" i="11"/>
  <c r="O14" i="11"/>
  <c r="M14" i="11"/>
  <c r="K14" i="11"/>
  <c r="X13" i="11"/>
  <c r="W13" i="11"/>
  <c r="V13" i="11"/>
  <c r="U13" i="11"/>
  <c r="T13" i="11"/>
  <c r="S13" i="11"/>
  <c r="Q13" i="11"/>
  <c r="O13" i="11"/>
  <c r="M13" i="11"/>
  <c r="K13" i="11"/>
  <c r="X12" i="11"/>
  <c r="W12" i="11"/>
  <c r="V12" i="11"/>
  <c r="U12" i="11"/>
  <c r="T12" i="11"/>
  <c r="S12" i="11"/>
  <c r="Q12" i="11"/>
  <c r="O12" i="11"/>
  <c r="M12" i="11"/>
  <c r="K12" i="11"/>
  <c r="X11" i="11"/>
  <c r="W11" i="11"/>
  <c r="V11" i="11"/>
  <c r="U11" i="11"/>
  <c r="T11" i="11"/>
  <c r="S11" i="11"/>
  <c r="Q11" i="11"/>
  <c r="O11" i="11"/>
  <c r="M11" i="11"/>
  <c r="K11" i="11"/>
  <c r="X10" i="11"/>
  <c r="W10" i="11"/>
  <c r="V10" i="11"/>
  <c r="U10" i="11"/>
  <c r="T10" i="11"/>
  <c r="S10" i="11"/>
  <c r="Q10" i="11"/>
  <c r="O10" i="11"/>
  <c r="M10" i="11"/>
  <c r="K10" i="11"/>
  <c r="X9" i="11"/>
  <c r="W9" i="11"/>
  <c r="V9" i="11"/>
  <c r="U9" i="11"/>
  <c r="T9" i="11"/>
  <c r="S9" i="11"/>
  <c r="Q9" i="11"/>
  <c r="O9" i="11"/>
  <c r="M9" i="11"/>
  <c r="K9" i="11"/>
  <c r="X8" i="11"/>
  <c r="W8" i="11"/>
  <c r="V8" i="11"/>
  <c r="U8" i="11"/>
  <c r="T8" i="11"/>
  <c r="S8" i="11"/>
  <c r="Q8" i="11"/>
  <c r="O8" i="11"/>
  <c r="M8" i="11"/>
  <c r="K8" i="11"/>
  <c r="X7" i="11"/>
  <c r="W7" i="11"/>
  <c r="V7" i="11"/>
  <c r="U7" i="11"/>
  <c r="T7" i="11"/>
  <c r="S7" i="11"/>
  <c r="Q7" i="11"/>
  <c r="O7" i="11"/>
  <c r="M7" i="11"/>
  <c r="K7" i="11"/>
  <c r="X280" i="10" l="1"/>
  <c r="W280" i="10"/>
  <c r="V280" i="10"/>
  <c r="U280" i="10"/>
  <c r="T280" i="10"/>
  <c r="S280" i="10"/>
  <c r="Q280" i="10"/>
  <c r="O280" i="10"/>
  <c r="M280" i="10"/>
  <c r="K280" i="10"/>
  <c r="X279" i="10"/>
  <c r="W279" i="10"/>
  <c r="V279" i="10"/>
  <c r="U279" i="10"/>
  <c r="T279" i="10"/>
  <c r="S279" i="10"/>
  <c r="Q279" i="10"/>
  <c r="O279" i="10"/>
  <c r="M279" i="10"/>
  <c r="K279" i="10"/>
  <c r="X278" i="10"/>
  <c r="W278" i="10"/>
  <c r="V278" i="10"/>
  <c r="U278" i="10"/>
  <c r="T278" i="10"/>
  <c r="S278" i="10"/>
  <c r="Q278" i="10"/>
  <c r="O278" i="10"/>
  <c r="M278" i="10"/>
  <c r="K278" i="10"/>
  <c r="X277" i="10"/>
  <c r="W277" i="10"/>
  <c r="V277" i="10"/>
  <c r="U277" i="10"/>
  <c r="T277" i="10"/>
  <c r="S277" i="10"/>
  <c r="Q277" i="10"/>
  <c r="O277" i="10"/>
  <c r="M277" i="10"/>
  <c r="K277" i="10"/>
  <c r="X276" i="10"/>
  <c r="W276" i="10"/>
  <c r="V276" i="10"/>
  <c r="U276" i="10"/>
  <c r="T276" i="10"/>
  <c r="S276" i="10"/>
  <c r="Q276" i="10"/>
  <c r="O276" i="10"/>
  <c r="M276" i="10"/>
  <c r="K276" i="10"/>
  <c r="X275" i="10"/>
  <c r="W275" i="10"/>
  <c r="V275" i="10"/>
  <c r="U275" i="10"/>
  <c r="T275" i="10"/>
  <c r="S275" i="10"/>
  <c r="Q275" i="10"/>
  <c r="O275" i="10"/>
  <c r="M275" i="10"/>
  <c r="K275" i="10"/>
  <c r="X274" i="10"/>
  <c r="W274" i="10"/>
  <c r="V274" i="10"/>
  <c r="U274" i="10"/>
  <c r="T274" i="10"/>
  <c r="S274" i="10"/>
  <c r="Q274" i="10"/>
  <c r="O274" i="10"/>
  <c r="M274" i="10"/>
  <c r="K274" i="10"/>
  <c r="X273" i="10"/>
  <c r="W273" i="10"/>
  <c r="V273" i="10"/>
  <c r="U273" i="10"/>
  <c r="T273" i="10"/>
  <c r="S273" i="10"/>
  <c r="Q273" i="10"/>
  <c r="O273" i="10"/>
  <c r="M273" i="10"/>
  <c r="K273" i="10"/>
  <c r="X272" i="10"/>
  <c r="W272" i="10"/>
  <c r="V272" i="10"/>
  <c r="U272" i="10"/>
  <c r="T272" i="10"/>
  <c r="S272" i="10"/>
  <c r="Q272" i="10"/>
  <c r="O272" i="10"/>
  <c r="M272" i="10"/>
  <c r="K272" i="10"/>
  <c r="X271" i="10"/>
  <c r="W271" i="10"/>
  <c r="V271" i="10"/>
  <c r="U271" i="10"/>
  <c r="T271" i="10"/>
  <c r="S271" i="10"/>
  <c r="Q271" i="10"/>
  <c r="O271" i="10"/>
  <c r="M271" i="10"/>
  <c r="K271" i="10"/>
  <c r="X270" i="10"/>
  <c r="W270" i="10"/>
  <c r="V270" i="10"/>
  <c r="U270" i="10"/>
  <c r="T270" i="10"/>
  <c r="S270" i="10"/>
  <c r="Q270" i="10"/>
  <c r="O270" i="10"/>
  <c r="M270" i="10"/>
  <c r="K270" i="10"/>
  <c r="X269" i="10"/>
  <c r="W269" i="10"/>
  <c r="V269" i="10"/>
  <c r="U269" i="10"/>
  <c r="T269" i="10"/>
  <c r="S269" i="10"/>
  <c r="Q269" i="10"/>
  <c r="O269" i="10"/>
  <c r="M269" i="10"/>
  <c r="K269" i="10"/>
  <c r="X268" i="10"/>
  <c r="W268" i="10"/>
  <c r="V268" i="10"/>
  <c r="U268" i="10"/>
  <c r="T268" i="10"/>
  <c r="S268" i="10"/>
  <c r="Q268" i="10"/>
  <c r="O268" i="10"/>
  <c r="M268" i="10"/>
  <c r="K268" i="10"/>
  <c r="X267" i="10"/>
  <c r="W267" i="10"/>
  <c r="V267" i="10"/>
  <c r="U267" i="10"/>
  <c r="T267" i="10"/>
  <c r="S267" i="10"/>
  <c r="Q267" i="10"/>
  <c r="O267" i="10"/>
  <c r="M267" i="10"/>
  <c r="K267" i="10"/>
  <c r="X266" i="10"/>
  <c r="W266" i="10"/>
  <c r="V266" i="10"/>
  <c r="U266" i="10"/>
  <c r="T266" i="10"/>
  <c r="S266" i="10"/>
  <c r="Q266" i="10"/>
  <c r="O266" i="10"/>
  <c r="M266" i="10"/>
  <c r="K266" i="10"/>
  <c r="X265" i="10"/>
  <c r="W265" i="10"/>
  <c r="V265" i="10"/>
  <c r="U265" i="10"/>
  <c r="T265" i="10"/>
  <c r="S265" i="10"/>
  <c r="Q265" i="10"/>
  <c r="O265" i="10"/>
  <c r="M265" i="10"/>
  <c r="K265" i="10"/>
  <c r="X264" i="10"/>
  <c r="W264" i="10"/>
  <c r="V264" i="10"/>
  <c r="U264" i="10"/>
  <c r="T264" i="10"/>
  <c r="S264" i="10"/>
  <c r="Q264" i="10"/>
  <c r="O264" i="10"/>
  <c r="M264" i="10"/>
  <c r="K264" i="10"/>
  <c r="X263" i="10"/>
  <c r="W263" i="10"/>
  <c r="V263" i="10"/>
  <c r="U263" i="10"/>
  <c r="T263" i="10"/>
  <c r="S263" i="10"/>
  <c r="Q263" i="10"/>
  <c r="O263" i="10"/>
  <c r="M263" i="10"/>
  <c r="K263" i="10"/>
  <c r="X262" i="10"/>
  <c r="W262" i="10"/>
  <c r="V262" i="10"/>
  <c r="U262" i="10"/>
  <c r="T262" i="10"/>
  <c r="S262" i="10"/>
  <c r="Q262" i="10"/>
  <c r="O262" i="10"/>
  <c r="M262" i="10"/>
  <c r="K262" i="10"/>
  <c r="X261" i="10"/>
  <c r="W261" i="10"/>
  <c r="V261" i="10"/>
  <c r="U261" i="10"/>
  <c r="T261" i="10"/>
  <c r="S261" i="10"/>
  <c r="Q261" i="10"/>
  <c r="O261" i="10"/>
  <c r="M261" i="10"/>
  <c r="K261" i="10"/>
  <c r="X260" i="10"/>
  <c r="W260" i="10"/>
  <c r="V260" i="10"/>
  <c r="U260" i="10"/>
  <c r="T260" i="10"/>
  <c r="S260" i="10"/>
  <c r="Q260" i="10"/>
  <c r="O260" i="10"/>
  <c r="M260" i="10"/>
  <c r="K260" i="10"/>
  <c r="X259" i="10"/>
  <c r="W259" i="10"/>
  <c r="V259" i="10"/>
  <c r="U259" i="10"/>
  <c r="T259" i="10"/>
  <c r="S259" i="10"/>
  <c r="Q259" i="10"/>
  <c r="O259" i="10"/>
  <c r="M259" i="10"/>
  <c r="K259" i="10"/>
  <c r="X258" i="10"/>
  <c r="W258" i="10"/>
  <c r="V258" i="10"/>
  <c r="U258" i="10"/>
  <c r="T258" i="10"/>
  <c r="S258" i="10"/>
  <c r="Q258" i="10"/>
  <c r="O258" i="10"/>
  <c r="M258" i="10"/>
  <c r="K258" i="10"/>
  <c r="X257" i="10"/>
  <c r="W257" i="10"/>
  <c r="V257" i="10"/>
  <c r="U257" i="10"/>
  <c r="T257" i="10"/>
  <c r="S257" i="10"/>
  <c r="Q257" i="10"/>
  <c r="O257" i="10"/>
  <c r="M257" i="10"/>
  <c r="K257" i="10"/>
  <c r="X256" i="10"/>
  <c r="W256" i="10"/>
  <c r="V256" i="10"/>
  <c r="U256" i="10"/>
  <c r="T256" i="10"/>
  <c r="S256" i="10"/>
  <c r="Q256" i="10"/>
  <c r="O256" i="10"/>
  <c r="M256" i="10"/>
  <c r="K256" i="10"/>
  <c r="X255" i="10"/>
  <c r="W255" i="10"/>
  <c r="V255" i="10"/>
  <c r="U255" i="10"/>
  <c r="T255" i="10"/>
  <c r="S255" i="10"/>
  <c r="Q255" i="10"/>
  <c r="O255" i="10"/>
  <c r="M255" i="10"/>
  <c r="K255" i="10"/>
  <c r="X254" i="10"/>
  <c r="W254" i="10"/>
  <c r="V254" i="10"/>
  <c r="U254" i="10"/>
  <c r="T254" i="10"/>
  <c r="S254" i="10"/>
  <c r="Q254" i="10"/>
  <c r="O254" i="10"/>
  <c r="M254" i="10"/>
  <c r="K254" i="10"/>
  <c r="X253" i="10"/>
  <c r="W253" i="10"/>
  <c r="V253" i="10"/>
  <c r="U253" i="10"/>
  <c r="T253" i="10"/>
  <c r="S253" i="10"/>
  <c r="Q253" i="10"/>
  <c r="O253" i="10"/>
  <c r="M253" i="10"/>
  <c r="K253" i="10"/>
  <c r="X252" i="10"/>
  <c r="W252" i="10"/>
  <c r="V252" i="10"/>
  <c r="U252" i="10"/>
  <c r="T252" i="10"/>
  <c r="S252" i="10"/>
  <c r="Q252" i="10"/>
  <c r="O252" i="10"/>
  <c r="M252" i="10"/>
  <c r="K252" i="10"/>
  <c r="X251" i="10"/>
  <c r="W251" i="10"/>
  <c r="V251" i="10"/>
  <c r="U251" i="10"/>
  <c r="T251" i="10"/>
  <c r="S251" i="10"/>
  <c r="Q251" i="10"/>
  <c r="O251" i="10"/>
  <c r="M251" i="10"/>
  <c r="K251" i="10"/>
  <c r="X250" i="10"/>
  <c r="W250" i="10"/>
  <c r="V250" i="10"/>
  <c r="U250" i="10"/>
  <c r="T250" i="10"/>
  <c r="S250" i="10"/>
  <c r="Q250" i="10"/>
  <c r="O250" i="10"/>
  <c r="M250" i="10"/>
  <c r="K250" i="10"/>
  <c r="X249" i="10"/>
  <c r="W249" i="10"/>
  <c r="V249" i="10"/>
  <c r="U249" i="10"/>
  <c r="T249" i="10"/>
  <c r="S249" i="10"/>
  <c r="Q249" i="10"/>
  <c r="O249" i="10"/>
  <c r="M249" i="10"/>
  <c r="K249" i="10"/>
  <c r="X248" i="10"/>
  <c r="W248" i="10"/>
  <c r="V248" i="10"/>
  <c r="U248" i="10"/>
  <c r="T248" i="10"/>
  <c r="S248" i="10"/>
  <c r="Q248" i="10"/>
  <c r="O248" i="10"/>
  <c r="M248" i="10"/>
  <c r="K248" i="10"/>
  <c r="X247" i="10"/>
  <c r="W247" i="10"/>
  <c r="V247" i="10"/>
  <c r="U247" i="10"/>
  <c r="T247" i="10"/>
  <c r="S247" i="10"/>
  <c r="Q247" i="10"/>
  <c r="O247" i="10"/>
  <c r="M247" i="10"/>
  <c r="K247" i="10"/>
  <c r="X246" i="10"/>
  <c r="W246" i="10"/>
  <c r="V246" i="10"/>
  <c r="U246" i="10"/>
  <c r="T246" i="10"/>
  <c r="S246" i="10"/>
  <c r="Q246" i="10"/>
  <c r="O246" i="10"/>
  <c r="M246" i="10"/>
  <c r="K246" i="10"/>
  <c r="X245" i="10"/>
  <c r="W245" i="10"/>
  <c r="V245" i="10"/>
  <c r="U245" i="10"/>
  <c r="T245" i="10"/>
  <c r="S245" i="10"/>
  <c r="Q245" i="10"/>
  <c r="O245" i="10"/>
  <c r="M245" i="10"/>
  <c r="K245" i="10"/>
  <c r="X244" i="10"/>
  <c r="W244" i="10"/>
  <c r="V244" i="10"/>
  <c r="U244" i="10"/>
  <c r="T244" i="10"/>
  <c r="S244" i="10"/>
  <c r="Q244" i="10"/>
  <c r="O244" i="10"/>
  <c r="M244" i="10"/>
  <c r="K244" i="10"/>
  <c r="X243" i="10"/>
  <c r="W243" i="10"/>
  <c r="V243" i="10"/>
  <c r="U243" i="10"/>
  <c r="T243" i="10"/>
  <c r="S243" i="10"/>
  <c r="Q243" i="10"/>
  <c r="O243" i="10"/>
  <c r="M243" i="10"/>
  <c r="K243" i="10"/>
  <c r="X242" i="10"/>
  <c r="W242" i="10"/>
  <c r="V242" i="10"/>
  <c r="U242" i="10"/>
  <c r="T242" i="10"/>
  <c r="S242" i="10"/>
  <c r="Q242" i="10"/>
  <c r="O242" i="10"/>
  <c r="M242" i="10"/>
  <c r="K242" i="10"/>
  <c r="X241" i="10"/>
  <c r="W241" i="10"/>
  <c r="V241" i="10"/>
  <c r="U241" i="10"/>
  <c r="T241" i="10"/>
  <c r="S241" i="10"/>
  <c r="Q241" i="10"/>
  <c r="O241" i="10"/>
  <c r="M241" i="10"/>
  <c r="K241" i="10"/>
  <c r="X240" i="10"/>
  <c r="W240" i="10"/>
  <c r="V240" i="10"/>
  <c r="U240" i="10"/>
  <c r="T240" i="10"/>
  <c r="S240" i="10"/>
  <c r="Q240" i="10"/>
  <c r="O240" i="10"/>
  <c r="M240" i="10"/>
  <c r="K240" i="10"/>
  <c r="X239" i="10"/>
  <c r="W239" i="10"/>
  <c r="V239" i="10"/>
  <c r="U239" i="10"/>
  <c r="T239" i="10"/>
  <c r="S239" i="10"/>
  <c r="Q239" i="10"/>
  <c r="O239" i="10"/>
  <c r="M239" i="10"/>
  <c r="K239" i="10"/>
  <c r="X238" i="10"/>
  <c r="W238" i="10"/>
  <c r="V238" i="10"/>
  <c r="U238" i="10"/>
  <c r="T238" i="10"/>
  <c r="S238" i="10"/>
  <c r="Q238" i="10"/>
  <c r="O238" i="10"/>
  <c r="M238" i="10"/>
  <c r="K238" i="10"/>
  <c r="X237" i="10"/>
  <c r="W237" i="10"/>
  <c r="V237" i="10"/>
  <c r="U237" i="10"/>
  <c r="T237" i="10"/>
  <c r="S237" i="10"/>
  <c r="Q237" i="10"/>
  <c r="O237" i="10"/>
  <c r="M237" i="10"/>
  <c r="K237" i="10"/>
  <c r="X236" i="10"/>
  <c r="W236" i="10"/>
  <c r="V236" i="10"/>
  <c r="U236" i="10"/>
  <c r="T236" i="10"/>
  <c r="S236" i="10"/>
  <c r="Q236" i="10"/>
  <c r="O236" i="10"/>
  <c r="M236" i="10"/>
  <c r="K236" i="10"/>
  <c r="X235" i="10"/>
  <c r="W235" i="10"/>
  <c r="V235" i="10"/>
  <c r="U235" i="10"/>
  <c r="T235" i="10"/>
  <c r="S235" i="10"/>
  <c r="Q235" i="10"/>
  <c r="O235" i="10"/>
  <c r="M235" i="10"/>
  <c r="K235" i="10"/>
  <c r="X234" i="10"/>
  <c r="W234" i="10"/>
  <c r="V234" i="10"/>
  <c r="U234" i="10"/>
  <c r="T234" i="10"/>
  <c r="S234" i="10"/>
  <c r="Q234" i="10"/>
  <c r="O234" i="10"/>
  <c r="M234" i="10"/>
  <c r="K234" i="10"/>
  <c r="X233" i="10"/>
  <c r="W233" i="10"/>
  <c r="V233" i="10"/>
  <c r="U233" i="10"/>
  <c r="T233" i="10"/>
  <c r="S233" i="10"/>
  <c r="Q233" i="10"/>
  <c r="O233" i="10"/>
  <c r="M233" i="10"/>
  <c r="K233" i="10"/>
  <c r="X232" i="10"/>
  <c r="W232" i="10"/>
  <c r="V232" i="10"/>
  <c r="U232" i="10"/>
  <c r="T232" i="10"/>
  <c r="S232" i="10"/>
  <c r="Q232" i="10"/>
  <c r="O232" i="10"/>
  <c r="M232" i="10"/>
  <c r="K232" i="10"/>
  <c r="X231" i="10"/>
  <c r="W231" i="10"/>
  <c r="V231" i="10"/>
  <c r="U231" i="10"/>
  <c r="T231" i="10"/>
  <c r="S231" i="10"/>
  <c r="Q231" i="10"/>
  <c r="O231" i="10"/>
  <c r="M231" i="10"/>
  <c r="K231" i="10"/>
  <c r="X230" i="10"/>
  <c r="W230" i="10"/>
  <c r="V230" i="10"/>
  <c r="U230" i="10"/>
  <c r="T230" i="10"/>
  <c r="S230" i="10"/>
  <c r="Q230" i="10"/>
  <c r="O230" i="10"/>
  <c r="M230" i="10"/>
  <c r="K230" i="10"/>
  <c r="X229" i="10"/>
  <c r="W229" i="10"/>
  <c r="V229" i="10"/>
  <c r="U229" i="10"/>
  <c r="T229" i="10"/>
  <c r="S229" i="10"/>
  <c r="Q229" i="10"/>
  <c r="O229" i="10"/>
  <c r="M229" i="10"/>
  <c r="K229" i="10"/>
  <c r="X228" i="10"/>
  <c r="W228" i="10"/>
  <c r="V228" i="10"/>
  <c r="U228" i="10"/>
  <c r="T228" i="10"/>
  <c r="S228" i="10"/>
  <c r="Q228" i="10"/>
  <c r="O228" i="10"/>
  <c r="M228" i="10"/>
  <c r="K228" i="10"/>
  <c r="X227" i="10"/>
  <c r="W227" i="10"/>
  <c r="V227" i="10"/>
  <c r="U227" i="10"/>
  <c r="T227" i="10"/>
  <c r="S227" i="10"/>
  <c r="Q227" i="10"/>
  <c r="O227" i="10"/>
  <c r="M227" i="10"/>
  <c r="K227" i="10"/>
  <c r="X226" i="10"/>
  <c r="W226" i="10"/>
  <c r="V226" i="10"/>
  <c r="U226" i="10"/>
  <c r="T226" i="10"/>
  <c r="S226" i="10"/>
  <c r="Q226" i="10"/>
  <c r="O226" i="10"/>
  <c r="M226" i="10"/>
  <c r="K226" i="10"/>
  <c r="X225" i="10"/>
  <c r="W225" i="10"/>
  <c r="V225" i="10"/>
  <c r="U225" i="10"/>
  <c r="T225" i="10"/>
  <c r="S225" i="10"/>
  <c r="Q225" i="10"/>
  <c r="O225" i="10"/>
  <c r="M225" i="10"/>
  <c r="K225" i="10"/>
  <c r="X224" i="10"/>
  <c r="W224" i="10"/>
  <c r="V224" i="10"/>
  <c r="U224" i="10"/>
  <c r="T224" i="10"/>
  <c r="S224" i="10"/>
  <c r="Q224" i="10"/>
  <c r="O224" i="10"/>
  <c r="M224" i="10"/>
  <c r="K224" i="10"/>
  <c r="X223" i="10"/>
  <c r="W223" i="10"/>
  <c r="V223" i="10"/>
  <c r="U223" i="10"/>
  <c r="T223" i="10"/>
  <c r="S223" i="10"/>
  <c r="Q223" i="10"/>
  <c r="O223" i="10"/>
  <c r="M223" i="10"/>
  <c r="K223" i="10"/>
  <c r="X222" i="10"/>
  <c r="W222" i="10"/>
  <c r="V222" i="10"/>
  <c r="U222" i="10"/>
  <c r="T222" i="10"/>
  <c r="S222" i="10"/>
  <c r="Q222" i="10"/>
  <c r="O222" i="10"/>
  <c r="M222" i="10"/>
  <c r="K222" i="10"/>
  <c r="X221" i="10"/>
  <c r="W221" i="10"/>
  <c r="V221" i="10"/>
  <c r="U221" i="10"/>
  <c r="T221" i="10"/>
  <c r="S221" i="10"/>
  <c r="Q221" i="10"/>
  <c r="O221" i="10"/>
  <c r="M221" i="10"/>
  <c r="K221" i="10"/>
  <c r="X220" i="10"/>
  <c r="W220" i="10"/>
  <c r="V220" i="10"/>
  <c r="U220" i="10"/>
  <c r="T220" i="10"/>
  <c r="S220" i="10"/>
  <c r="Q220" i="10"/>
  <c r="O220" i="10"/>
  <c r="M220" i="10"/>
  <c r="K220" i="10"/>
  <c r="X219" i="10"/>
  <c r="W219" i="10"/>
  <c r="V219" i="10"/>
  <c r="U219" i="10"/>
  <c r="T219" i="10"/>
  <c r="S219" i="10"/>
  <c r="Q219" i="10"/>
  <c r="O219" i="10"/>
  <c r="M219" i="10"/>
  <c r="K219" i="10"/>
  <c r="X218" i="10"/>
  <c r="W218" i="10"/>
  <c r="V218" i="10"/>
  <c r="U218" i="10"/>
  <c r="T218" i="10"/>
  <c r="S218" i="10"/>
  <c r="Q218" i="10"/>
  <c r="O218" i="10"/>
  <c r="M218" i="10"/>
  <c r="K218" i="10"/>
  <c r="X217" i="10"/>
  <c r="W217" i="10"/>
  <c r="V217" i="10"/>
  <c r="U217" i="10"/>
  <c r="T217" i="10"/>
  <c r="S217" i="10"/>
  <c r="Q217" i="10"/>
  <c r="O217" i="10"/>
  <c r="M217" i="10"/>
  <c r="K217" i="10"/>
  <c r="X216" i="10"/>
  <c r="W216" i="10"/>
  <c r="V216" i="10"/>
  <c r="U216" i="10"/>
  <c r="T216" i="10"/>
  <c r="S216" i="10"/>
  <c r="Q216" i="10"/>
  <c r="O216" i="10"/>
  <c r="M216" i="10"/>
  <c r="K216" i="10"/>
  <c r="X215" i="10"/>
  <c r="W215" i="10"/>
  <c r="V215" i="10"/>
  <c r="U215" i="10"/>
  <c r="T215" i="10"/>
  <c r="S215" i="10"/>
  <c r="Q215" i="10"/>
  <c r="O215" i="10"/>
  <c r="M215" i="10"/>
  <c r="K215" i="10"/>
  <c r="X214" i="10"/>
  <c r="W214" i="10"/>
  <c r="V214" i="10"/>
  <c r="U214" i="10"/>
  <c r="T214" i="10"/>
  <c r="S214" i="10"/>
  <c r="Q214" i="10"/>
  <c r="O214" i="10"/>
  <c r="M214" i="10"/>
  <c r="K214" i="10"/>
  <c r="X213" i="10"/>
  <c r="W213" i="10"/>
  <c r="V213" i="10"/>
  <c r="U213" i="10"/>
  <c r="T213" i="10"/>
  <c r="S213" i="10"/>
  <c r="Q213" i="10"/>
  <c r="O213" i="10"/>
  <c r="M213" i="10"/>
  <c r="K213" i="10"/>
  <c r="X212" i="10"/>
  <c r="W212" i="10"/>
  <c r="V212" i="10"/>
  <c r="U212" i="10"/>
  <c r="T212" i="10"/>
  <c r="S212" i="10"/>
  <c r="Q212" i="10"/>
  <c r="O212" i="10"/>
  <c r="M212" i="10"/>
  <c r="K212" i="10"/>
  <c r="X211" i="10"/>
  <c r="W211" i="10"/>
  <c r="V211" i="10"/>
  <c r="U211" i="10"/>
  <c r="T211" i="10"/>
  <c r="S211" i="10"/>
  <c r="Q211" i="10"/>
  <c r="O211" i="10"/>
  <c r="M211" i="10"/>
  <c r="K211" i="10"/>
  <c r="X210" i="10"/>
  <c r="W210" i="10"/>
  <c r="V210" i="10"/>
  <c r="U210" i="10"/>
  <c r="T210" i="10"/>
  <c r="S210" i="10"/>
  <c r="Q210" i="10"/>
  <c r="O210" i="10"/>
  <c r="M210" i="10"/>
  <c r="K210" i="10"/>
  <c r="X209" i="10"/>
  <c r="W209" i="10"/>
  <c r="V209" i="10"/>
  <c r="U209" i="10"/>
  <c r="T209" i="10"/>
  <c r="S209" i="10"/>
  <c r="Q209" i="10"/>
  <c r="O209" i="10"/>
  <c r="M209" i="10"/>
  <c r="K209" i="10"/>
  <c r="X208" i="10"/>
  <c r="W208" i="10"/>
  <c r="V208" i="10"/>
  <c r="U208" i="10"/>
  <c r="T208" i="10"/>
  <c r="S208" i="10"/>
  <c r="Q208" i="10"/>
  <c r="O208" i="10"/>
  <c r="M208" i="10"/>
  <c r="K208" i="10"/>
  <c r="X207" i="10"/>
  <c r="W207" i="10"/>
  <c r="V207" i="10"/>
  <c r="U207" i="10"/>
  <c r="T207" i="10"/>
  <c r="S207" i="10"/>
  <c r="Q207" i="10"/>
  <c r="O207" i="10"/>
  <c r="M207" i="10"/>
  <c r="K207" i="10"/>
  <c r="X206" i="10"/>
  <c r="W206" i="10"/>
  <c r="V206" i="10"/>
  <c r="U206" i="10"/>
  <c r="T206" i="10"/>
  <c r="S206" i="10"/>
  <c r="Q206" i="10"/>
  <c r="O206" i="10"/>
  <c r="M206" i="10"/>
  <c r="K206" i="10"/>
  <c r="X205" i="10"/>
  <c r="W205" i="10"/>
  <c r="V205" i="10"/>
  <c r="U205" i="10"/>
  <c r="T205" i="10"/>
  <c r="S205" i="10"/>
  <c r="Q205" i="10"/>
  <c r="O205" i="10"/>
  <c r="M205" i="10"/>
  <c r="K205" i="10"/>
  <c r="X204" i="10"/>
  <c r="W204" i="10"/>
  <c r="V204" i="10"/>
  <c r="U204" i="10"/>
  <c r="T204" i="10"/>
  <c r="S204" i="10"/>
  <c r="Q204" i="10"/>
  <c r="O204" i="10"/>
  <c r="M204" i="10"/>
  <c r="K204" i="10"/>
  <c r="X203" i="10"/>
  <c r="W203" i="10"/>
  <c r="V203" i="10"/>
  <c r="U203" i="10"/>
  <c r="T203" i="10"/>
  <c r="S203" i="10"/>
  <c r="Q203" i="10"/>
  <c r="O203" i="10"/>
  <c r="M203" i="10"/>
  <c r="K203" i="10"/>
  <c r="X202" i="10"/>
  <c r="W202" i="10"/>
  <c r="V202" i="10"/>
  <c r="U202" i="10"/>
  <c r="T202" i="10"/>
  <c r="S202" i="10"/>
  <c r="Q202" i="10"/>
  <c r="O202" i="10"/>
  <c r="M202" i="10"/>
  <c r="K202" i="10"/>
  <c r="X201" i="10"/>
  <c r="W201" i="10"/>
  <c r="V201" i="10"/>
  <c r="U201" i="10"/>
  <c r="T201" i="10"/>
  <c r="S201" i="10"/>
  <c r="Q201" i="10"/>
  <c r="O201" i="10"/>
  <c r="M201" i="10"/>
  <c r="K201" i="10"/>
  <c r="X200" i="10"/>
  <c r="W200" i="10"/>
  <c r="V200" i="10"/>
  <c r="U200" i="10"/>
  <c r="T200" i="10"/>
  <c r="S200" i="10"/>
  <c r="Q200" i="10"/>
  <c r="O200" i="10"/>
  <c r="M200" i="10"/>
  <c r="K200" i="10"/>
  <c r="X199" i="10"/>
  <c r="W199" i="10"/>
  <c r="V199" i="10"/>
  <c r="U199" i="10"/>
  <c r="T199" i="10"/>
  <c r="S199" i="10"/>
  <c r="Q199" i="10"/>
  <c r="O199" i="10"/>
  <c r="M199" i="10"/>
  <c r="K199" i="10"/>
  <c r="X198" i="10"/>
  <c r="W198" i="10"/>
  <c r="V198" i="10"/>
  <c r="U198" i="10"/>
  <c r="T198" i="10"/>
  <c r="S198" i="10"/>
  <c r="Q198" i="10"/>
  <c r="O198" i="10"/>
  <c r="M198" i="10"/>
  <c r="K198" i="10"/>
  <c r="X197" i="10"/>
  <c r="W197" i="10"/>
  <c r="V197" i="10"/>
  <c r="U197" i="10"/>
  <c r="T197" i="10"/>
  <c r="S197" i="10"/>
  <c r="Q197" i="10"/>
  <c r="O197" i="10"/>
  <c r="M197" i="10"/>
  <c r="K197" i="10"/>
  <c r="X196" i="10"/>
  <c r="W196" i="10"/>
  <c r="V196" i="10"/>
  <c r="U196" i="10"/>
  <c r="T196" i="10"/>
  <c r="S196" i="10"/>
  <c r="Q196" i="10"/>
  <c r="O196" i="10"/>
  <c r="M196" i="10"/>
  <c r="K196" i="10"/>
  <c r="X195" i="10"/>
  <c r="W195" i="10"/>
  <c r="V195" i="10"/>
  <c r="U195" i="10"/>
  <c r="T195" i="10"/>
  <c r="S195" i="10"/>
  <c r="Q195" i="10"/>
  <c r="O195" i="10"/>
  <c r="M195" i="10"/>
  <c r="K195" i="10"/>
  <c r="X194" i="10"/>
  <c r="W194" i="10"/>
  <c r="V194" i="10"/>
  <c r="U194" i="10"/>
  <c r="T194" i="10"/>
  <c r="S194" i="10"/>
  <c r="Q194" i="10"/>
  <c r="O194" i="10"/>
  <c r="M194" i="10"/>
  <c r="K194" i="10"/>
  <c r="X193" i="10"/>
  <c r="W193" i="10"/>
  <c r="V193" i="10"/>
  <c r="U193" i="10"/>
  <c r="T193" i="10"/>
  <c r="S193" i="10"/>
  <c r="Q193" i="10"/>
  <c r="O193" i="10"/>
  <c r="M193" i="10"/>
  <c r="K193" i="10"/>
  <c r="X192" i="10"/>
  <c r="W192" i="10"/>
  <c r="V192" i="10"/>
  <c r="U192" i="10"/>
  <c r="T192" i="10"/>
  <c r="S192" i="10"/>
  <c r="Q192" i="10"/>
  <c r="O192" i="10"/>
  <c r="M192" i="10"/>
  <c r="K192" i="10"/>
  <c r="X191" i="10"/>
  <c r="W191" i="10"/>
  <c r="V191" i="10"/>
  <c r="U191" i="10"/>
  <c r="T191" i="10"/>
  <c r="S191" i="10"/>
  <c r="Q191" i="10"/>
  <c r="O191" i="10"/>
  <c r="M191" i="10"/>
  <c r="K191" i="10"/>
  <c r="X190" i="10"/>
  <c r="W190" i="10"/>
  <c r="V190" i="10"/>
  <c r="U190" i="10"/>
  <c r="T190" i="10"/>
  <c r="S190" i="10"/>
  <c r="Q190" i="10"/>
  <c r="O190" i="10"/>
  <c r="M190" i="10"/>
  <c r="K190" i="10"/>
  <c r="X189" i="10"/>
  <c r="W189" i="10"/>
  <c r="V189" i="10"/>
  <c r="U189" i="10"/>
  <c r="T189" i="10"/>
  <c r="S189" i="10"/>
  <c r="Q189" i="10"/>
  <c r="O189" i="10"/>
  <c r="M189" i="10"/>
  <c r="K189" i="10"/>
  <c r="X188" i="10"/>
  <c r="W188" i="10"/>
  <c r="V188" i="10"/>
  <c r="U188" i="10"/>
  <c r="T188" i="10"/>
  <c r="S188" i="10"/>
  <c r="Q188" i="10"/>
  <c r="O188" i="10"/>
  <c r="M188" i="10"/>
  <c r="K188" i="10"/>
  <c r="X187" i="10"/>
  <c r="W187" i="10"/>
  <c r="V187" i="10"/>
  <c r="U187" i="10"/>
  <c r="T187" i="10"/>
  <c r="S187" i="10"/>
  <c r="Q187" i="10"/>
  <c r="O187" i="10"/>
  <c r="M187" i="10"/>
  <c r="K187" i="10"/>
  <c r="X186" i="10"/>
  <c r="W186" i="10"/>
  <c r="V186" i="10"/>
  <c r="U186" i="10"/>
  <c r="T186" i="10"/>
  <c r="S186" i="10"/>
  <c r="Q186" i="10"/>
  <c r="O186" i="10"/>
  <c r="M186" i="10"/>
  <c r="K186" i="10"/>
  <c r="X185" i="10"/>
  <c r="W185" i="10"/>
  <c r="V185" i="10"/>
  <c r="U185" i="10"/>
  <c r="T185" i="10"/>
  <c r="S185" i="10"/>
  <c r="Q185" i="10"/>
  <c r="O185" i="10"/>
  <c r="M185" i="10"/>
  <c r="K185" i="10"/>
  <c r="X184" i="10"/>
  <c r="W184" i="10"/>
  <c r="V184" i="10"/>
  <c r="U184" i="10"/>
  <c r="T184" i="10"/>
  <c r="S184" i="10"/>
  <c r="Q184" i="10"/>
  <c r="O184" i="10"/>
  <c r="M184" i="10"/>
  <c r="K184" i="10"/>
  <c r="X183" i="10"/>
  <c r="W183" i="10"/>
  <c r="V183" i="10"/>
  <c r="U183" i="10"/>
  <c r="T183" i="10"/>
  <c r="S183" i="10"/>
  <c r="Q183" i="10"/>
  <c r="O183" i="10"/>
  <c r="M183" i="10"/>
  <c r="K183" i="10"/>
  <c r="X182" i="10"/>
  <c r="W182" i="10"/>
  <c r="V182" i="10"/>
  <c r="U182" i="10"/>
  <c r="T182" i="10"/>
  <c r="S182" i="10"/>
  <c r="Q182" i="10"/>
  <c r="O182" i="10"/>
  <c r="M182" i="10"/>
  <c r="K182" i="10"/>
  <c r="X181" i="10"/>
  <c r="W181" i="10"/>
  <c r="V181" i="10"/>
  <c r="U181" i="10"/>
  <c r="T181" i="10"/>
  <c r="S181" i="10"/>
  <c r="Q181" i="10"/>
  <c r="O181" i="10"/>
  <c r="M181" i="10"/>
  <c r="K181" i="10"/>
  <c r="X180" i="10"/>
  <c r="W180" i="10"/>
  <c r="V180" i="10"/>
  <c r="U180" i="10"/>
  <c r="T180" i="10"/>
  <c r="S180" i="10"/>
  <c r="Q180" i="10"/>
  <c r="O180" i="10"/>
  <c r="M180" i="10"/>
  <c r="K180" i="10"/>
  <c r="X179" i="10"/>
  <c r="W179" i="10"/>
  <c r="V179" i="10"/>
  <c r="U179" i="10"/>
  <c r="T179" i="10"/>
  <c r="S179" i="10"/>
  <c r="Q179" i="10"/>
  <c r="O179" i="10"/>
  <c r="M179" i="10"/>
  <c r="K179" i="10"/>
  <c r="X178" i="10"/>
  <c r="W178" i="10"/>
  <c r="V178" i="10"/>
  <c r="U178" i="10"/>
  <c r="T178" i="10"/>
  <c r="S178" i="10"/>
  <c r="Q178" i="10"/>
  <c r="O178" i="10"/>
  <c r="M178" i="10"/>
  <c r="K178" i="10"/>
  <c r="X177" i="10"/>
  <c r="W177" i="10"/>
  <c r="V177" i="10"/>
  <c r="U177" i="10"/>
  <c r="T177" i="10"/>
  <c r="S177" i="10"/>
  <c r="Q177" i="10"/>
  <c r="O177" i="10"/>
  <c r="M177" i="10"/>
  <c r="K177" i="10"/>
  <c r="X176" i="10"/>
  <c r="W176" i="10"/>
  <c r="V176" i="10"/>
  <c r="U176" i="10"/>
  <c r="T176" i="10"/>
  <c r="S176" i="10"/>
  <c r="Q176" i="10"/>
  <c r="O176" i="10"/>
  <c r="M176" i="10"/>
  <c r="K176" i="10"/>
  <c r="X175" i="10"/>
  <c r="W175" i="10"/>
  <c r="V175" i="10"/>
  <c r="U175" i="10"/>
  <c r="T175" i="10"/>
  <c r="S175" i="10"/>
  <c r="Q175" i="10"/>
  <c r="O175" i="10"/>
  <c r="M175" i="10"/>
  <c r="K175" i="10"/>
  <c r="X174" i="10"/>
  <c r="W174" i="10"/>
  <c r="V174" i="10"/>
  <c r="U174" i="10"/>
  <c r="T174" i="10"/>
  <c r="S174" i="10"/>
  <c r="Q174" i="10"/>
  <c r="O174" i="10"/>
  <c r="M174" i="10"/>
  <c r="K174" i="10"/>
  <c r="X173" i="10"/>
  <c r="W173" i="10"/>
  <c r="V173" i="10"/>
  <c r="U173" i="10"/>
  <c r="T173" i="10"/>
  <c r="S173" i="10"/>
  <c r="Q173" i="10"/>
  <c r="O173" i="10"/>
  <c r="M173" i="10"/>
  <c r="K173" i="10"/>
  <c r="X172" i="10"/>
  <c r="W172" i="10"/>
  <c r="V172" i="10"/>
  <c r="U172" i="10"/>
  <c r="T172" i="10"/>
  <c r="S172" i="10"/>
  <c r="Q172" i="10"/>
  <c r="O172" i="10"/>
  <c r="M172" i="10"/>
  <c r="K172" i="10"/>
  <c r="X171" i="10"/>
  <c r="W171" i="10"/>
  <c r="V171" i="10"/>
  <c r="U171" i="10"/>
  <c r="T171" i="10"/>
  <c r="S171" i="10"/>
  <c r="Q171" i="10"/>
  <c r="O171" i="10"/>
  <c r="M171" i="10"/>
  <c r="K171" i="10"/>
  <c r="X170" i="10"/>
  <c r="W170" i="10"/>
  <c r="V170" i="10"/>
  <c r="U170" i="10"/>
  <c r="T170" i="10"/>
  <c r="S170" i="10"/>
  <c r="Q170" i="10"/>
  <c r="O170" i="10"/>
  <c r="M170" i="10"/>
  <c r="K170" i="10"/>
  <c r="X169" i="10"/>
  <c r="W169" i="10"/>
  <c r="V169" i="10"/>
  <c r="U169" i="10"/>
  <c r="T169" i="10"/>
  <c r="S169" i="10"/>
  <c r="Q169" i="10"/>
  <c r="O169" i="10"/>
  <c r="M169" i="10"/>
  <c r="K169" i="10"/>
  <c r="X168" i="10"/>
  <c r="W168" i="10"/>
  <c r="V168" i="10"/>
  <c r="U168" i="10"/>
  <c r="T168" i="10"/>
  <c r="S168" i="10"/>
  <c r="Q168" i="10"/>
  <c r="O168" i="10"/>
  <c r="M168" i="10"/>
  <c r="K168" i="10"/>
  <c r="X167" i="10"/>
  <c r="W167" i="10"/>
  <c r="V167" i="10"/>
  <c r="U167" i="10"/>
  <c r="T167" i="10"/>
  <c r="S167" i="10"/>
  <c r="Q167" i="10"/>
  <c r="O167" i="10"/>
  <c r="M167" i="10"/>
  <c r="K167" i="10"/>
  <c r="X166" i="10"/>
  <c r="W166" i="10"/>
  <c r="V166" i="10"/>
  <c r="U166" i="10"/>
  <c r="T166" i="10"/>
  <c r="S166" i="10"/>
  <c r="Q166" i="10"/>
  <c r="O166" i="10"/>
  <c r="M166" i="10"/>
  <c r="K166" i="10"/>
  <c r="X165" i="10"/>
  <c r="W165" i="10"/>
  <c r="V165" i="10"/>
  <c r="U165" i="10"/>
  <c r="T165" i="10"/>
  <c r="S165" i="10"/>
  <c r="Q165" i="10"/>
  <c r="O165" i="10"/>
  <c r="M165" i="10"/>
  <c r="K165" i="10"/>
  <c r="X164" i="10"/>
  <c r="W164" i="10"/>
  <c r="V164" i="10"/>
  <c r="U164" i="10"/>
  <c r="T164" i="10"/>
  <c r="S164" i="10"/>
  <c r="Q164" i="10"/>
  <c r="O164" i="10"/>
  <c r="M164" i="10"/>
  <c r="K164" i="10"/>
  <c r="X163" i="10"/>
  <c r="W163" i="10"/>
  <c r="V163" i="10"/>
  <c r="U163" i="10"/>
  <c r="T163" i="10"/>
  <c r="S163" i="10"/>
  <c r="Q163" i="10"/>
  <c r="O163" i="10"/>
  <c r="M163" i="10"/>
  <c r="K163" i="10"/>
  <c r="X162" i="10"/>
  <c r="W162" i="10"/>
  <c r="V162" i="10"/>
  <c r="U162" i="10"/>
  <c r="T162" i="10"/>
  <c r="S162" i="10"/>
  <c r="Q162" i="10"/>
  <c r="O162" i="10"/>
  <c r="M162" i="10"/>
  <c r="K162" i="10"/>
  <c r="X161" i="10"/>
  <c r="W161" i="10"/>
  <c r="V161" i="10"/>
  <c r="U161" i="10"/>
  <c r="T161" i="10"/>
  <c r="S161" i="10"/>
  <c r="Q161" i="10"/>
  <c r="O161" i="10"/>
  <c r="M161" i="10"/>
  <c r="K161" i="10"/>
  <c r="X160" i="10"/>
  <c r="W160" i="10"/>
  <c r="V160" i="10"/>
  <c r="U160" i="10"/>
  <c r="T160" i="10"/>
  <c r="S160" i="10"/>
  <c r="Q160" i="10"/>
  <c r="O160" i="10"/>
  <c r="M160" i="10"/>
  <c r="K160" i="10"/>
  <c r="X159" i="10"/>
  <c r="W159" i="10"/>
  <c r="V159" i="10"/>
  <c r="U159" i="10"/>
  <c r="T159" i="10"/>
  <c r="S159" i="10"/>
  <c r="Q159" i="10"/>
  <c r="O159" i="10"/>
  <c r="M159" i="10"/>
  <c r="K159" i="10"/>
  <c r="X158" i="10"/>
  <c r="W158" i="10"/>
  <c r="V158" i="10"/>
  <c r="U158" i="10"/>
  <c r="T158" i="10"/>
  <c r="S158" i="10"/>
  <c r="Q158" i="10"/>
  <c r="O158" i="10"/>
  <c r="M158" i="10"/>
  <c r="K158" i="10"/>
  <c r="X157" i="10"/>
  <c r="W157" i="10"/>
  <c r="V157" i="10"/>
  <c r="U157" i="10"/>
  <c r="T157" i="10"/>
  <c r="S157" i="10"/>
  <c r="Q157" i="10"/>
  <c r="O157" i="10"/>
  <c r="M157" i="10"/>
  <c r="K157" i="10"/>
  <c r="X156" i="10"/>
  <c r="W156" i="10"/>
  <c r="V156" i="10"/>
  <c r="U156" i="10"/>
  <c r="T156" i="10"/>
  <c r="S156" i="10"/>
  <c r="Q156" i="10"/>
  <c r="O156" i="10"/>
  <c r="M156" i="10"/>
  <c r="K156" i="10"/>
  <c r="X155" i="10"/>
  <c r="W155" i="10"/>
  <c r="V155" i="10"/>
  <c r="U155" i="10"/>
  <c r="T155" i="10"/>
  <c r="S155" i="10"/>
  <c r="Q155" i="10"/>
  <c r="O155" i="10"/>
  <c r="M155" i="10"/>
  <c r="K155" i="10"/>
  <c r="X154" i="10"/>
  <c r="W154" i="10"/>
  <c r="V154" i="10"/>
  <c r="U154" i="10"/>
  <c r="T154" i="10"/>
  <c r="S154" i="10"/>
  <c r="Q154" i="10"/>
  <c r="O154" i="10"/>
  <c r="M154" i="10"/>
  <c r="K154" i="10"/>
  <c r="X153" i="10"/>
  <c r="W153" i="10"/>
  <c r="V153" i="10"/>
  <c r="U153" i="10"/>
  <c r="T153" i="10"/>
  <c r="S153" i="10"/>
  <c r="Q153" i="10"/>
  <c r="O153" i="10"/>
  <c r="M153" i="10"/>
  <c r="K153" i="10"/>
  <c r="X152" i="10"/>
  <c r="W152" i="10"/>
  <c r="V152" i="10"/>
  <c r="U152" i="10"/>
  <c r="T152" i="10"/>
  <c r="S152" i="10"/>
  <c r="Q152" i="10"/>
  <c r="O152" i="10"/>
  <c r="M152" i="10"/>
  <c r="K152" i="10"/>
  <c r="X151" i="10"/>
  <c r="W151" i="10"/>
  <c r="V151" i="10"/>
  <c r="U151" i="10"/>
  <c r="T151" i="10"/>
  <c r="S151" i="10"/>
  <c r="Q151" i="10"/>
  <c r="O151" i="10"/>
  <c r="M151" i="10"/>
  <c r="K151" i="10"/>
  <c r="X150" i="10"/>
  <c r="W150" i="10"/>
  <c r="V150" i="10"/>
  <c r="U150" i="10"/>
  <c r="T150" i="10"/>
  <c r="S150" i="10"/>
  <c r="Q150" i="10"/>
  <c r="O150" i="10"/>
  <c r="M150" i="10"/>
  <c r="K150" i="10"/>
  <c r="X149" i="10"/>
  <c r="W149" i="10"/>
  <c r="V149" i="10"/>
  <c r="U149" i="10"/>
  <c r="T149" i="10"/>
  <c r="S149" i="10"/>
  <c r="Q149" i="10"/>
  <c r="O149" i="10"/>
  <c r="M149" i="10"/>
  <c r="K149" i="10"/>
  <c r="X148" i="10"/>
  <c r="W148" i="10"/>
  <c r="V148" i="10"/>
  <c r="U148" i="10"/>
  <c r="T148" i="10"/>
  <c r="S148" i="10"/>
  <c r="Q148" i="10"/>
  <c r="O148" i="10"/>
  <c r="M148" i="10"/>
  <c r="K148" i="10"/>
  <c r="X147" i="10"/>
  <c r="W147" i="10"/>
  <c r="V147" i="10"/>
  <c r="U147" i="10"/>
  <c r="T147" i="10"/>
  <c r="S147" i="10"/>
  <c r="Q147" i="10"/>
  <c r="O147" i="10"/>
  <c r="M147" i="10"/>
  <c r="K147" i="10"/>
  <c r="X146" i="10"/>
  <c r="W146" i="10"/>
  <c r="V146" i="10"/>
  <c r="U146" i="10"/>
  <c r="T146" i="10"/>
  <c r="S146" i="10"/>
  <c r="Q146" i="10"/>
  <c r="O146" i="10"/>
  <c r="M146" i="10"/>
  <c r="K146" i="10"/>
  <c r="X145" i="10"/>
  <c r="W145" i="10"/>
  <c r="V145" i="10"/>
  <c r="U145" i="10"/>
  <c r="T145" i="10"/>
  <c r="S145" i="10"/>
  <c r="Q145" i="10"/>
  <c r="O145" i="10"/>
  <c r="M145" i="10"/>
  <c r="K145" i="10"/>
  <c r="X144" i="10"/>
  <c r="W144" i="10"/>
  <c r="V144" i="10"/>
  <c r="U144" i="10"/>
  <c r="T144" i="10"/>
  <c r="S144" i="10"/>
  <c r="Q144" i="10"/>
  <c r="O144" i="10"/>
  <c r="M144" i="10"/>
  <c r="K144" i="10"/>
  <c r="X143" i="10"/>
  <c r="W143" i="10"/>
  <c r="V143" i="10"/>
  <c r="U143" i="10"/>
  <c r="T143" i="10"/>
  <c r="S143" i="10"/>
  <c r="Q143" i="10"/>
  <c r="O143" i="10"/>
  <c r="M143" i="10"/>
  <c r="K143" i="10"/>
  <c r="X142" i="10"/>
  <c r="W142" i="10"/>
  <c r="V142" i="10"/>
  <c r="U142" i="10"/>
  <c r="T142" i="10"/>
  <c r="S142" i="10"/>
  <c r="Q142" i="10"/>
  <c r="O142" i="10"/>
  <c r="M142" i="10"/>
  <c r="K142" i="10"/>
  <c r="X141" i="10"/>
  <c r="W141" i="10"/>
  <c r="V141" i="10"/>
  <c r="U141" i="10"/>
  <c r="T141" i="10"/>
  <c r="S141" i="10"/>
  <c r="Q141" i="10"/>
  <c r="O141" i="10"/>
  <c r="M141" i="10"/>
  <c r="K141" i="10"/>
  <c r="X140" i="10"/>
  <c r="W140" i="10"/>
  <c r="V140" i="10"/>
  <c r="U140" i="10"/>
  <c r="T140" i="10"/>
  <c r="S140" i="10"/>
  <c r="Q140" i="10"/>
  <c r="O140" i="10"/>
  <c r="M140" i="10"/>
  <c r="K140" i="10"/>
  <c r="X139" i="10"/>
  <c r="W139" i="10"/>
  <c r="V139" i="10"/>
  <c r="U139" i="10"/>
  <c r="T139" i="10"/>
  <c r="S139" i="10"/>
  <c r="Q139" i="10"/>
  <c r="O139" i="10"/>
  <c r="M139" i="10"/>
  <c r="K139" i="10"/>
  <c r="X138" i="10"/>
  <c r="W138" i="10"/>
  <c r="V138" i="10"/>
  <c r="U138" i="10"/>
  <c r="T138" i="10"/>
  <c r="S138" i="10"/>
  <c r="Q138" i="10"/>
  <c r="O138" i="10"/>
  <c r="M138" i="10"/>
  <c r="K138" i="10"/>
  <c r="X137" i="10"/>
  <c r="W137" i="10"/>
  <c r="V137" i="10"/>
  <c r="U137" i="10"/>
  <c r="T137" i="10"/>
  <c r="S137" i="10"/>
  <c r="Q137" i="10"/>
  <c r="O137" i="10"/>
  <c r="M137" i="10"/>
  <c r="K137" i="10"/>
  <c r="X136" i="10"/>
  <c r="W136" i="10"/>
  <c r="V136" i="10"/>
  <c r="U136" i="10"/>
  <c r="T136" i="10"/>
  <c r="S136" i="10"/>
  <c r="Q136" i="10"/>
  <c r="O136" i="10"/>
  <c r="M136" i="10"/>
  <c r="K136" i="10"/>
  <c r="X135" i="10"/>
  <c r="W135" i="10"/>
  <c r="V135" i="10"/>
  <c r="U135" i="10"/>
  <c r="T135" i="10"/>
  <c r="S135" i="10"/>
  <c r="Q135" i="10"/>
  <c r="O135" i="10"/>
  <c r="M135" i="10"/>
  <c r="K135" i="10"/>
  <c r="X134" i="10"/>
  <c r="W134" i="10"/>
  <c r="V134" i="10"/>
  <c r="U134" i="10"/>
  <c r="T134" i="10"/>
  <c r="S134" i="10"/>
  <c r="Q134" i="10"/>
  <c r="O134" i="10"/>
  <c r="M134" i="10"/>
  <c r="K134" i="10"/>
  <c r="X133" i="10"/>
  <c r="W133" i="10"/>
  <c r="V133" i="10"/>
  <c r="U133" i="10"/>
  <c r="T133" i="10"/>
  <c r="S133" i="10"/>
  <c r="Q133" i="10"/>
  <c r="O133" i="10"/>
  <c r="M133" i="10"/>
  <c r="K133" i="10"/>
  <c r="X132" i="10"/>
  <c r="W132" i="10"/>
  <c r="V132" i="10"/>
  <c r="U132" i="10"/>
  <c r="T132" i="10"/>
  <c r="S132" i="10"/>
  <c r="Q132" i="10"/>
  <c r="O132" i="10"/>
  <c r="M132" i="10"/>
  <c r="K132" i="10"/>
  <c r="X131" i="10"/>
  <c r="W131" i="10"/>
  <c r="V131" i="10"/>
  <c r="U131" i="10"/>
  <c r="T131" i="10"/>
  <c r="S131" i="10"/>
  <c r="Q131" i="10"/>
  <c r="O131" i="10"/>
  <c r="M131" i="10"/>
  <c r="K131" i="10"/>
  <c r="X130" i="10"/>
  <c r="W130" i="10"/>
  <c r="V130" i="10"/>
  <c r="U130" i="10"/>
  <c r="T130" i="10"/>
  <c r="S130" i="10"/>
  <c r="Q130" i="10"/>
  <c r="O130" i="10"/>
  <c r="M130" i="10"/>
  <c r="K130" i="10"/>
  <c r="X129" i="10"/>
  <c r="W129" i="10"/>
  <c r="V129" i="10"/>
  <c r="U129" i="10"/>
  <c r="T129" i="10"/>
  <c r="S129" i="10"/>
  <c r="Q129" i="10"/>
  <c r="O129" i="10"/>
  <c r="M129" i="10"/>
  <c r="K129" i="10"/>
  <c r="X128" i="10"/>
  <c r="W128" i="10"/>
  <c r="V128" i="10"/>
  <c r="U128" i="10"/>
  <c r="T128" i="10"/>
  <c r="S128" i="10"/>
  <c r="Q128" i="10"/>
  <c r="O128" i="10"/>
  <c r="M128" i="10"/>
  <c r="K128" i="10"/>
  <c r="X127" i="10"/>
  <c r="W127" i="10"/>
  <c r="V127" i="10"/>
  <c r="U127" i="10"/>
  <c r="T127" i="10"/>
  <c r="S127" i="10"/>
  <c r="Q127" i="10"/>
  <c r="O127" i="10"/>
  <c r="M127" i="10"/>
  <c r="K127" i="10"/>
  <c r="X126" i="10"/>
  <c r="W126" i="10"/>
  <c r="V126" i="10"/>
  <c r="U126" i="10"/>
  <c r="T126" i="10"/>
  <c r="S126" i="10"/>
  <c r="Q126" i="10"/>
  <c r="O126" i="10"/>
  <c r="M126" i="10"/>
  <c r="K126" i="10"/>
  <c r="X125" i="10"/>
  <c r="W125" i="10"/>
  <c r="V125" i="10"/>
  <c r="U125" i="10"/>
  <c r="T125" i="10"/>
  <c r="S125" i="10"/>
  <c r="Q125" i="10"/>
  <c r="O125" i="10"/>
  <c r="M125" i="10"/>
  <c r="K125" i="10"/>
  <c r="X124" i="10"/>
  <c r="W124" i="10"/>
  <c r="V124" i="10"/>
  <c r="U124" i="10"/>
  <c r="T124" i="10"/>
  <c r="S124" i="10"/>
  <c r="Q124" i="10"/>
  <c r="O124" i="10"/>
  <c r="M124" i="10"/>
  <c r="K124" i="10"/>
  <c r="X123" i="10"/>
  <c r="W123" i="10"/>
  <c r="V123" i="10"/>
  <c r="U123" i="10"/>
  <c r="T123" i="10"/>
  <c r="S123" i="10"/>
  <c r="Q123" i="10"/>
  <c r="O123" i="10"/>
  <c r="M123" i="10"/>
  <c r="K123" i="10"/>
  <c r="X122" i="10"/>
  <c r="W122" i="10"/>
  <c r="V122" i="10"/>
  <c r="U122" i="10"/>
  <c r="T122" i="10"/>
  <c r="S122" i="10"/>
  <c r="Q122" i="10"/>
  <c r="O122" i="10"/>
  <c r="M122" i="10"/>
  <c r="K122" i="10"/>
  <c r="X121" i="10"/>
  <c r="W121" i="10"/>
  <c r="V121" i="10"/>
  <c r="U121" i="10"/>
  <c r="T121" i="10"/>
  <c r="S121" i="10"/>
  <c r="Q121" i="10"/>
  <c r="O121" i="10"/>
  <c r="M121" i="10"/>
  <c r="K121" i="10"/>
  <c r="X120" i="10"/>
  <c r="W120" i="10"/>
  <c r="V120" i="10"/>
  <c r="U120" i="10"/>
  <c r="T120" i="10"/>
  <c r="S120" i="10"/>
  <c r="Q120" i="10"/>
  <c r="O120" i="10"/>
  <c r="M120" i="10"/>
  <c r="K120" i="10"/>
  <c r="X119" i="10"/>
  <c r="W119" i="10"/>
  <c r="V119" i="10"/>
  <c r="U119" i="10"/>
  <c r="T119" i="10"/>
  <c r="S119" i="10"/>
  <c r="Q119" i="10"/>
  <c r="O119" i="10"/>
  <c r="M119" i="10"/>
  <c r="K119" i="10"/>
  <c r="X118" i="10"/>
  <c r="W118" i="10"/>
  <c r="V118" i="10"/>
  <c r="U118" i="10"/>
  <c r="T118" i="10"/>
  <c r="S118" i="10"/>
  <c r="Q118" i="10"/>
  <c r="O118" i="10"/>
  <c r="M118" i="10"/>
  <c r="K118" i="10"/>
  <c r="X117" i="10"/>
  <c r="W117" i="10"/>
  <c r="V117" i="10"/>
  <c r="U117" i="10"/>
  <c r="T117" i="10"/>
  <c r="S117" i="10"/>
  <c r="Q117" i="10"/>
  <c r="O117" i="10"/>
  <c r="M117" i="10"/>
  <c r="K117" i="10"/>
  <c r="X116" i="10"/>
  <c r="W116" i="10"/>
  <c r="V116" i="10"/>
  <c r="U116" i="10"/>
  <c r="T116" i="10"/>
  <c r="S116" i="10"/>
  <c r="Q116" i="10"/>
  <c r="O116" i="10"/>
  <c r="M116" i="10"/>
  <c r="K116" i="10"/>
  <c r="X115" i="10"/>
  <c r="W115" i="10"/>
  <c r="V115" i="10"/>
  <c r="U115" i="10"/>
  <c r="T115" i="10"/>
  <c r="S115" i="10"/>
  <c r="Q115" i="10"/>
  <c r="O115" i="10"/>
  <c r="M115" i="10"/>
  <c r="K115" i="10"/>
  <c r="X114" i="10"/>
  <c r="W114" i="10"/>
  <c r="V114" i="10"/>
  <c r="U114" i="10"/>
  <c r="T114" i="10"/>
  <c r="S114" i="10"/>
  <c r="Q114" i="10"/>
  <c r="O114" i="10"/>
  <c r="M114" i="10"/>
  <c r="K114" i="10"/>
  <c r="X113" i="10"/>
  <c r="W113" i="10"/>
  <c r="V113" i="10"/>
  <c r="U113" i="10"/>
  <c r="T113" i="10"/>
  <c r="S113" i="10"/>
  <c r="Q113" i="10"/>
  <c r="O113" i="10"/>
  <c r="M113" i="10"/>
  <c r="K113" i="10"/>
  <c r="X112" i="10"/>
  <c r="W112" i="10"/>
  <c r="V112" i="10"/>
  <c r="U112" i="10"/>
  <c r="T112" i="10"/>
  <c r="S112" i="10"/>
  <c r="Q112" i="10"/>
  <c r="O112" i="10"/>
  <c r="M112" i="10"/>
  <c r="K112" i="10"/>
  <c r="X111" i="10"/>
  <c r="W111" i="10"/>
  <c r="V111" i="10"/>
  <c r="U111" i="10"/>
  <c r="T111" i="10"/>
  <c r="S111" i="10"/>
  <c r="Q111" i="10"/>
  <c r="O111" i="10"/>
  <c r="M111" i="10"/>
  <c r="K111" i="10"/>
  <c r="X110" i="10"/>
  <c r="W110" i="10"/>
  <c r="V110" i="10"/>
  <c r="U110" i="10"/>
  <c r="T110" i="10"/>
  <c r="S110" i="10"/>
  <c r="Q110" i="10"/>
  <c r="O110" i="10"/>
  <c r="M110" i="10"/>
  <c r="K110" i="10"/>
  <c r="X109" i="10"/>
  <c r="W109" i="10"/>
  <c r="V109" i="10"/>
  <c r="U109" i="10"/>
  <c r="T109" i="10"/>
  <c r="S109" i="10"/>
  <c r="Q109" i="10"/>
  <c r="O109" i="10"/>
  <c r="M109" i="10"/>
  <c r="K109" i="10"/>
  <c r="X108" i="10"/>
  <c r="W108" i="10"/>
  <c r="V108" i="10"/>
  <c r="U108" i="10"/>
  <c r="T108" i="10"/>
  <c r="S108" i="10"/>
  <c r="Q108" i="10"/>
  <c r="O108" i="10"/>
  <c r="M108" i="10"/>
  <c r="K108" i="10"/>
  <c r="X107" i="10"/>
  <c r="W107" i="10"/>
  <c r="V107" i="10"/>
  <c r="U107" i="10"/>
  <c r="T107" i="10"/>
  <c r="S107" i="10"/>
  <c r="Q107" i="10"/>
  <c r="O107" i="10"/>
  <c r="M107" i="10"/>
  <c r="K107" i="10"/>
  <c r="X106" i="10"/>
  <c r="W106" i="10"/>
  <c r="V106" i="10"/>
  <c r="U106" i="10"/>
  <c r="T106" i="10"/>
  <c r="S106" i="10"/>
  <c r="Q106" i="10"/>
  <c r="O106" i="10"/>
  <c r="M106" i="10"/>
  <c r="K106" i="10"/>
  <c r="X105" i="10"/>
  <c r="W105" i="10"/>
  <c r="V105" i="10"/>
  <c r="U105" i="10"/>
  <c r="T105" i="10"/>
  <c r="S105" i="10"/>
  <c r="Q105" i="10"/>
  <c r="O105" i="10"/>
  <c r="M105" i="10"/>
  <c r="K105" i="10"/>
  <c r="X104" i="10"/>
  <c r="W104" i="10"/>
  <c r="V104" i="10"/>
  <c r="U104" i="10"/>
  <c r="T104" i="10"/>
  <c r="S104" i="10"/>
  <c r="Q104" i="10"/>
  <c r="O104" i="10"/>
  <c r="M104" i="10"/>
  <c r="K104" i="10"/>
  <c r="X103" i="10"/>
  <c r="W103" i="10"/>
  <c r="V103" i="10"/>
  <c r="U103" i="10"/>
  <c r="T103" i="10"/>
  <c r="S103" i="10"/>
  <c r="Q103" i="10"/>
  <c r="O103" i="10"/>
  <c r="M103" i="10"/>
  <c r="K103" i="10"/>
  <c r="X102" i="10"/>
  <c r="W102" i="10"/>
  <c r="V102" i="10"/>
  <c r="U102" i="10"/>
  <c r="T102" i="10"/>
  <c r="S102" i="10"/>
  <c r="Q102" i="10"/>
  <c r="O102" i="10"/>
  <c r="M102" i="10"/>
  <c r="K102" i="10"/>
  <c r="X101" i="10"/>
  <c r="W101" i="10"/>
  <c r="V101" i="10"/>
  <c r="U101" i="10"/>
  <c r="T101" i="10"/>
  <c r="S101" i="10"/>
  <c r="Q101" i="10"/>
  <c r="O101" i="10"/>
  <c r="M101" i="10"/>
  <c r="K101" i="10"/>
  <c r="X100" i="10"/>
  <c r="W100" i="10"/>
  <c r="V100" i="10"/>
  <c r="U100" i="10"/>
  <c r="T100" i="10"/>
  <c r="S100" i="10"/>
  <c r="Q100" i="10"/>
  <c r="O100" i="10"/>
  <c r="M100" i="10"/>
  <c r="K100" i="10"/>
  <c r="X99" i="10"/>
  <c r="W99" i="10"/>
  <c r="V99" i="10"/>
  <c r="U99" i="10"/>
  <c r="T99" i="10"/>
  <c r="S99" i="10"/>
  <c r="Q99" i="10"/>
  <c r="O99" i="10"/>
  <c r="M99" i="10"/>
  <c r="K99" i="10"/>
  <c r="X98" i="10"/>
  <c r="W98" i="10"/>
  <c r="V98" i="10"/>
  <c r="U98" i="10"/>
  <c r="T98" i="10"/>
  <c r="S98" i="10"/>
  <c r="Q98" i="10"/>
  <c r="O98" i="10"/>
  <c r="M98" i="10"/>
  <c r="K98" i="10"/>
  <c r="X97" i="10"/>
  <c r="W97" i="10"/>
  <c r="V97" i="10"/>
  <c r="U97" i="10"/>
  <c r="T97" i="10"/>
  <c r="S97" i="10"/>
  <c r="Q97" i="10"/>
  <c r="O97" i="10"/>
  <c r="M97" i="10"/>
  <c r="K97" i="10"/>
  <c r="X96" i="10"/>
  <c r="W96" i="10"/>
  <c r="V96" i="10"/>
  <c r="U96" i="10"/>
  <c r="T96" i="10"/>
  <c r="S96" i="10"/>
  <c r="Q96" i="10"/>
  <c r="O96" i="10"/>
  <c r="M96" i="10"/>
  <c r="K96" i="10"/>
  <c r="X95" i="10"/>
  <c r="W95" i="10"/>
  <c r="V95" i="10"/>
  <c r="U95" i="10"/>
  <c r="T95" i="10"/>
  <c r="S95" i="10"/>
  <c r="Q95" i="10"/>
  <c r="O95" i="10"/>
  <c r="M95" i="10"/>
  <c r="K95" i="10"/>
  <c r="X94" i="10"/>
  <c r="W94" i="10"/>
  <c r="V94" i="10"/>
  <c r="U94" i="10"/>
  <c r="T94" i="10"/>
  <c r="S94" i="10"/>
  <c r="Q94" i="10"/>
  <c r="O94" i="10"/>
  <c r="M94" i="10"/>
  <c r="K94" i="10"/>
  <c r="X93" i="10"/>
  <c r="W93" i="10"/>
  <c r="V93" i="10"/>
  <c r="U93" i="10"/>
  <c r="T93" i="10"/>
  <c r="S93" i="10"/>
  <c r="Q93" i="10"/>
  <c r="O93" i="10"/>
  <c r="M93" i="10"/>
  <c r="K93" i="10"/>
  <c r="X92" i="10"/>
  <c r="W92" i="10"/>
  <c r="V92" i="10"/>
  <c r="U92" i="10"/>
  <c r="T92" i="10"/>
  <c r="S92" i="10"/>
  <c r="Q92" i="10"/>
  <c r="O92" i="10"/>
  <c r="M92" i="10"/>
  <c r="K92" i="10"/>
  <c r="X91" i="10"/>
  <c r="W91" i="10"/>
  <c r="V91" i="10"/>
  <c r="U91" i="10"/>
  <c r="T91" i="10"/>
  <c r="S91" i="10"/>
  <c r="Q91" i="10"/>
  <c r="O91" i="10"/>
  <c r="M91" i="10"/>
  <c r="K91" i="10"/>
  <c r="X90" i="10"/>
  <c r="W90" i="10"/>
  <c r="V90" i="10"/>
  <c r="U90" i="10"/>
  <c r="T90" i="10"/>
  <c r="S90" i="10"/>
  <c r="Q90" i="10"/>
  <c r="O90" i="10"/>
  <c r="M90" i="10"/>
  <c r="K90" i="10"/>
  <c r="X89" i="10"/>
  <c r="W89" i="10"/>
  <c r="V89" i="10"/>
  <c r="U89" i="10"/>
  <c r="T89" i="10"/>
  <c r="S89" i="10"/>
  <c r="Q89" i="10"/>
  <c r="O89" i="10"/>
  <c r="M89" i="10"/>
  <c r="K89" i="10"/>
  <c r="X88" i="10"/>
  <c r="W88" i="10"/>
  <c r="V88" i="10"/>
  <c r="U88" i="10"/>
  <c r="T88" i="10"/>
  <c r="S88" i="10"/>
  <c r="Q88" i="10"/>
  <c r="O88" i="10"/>
  <c r="M88" i="10"/>
  <c r="K88" i="10"/>
  <c r="X87" i="10"/>
  <c r="W87" i="10"/>
  <c r="V87" i="10"/>
  <c r="U87" i="10"/>
  <c r="T87" i="10"/>
  <c r="S87" i="10"/>
  <c r="Q87" i="10"/>
  <c r="O87" i="10"/>
  <c r="M87" i="10"/>
  <c r="K87" i="10"/>
  <c r="X86" i="10"/>
  <c r="W86" i="10"/>
  <c r="V86" i="10"/>
  <c r="U86" i="10"/>
  <c r="T86" i="10"/>
  <c r="S86" i="10"/>
  <c r="Q86" i="10"/>
  <c r="O86" i="10"/>
  <c r="M86" i="10"/>
  <c r="K86" i="10"/>
  <c r="X85" i="10"/>
  <c r="W85" i="10"/>
  <c r="V85" i="10"/>
  <c r="U85" i="10"/>
  <c r="T85" i="10"/>
  <c r="S85" i="10"/>
  <c r="Q85" i="10"/>
  <c r="O85" i="10"/>
  <c r="M85" i="10"/>
  <c r="K85" i="10"/>
  <c r="X84" i="10"/>
  <c r="W84" i="10"/>
  <c r="V84" i="10"/>
  <c r="U84" i="10"/>
  <c r="T84" i="10"/>
  <c r="S84" i="10"/>
  <c r="Q84" i="10"/>
  <c r="O84" i="10"/>
  <c r="M84" i="10"/>
  <c r="K84" i="10"/>
  <c r="X83" i="10"/>
  <c r="W83" i="10"/>
  <c r="V83" i="10"/>
  <c r="U83" i="10"/>
  <c r="T83" i="10"/>
  <c r="S83" i="10"/>
  <c r="Q83" i="10"/>
  <c r="O83" i="10"/>
  <c r="M83" i="10"/>
  <c r="K83" i="10"/>
  <c r="X82" i="10"/>
  <c r="W82" i="10"/>
  <c r="V82" i="10"/>
  <c r="U82" i="10"/>
  <c r="T82" i="10"/>
  <c r="S82" i="10"/>
  <c r="Q82" i="10"/>
  <c r="O82" i="10"/>
  <c r="M82" i="10"/>
  <c r="K82" i="10"/>
  <c r="X81" i="10"/>
  <c r="W81" i="10"/>
  <c r="V81" i="10"/>
  <c r="U81" i="10"/>
  <c r="T81" i="10"/>
  <c r="S81" i="10"/>
  <c r="Q81" i="10"/>
  <c r="O81" i="10"/>
  <c r="M81" i="10"/>
  <c r="K81" i="10"/>
  <c r="X80" i="10"/>
  <c r="W80" i="10"/>
  <c r="V80" i="10"/>
  <c r="U80" i="10"/>
  <c r="T80" i="10"/>
  <c r="S80" i="10"/>
  <c r="Q80" i="10"/>
  <c r="O80" i="10"/>
  <c r="M80" i="10"/>
  <c r="K80" i="10"/>
  <c r="X79" i="10"/>
  <c r="W79" i="10"/>
  <c r="V79" i="10"/>
  <c r="U79" i="10"/>
  <c r="T79" i="10"/>
  <c r="S79" i="10"/>
  <c r="Q79" i="10"/>
  <c r="O79" i="10"/>
  <c r="M79" i="10"/>
  <c r="K79" i="10"/>
  <c r="X78" i="10"/>
  <c r="W78" i="10"/>
  <c r="V78" i="10"/>
  <c r="U78" i="10"/>
  <c r="T78" i="10"/>
  <c r="S78" i="10"/>
  <c r="Q78" i="10"/>
  <c r="O78" i="10"/>
  <c r="M78" i="10"/>
  <c r="K78" i="10"/>
  <c r="X77" i="10"/>
  <c r="W77" i="10"/>
  <c r="V77" i="10"/>
  <c r="U77" i="10"/>
  <c r="T77" i="10"/>
  <c r="S77" i="10"/>
  <c r="Q77" i="10"/>
  <c r="O77" i="10"/>
  <c r="M77" i="10"/>
  <c r="K77" i="10"/>
  <c r="X76" i="10"/>
  <c r="W76" i="10"/>
  <c r="V76" i="10"/>
  <c r="U76" i="10"/>
  <c r="T76" i="10"/>
  <c r="S76" i="10"/>
  <c r="Q76" i="10"/>
  <c r="O76" i="10"/>
  <c r="M76" i="10"/>
  <c r="K76" i="10"/>
  <c r="X75" i="10"/>
  <c r="W75" i="10"/>
  <c r="V75" i="10"/>
  <c r="U75" i="10"/>
  <c r="T75" i="10"/>
  <c r="S75" i="10"/>
  <c r="Q75" i="10"/>
  <c r="O75" i="10"/>
  <c r="M75" i="10"/>
  <c r="K75" i="10"/>
  <c r="X74" i="10"/>
  <c r="W74" i="10"/>
  <c r="V74" i="10"/>
  <c r="U74" i="10"/>
  <c r="T74" i="10"/>
  <c r="S74" i="10"/>
  <c r="Q74" i="10"/>
  <c r="O74" i="10"/>
  <c r="M74" i="10"/>
  <c r="K74" i="10"/>
  <c r="X73" i="10"/>
  <c r="W73" i="10"/>
  <c r="V73" i="10"/>
  <c r="U73" i="10"/>
  <c r="T73" i="10"/>
  <c r="S73" i="10"/>
  <c r="Q73" i="10"/>
  <c r="O73" i="10"/>
  <c r="M73" i="10"/>
  <c r="K73" i="10"/>
  <c r="X72" i="10"/>
  <c r="W72" i="10"/>
  <c r="V72" i="10"/>
  <c r="U72" i="10"/>
  <c r="T72" i="10"/>
  <c r="S72" i="10"/>
  <c r="Q72" i="10"/>
  <c r="O72" i="10"/>
  <c r="M72" i="10"/>
  <c r="K72" i="10"/>
  <c r="X71" i="10"/>
  <c r="W71" i="10"/>
  <c r="V71" i="10"/>
  <c r="U71" i="10"/>
  <c r="T71" i="10"/>
  <c r="S71" i="10"/>
  <c r="Q71" i="10"/>
  <c r="O71" i="10"/>
  <c r="M71" i="10"/>
  <c r="K71" i="10"/>
  <c r="X70" i="10"/>
  <c r="W70" i="10"/>
  <c r="V70" i="10"/>
  <c r="U70" i="10"/>
  <c r="T70" i="10"/>
  <c r="S70" i="10"/>
  <c r="Q70" i="10"/>
  <c r="O70" i="10"/>
  <c r="M70" i="10"/>
  <c r="K70" i="10"/>
  <c r="X69" i="10"/>
  <c r="W69" i="10"/>
  <c r="V69" i="10"/>
  <c r="U69" i="10"/>
  <c r="T69" i="10"/>
  <c r="S69" i="10"/>
  <c r="Q69" i="10"/>
  <c r="O69" i="10"/>
  <c r="M69" i="10"/>
  <c r="K69" i="10"/>
  <c r="X68" i="10"/>
  <c r="W68" i="10"/>
  <c r="V68" i="10"/>
  <c r="U68" i="10"/>
  <c r="T68" i="10"/>
  <c r="S68" i="10"/>
  <c r="Q68" i="10"/>
  <c r="O68" i="10"/>
  <c r="M68" i="10"/>
  <c r="K68" i="10"/>
  <c r="X67" i="10"/>
  <c r="W67" i="10"/>
  <c r="V67" i="10"/>
  <c r="U67" i="10"/>
  <c r="T67" i="10"/>
  <c r="S67" i="10"/>
  <c r="Q67" i="10"/>
  <c r="O67" i="10"/>
  <c r="M67" i="10"/>
  <c r="K67" i="10"/>
  <c r="X66" i="10"/>
  <c r="W66" i="10"/>
  <c r="V66" i="10"/>
  <c r="U66" i="10"/>
  <c r="T66" i="10"/>
  <c r="S66" i="10"/>
  <c r="Q66" i="10"/>
  <c r="O66" i="10"/>
  <c r="M66" i="10"/>
  <c r="K66" i="10"/>
  <c r="X65" i="10"/>
  <c r="W65" i="10"/>
  <c r="V65" i="10"/>
  <c r="U65" i="10"/>
  <c r="T65" i="10"/>
  <c r="S65" i="10"/>
  <c r="Q65" i="10"/>
  <c r="O65" i="10"/>
  <c r="M65" i="10"/>
  <c r="K65" i="10"/>
  <c r="X64" i="10"/>
  <c r="W64" i="10"/>
  <c r="V64" i="10"/>
  <c r="U64" i="10"/>
  <c r="T64" i="10"/>
  <c r="S64" i="10"/>
  <c r="Q64" i="10"/>
  <c r="O64" i="10"/>
  <c r="M64" i="10"/>
  <c r="K64" i="10"/>
  <c r="X63" i="10"/>
  <c r="W63" i="10"/>
  <c r="V63" i="10"/>
  <c r="U63" i="10"/>
  <c r="T63" i="10"/>
  <c r="S63" i="10"/>
  <c r="Q63" i="10"/>
  <c r="O63" i="10"/>
  <c r="M63" i="10"/>
  <c r="K63" i="10"/>
  <c r="X62" i="10"/>
  <c r="W62" i="10"/>
  <c r="V62" i="10"/>
  <c r="U62" i="10"/>
  <c r="T62" i="10"/>
  <c r="S62" i="10"/>
  <c r="Q62" i="10"/>
  <c r="O62" i="10"/>
  <c r="M62" i="10"/>
  <c r="K62" i="10"/>
  <c r="X61" i="10"/>
  <c r="W61" i="10"/>
  <c r="V61" i="10"/>
  <c r="U61" i="10"/>
  <c r="T61" i="10"/>
  <c r="S61" i="10"/>
  <c r="Q61" i="10"/>
  <c r="O61" i="10"/>
  <c r="M61" i="10"/>
  <c r="K61" i="10"/>
  <c r="X60" i="10"/>
  <c r="W60" i="10"/>
  <c r="V60" i="10"/>
  <c r="U60" i="10"/>
  <c r="T60" i="10"/>
  <c r="S60" i="10"/>
  <c r="Q60" i="10"/>
  <c r="O60" i="10"/>
  <c r="M60" i="10"/>
  <c r="K60" i="10"/>
  <c r="X59" i="10"/>
  <c r="W59" i="10"/>
  <c r="V59" i="10"/>
  <c r="U59" i="10"/>
  <c r="T59" i="10"/>
  <c r="S59" i="10"/>
  <c r="Q59" i="10"/>
  <c r="O59" i="10"/>
  <c r="M59" i="10"/>
  <c r="K59" i="10"/>
  <c r="X58" i="10"/>
  <c r="W58" i="10"/>
  <c r="V58" i="10"/>
  <c r="U58" i="10"/>
  <c r="T58" i="10"/>
  <c r="S58" i="10"/>
  <c r="Q58" i="10"/>
  <c r="O58" i="10"/>
  <c r="M58" i="10"/>
  <c r="K58" i="10"/>
  <c r="X57" i="10"/>
  <c r="W57" i="10"/>
  <c r="V57" i="10"/>
  <c r="U57" i="10"/>
  <c r="T57" i="10"/>
  <c r="S57" i="10"/>
  <c r="Q57" i="10"/>
  <c r="O57" i="10"/>
  <c r="M57" i="10"/>
  <c r="K57" i="10"/>
  <c r="X56" i="10"/>
  <c r="W56" i="10"/>
  <c r="V56" i="10"/>
  <c r="U56" i="10"/>
  <c r="T56" i="10"/>
  <c r="S56" i="10"/>
  <c r="Q56" i="10"/>
  <c r="O56" i="10"/>
  <c r="M56" i="10"/>
  <c r="K56" i="10"/>
  <c r="X55" i="10"/>
  <c r="W55" i="10"/>
  <c r="V55" i="10"/>
  <c r="U55" i="10"/>
  <c r="T55" i="10"/>
  <c r="S55" i="10"/>
  <c r="Q55" i="10"/>
  <c r="O55" i="10"/>
  <c r="M55" i="10"/>
  <c r="K55" i="10"/>
  <c r="X54" i="10"/>
  <c r="W54" i="10"/>
  <c r="V54" i="10"/>
  <c r="U54" i="10"/>
  <c r="T54" i="10"/>
  <c r="S54" i="10"/>
  <c r="Q54" i="10"/>
  <c r="O54" i="10"/>
  <c r="M54" i="10"/>
  <c r="K54" i="10"/>
  <c r="X53" i="10"/>
  <c r="W53" i="10"/>
  <c r="V53" i="10"/>
  <c r="U53" i="10"/>
  <c r="T53" i="10"/>
  <c r="S53" i="10"/>
  <c r="Q53" i="10"/>
  <c r="O53" i="10"/>
  <c r="M53" i="10"/>
  <c r="K53" i="10"/>
  <c r="X52" i="10"/>
  <c r="W52" i="10"/>
  <c r="V52" i="10"/>
  <c r="U52" i="10"/>
  <c r="T52" i="10"/>
  <c r="S52" i="10"/>
  <c r="Q52" i="10"/>
  <c r="O52" i="10"/>
  <c r="M52" i="10"/>
  <c r="K52" i="10"/>
  <c r="X51" i="10"/>
  <c r="W51" i="10"/>
  <c r="V51" i="10"/>
  <c r="U51" i="10"/>
  <c r="T51" i="10"/>
  <c r="S51" i="10"/>
  <c r="Q51" i="10"/>
  <c r="O51" i="10"/>
  <c r="M51" i="10"/>
  <c r="K51" i="10"/>
  <c r="X50" i="10"/>
  <c r="W50" i="10"/>
  <c r="V50" i="10"/>
  <c r="U50" i="10"/>
  <c r="T50" i="10"/>
  <c r="S50" i="10"/>
  <c r="Q50" i="10"/>
  <c r="O50" i="10"/>
  <c r="M50" i="10"/>
  <c r="K50" i="10"/>
  <c r="X49" i="10"/>
  <c r="W49" i="10"/>
  <c r="V49" i="10"/>
  <c r="U49" i="10"/>
  <c r="T49" i="10"/>
  <c r="S49" i="10"/>
  <c r="Q49" i="10"/>
  <c r="O49" i="10"/>
  <c r="M49" i="10"/>
  <c r="K49" i="10"/>
  <c r="X48" i="10"/>
  <c r="W48" i="10"/>
  <c r="V48" i="10"/>
  <c r="U48" i="10"/>
  <c r="T48" i="10"/>
  <c r="S48" i="10"/>
  <c r="Q48" i="10"/>
  <c r="O48" i="10"/>
  <c r="M48" i="10"/>
  <c r="K48" i="10"/>
  <c r="X47" i="10"/>
  <c r="W47" i="10"/>
  <c r="V47" i="10"/>
  <c r="U47" i="10"/>
  <c r="T47" i="10"/>
  <c r="S47" i="10"/>
  <c r="Q47" i="10"/>
  <c r="O47" i="10"/>
  <c r="M47" i="10"/>
  <c r="K47" i="10"/>
  <c r="X46" i="10"/>
  <c r="W46" i="10"/>
  <c r="V46" i="10"/>
  <c r="U46" i="10"/>
  <c r="T46" i="10"/>
  <c r="S46" i="10"/>
  <c r="Q46" i="10"/>
  <c r="O46" i="10"/>
  <c r="M46" i="10"/>
  <c r="K46" i="10"/>
  <c r="X45" i="10"/>
  <c r="W45" i="10"/>
  <c r="V45" i="10"/>
  <c r="U45" i="10"/>
  <c r="T45" i="10"/>
  <c r="S45" i="10"/>
  <c r="Q45" i="10"/>
  <c r="O45" i="10"/>
  <c r="M45" i="10"/>
  <c r="K45" i="10"/>
  <c r="X44" i="10"/>
  <c r="W44" i="10"/>
  <c r="V44" i="10"/>
  <c r="U44" i="10"/>
  <c r="T44" i="10"/>
  <c r="S44" i="10"/>
  <c r="Q44" i="10"/>
  <c r="O44" i="10"/>
  <c r="M44" i="10"/>
  <c r="K44" i="10"/>
  <c r="X43" i="10"/>
  <c r="W43" i="10"/>
  <c r="V43" i="10"/>
  <c r="U43" i="10"/>
  <c r="T43" i="10"/>
  <c r="S43" i="10"/>
  <c r="Q43" i="10"/>
  <c r="O43" i="10"/>
  <c r="M43" i="10"/>
  <c r="K43" i="10"/>
  <c r="X42" i="10"/>
  <c r="W42" i="10"/>
  <c r="V42" i="10"/>
  <c r="U42" i="10"/>
  <c r="T42" i="10"/>
  <c r="S42" i="10"/>
  <c r="Q42" i="10"/>
  <c r="O42" i="10"/>
  <c r="M42" i="10"/>
  <c r="K42" i="10"/>
  <c r="X41" i="10"/>
  <c r="W41" i="10"/>
  <c r="V41" i="10"/>
  <c r="U41" i="10"/>
  <c r="T41" i="10"/>
  <c r="S41" i="10"/>
  <c r="Q41" i="10"/>
  <c r="O41" i="10"/>
  <c r="M41" i="10"/>
  <c r="K41" i="10"/>
  <c r="X40" i="10"/>
  <c r="W40" i="10"/>
  <c r="V40" i="10"/>
  <c r="U40" i="10"/>
  <c r="T40" i="10"/>
  <c r="S40" i="10"/>
  <c r="Q40" i="10"/>
  <c r="O40" i="10"/>
  <c r="M40" i="10"/>
  <c r="K40" i="10"/>
  <c r="X39" i="10"/>
  <c r="W39" i="10"/>
  <c r="V39" i="10"/>
  <c r="U39" i="10"/>
  <c r="T39" i="10"/>
  <c r="S39" i="10"/>
  <c r="Q39" i="10"/>
  <c r="O39" i="10"/>
  <c r="M39" i="10"/>
  <c r="K39" i="10"/>
  <c r="X38" i="10"/>
  <c r="W38" i="10"/>
  <c r="V38" i="10"/>
  <c r="U38" i="10"/>
  <c r="T38" i="10"/>
  <c r="S38" i="10"/>
  <c r="Q38" i="10"/>
  <c r="O38" i="10"/>
  <c r="M38" i="10"/>
  <c r="K38" i="10"/>
  <c r="X37" i="10"/>
  <c r="W37" i="10"/>
  <c r="V37" i="10"/>
  <c r="U37" i="10"/>
  <c r="T37" i="10"/>
  <c r="S37" i="10"/>
  <c r="Q37" i="10"/>
  <c r="O37" i="10"/>
  <c r="M37" i="10"/>
  <c r="K37" i="10"/>
  <c r="X36" i="10"/>
  <c r="W36" i="10"/>
  <c r="V36" i="10"/>
  <c r="U36" i="10"/>
  <c r="T36" i="10"/>
  <c r="S36" i="10"/>
  <c r="Q36" i="10"/>
  <c r="O36" i="10"/>
  <c r="M36" i="10"/>
  <c r="K36" i="10"/>
  <c r="X35" i="10"/>
  <c r="W35" i="10"/>
  <c r="V35" i="10"/>
  <c r="U35" i="10"/>
  <c r="T35" i="10"/>
  <c r="S35" i="10"/>
  <c r="Q35" i="10"/>
  <c r="O35" i="10"/>
  <c r="M35" i="10"/>
  <c r="K35" i="10"/>
  <c r="X34" i="10"/>
  <c r="W34" i="10"/>
  <c r="V34" i="10"/>
  <c r="U34" i="10"/>
  <c r="T34" i="10"/>
  <c r="S34" i="10"/>
  <c r="Q34" i="10"/>
  <c r="O34" i="10"/>
  <c r="M34" i="10"/>
  <c r="K34" i="10"/>
  <c r="X33" i="10"/>
  <c r="W33" i="10"/>
  <c r="V33" i="10"/>
  <c r="U33" i="10"/>
  <c r="T33" i="10"/>
  <c r="S33" i="10"/>
  <c r="Q33" i="10"/>
  <c r="O33" i="10"/>
  <c r="M33" i="10"/>
  <c r="K33" i="10"/>
  <c r="X32" i="10"/>
  <c r="W32" i="10"/>
  <c r="V32" i="10"/>
  <c r="U32" i="10"/>
  <c r="T32" i="10"/>
  <c r="S32" i="10"/>
  <c r="Q32" i="10"/>
  <c r="O32" i="10"/>
  <c r="M32" i="10"/>
  <c r="K32" i="10"/>
  <c r="X31" i="10"/>
  <c r="W31" i="10"/>
  <c r="V31" i="10"/>
  <c r="U31" i="10"/>
  <c r="T31" i="10"/>
  <c r="S31" i="10"/>
  <c r="Q31" i="10"/>
  <c r="O31" i="10"/>
  <c r="M31" i="10"/>
  <c r="K31" i="10"/>
  <c r="X30" i="10"/>
  <c r="W30" i="10"/>
  <c r="V30" i="10"/>
  <c r="U30" i="10"/>
  <c r="T30" i="10"/>
  <c r="S30" i="10"/>
  <c r="Q30" i="10"/>
  <c r="O30" i="10"/>
  <c r="M30" i="10"/>
  <c r="K30" i="10"/>
  <c r="X29" i="10"/>
  <c r="W29" i="10"/>
  <c r="V29" i="10"/>
  <c r="U29" i="10"/>
  <c r="T29" i="10"/>
  <c r="S29" i="10"/>
  <c r="Q29" i="10"/>
  <c r="O29" i="10"/>
  <c r="M29" i="10"/>
  <c r="K29" i="10"/>
  <c r="X28" i="10"/>
  <c r="W28" i="10"/>
  <c r="V28" i="10"/>
  <c r="U28" i="10"/>
  <c r="T28" i="10"/>
  <c r="S28" i="10"/>
  <c r="Q28" i="10"/>
  <c r="O28" i="10"/>
  <c r="M28" i="10"/>
  <c r="K28" i="10"/>
  <c r="X27" i="10"/>
  <c r="W27" i="10"/>
  <c r="V27" i="10"/>
  <c r="U27" i="10"/>
  <c r="T27" i="10"/>
  <c r="S27" i="10"/>
  <c r="Q27" i="10"/>
  <c r="O27" i="10"/>
  <c r="M27" i="10"/>
  <c r="K27" i="10"/>
  <c r="X26" i="10"/>
  <c r="W26" i="10"/>
  <c r="V26" i="10"/>
  <c r="U26" i="10"/>
  <c r="T26" i="10"/>
  <c r="S26" i="10"/>
  <c r="Q26" i="10"/>
  <c r="O26" i="10"/>
  <c r="M26" i="10"/>
  <c r="K26" i="10"/>
  <c r="X25" i="10"/>
  <c r="W25" i="10"/>
  <c r="V25" i="10"/>
  <c r="U25" i="10"/>
  <c r="T25" i="10"/>
  <c r="S25" i="10"/>
  <c r="Q25" i="10"/>
  <c r="O25" i="10"/>
  <c r="M25" i="10"/>
  <c r="K25" i="10"/>
  <c r="X24" i="10"/>
  <c r="W24" i="10"/>
  <c r="V24" i="10"/>
  <c r="U24" i="10"/>
  <c r="T24" i="10"/>
  <c r="S24" i="10"/>
  <c r="Q24" i="10"/>
  <c r="O24" i="10"/>
  <c r="M24" i="10"/>
  <c r="K24" i="10"/>
  <c r="X23" i="10"/>
  <c r="W23" i="10"/>
  <c r="V23" i="10"/>
  <c r="U23" i="10"/>
  <c r="T23" i="10"/>
  <c r="S23" i="10"/>
  <c r="Q23" i="10"/>
  <c r="O23" i="10"/>
  <c r="M23" i="10"/>
  <c r="K23" i="10"/>
  <c r="X22" i="10"/>
  <c r="W22" i="10"/>
  <c r="V22" i="10"/>
  <c r="U22" i="10"/>
  <c r="T22" i="10"/>
  <c r="S22" i="10"/>
  <c r="Q22" i="10"/>
  <c r="O22" i="10"/>
  <c r="M22" i="10"/>
  <c r="K22" i="10"/>
  <c r="X21" i="10"/>
  <c r="W21" i="10"/>
  <c r="V21" i="10"/>
  <c r="U21" i="10"/>
  <c r="T21" i="10"/>
  <c r="S21" i="10"/>
  <c r="Q21" i="10"/>
  <c r="O21" i="10"/>
  <c r="M21" i="10"/>
  <c r="K21" i="10"/>
  <c r="X20" i="10"/>
  <c r="W20" i="10"/>
  <c r="V20" i="10"/>
  <c r="U20" i="10"/>
  <c r="T20" i="10"/>
  <c r="S20" i="10"/>
  <c r="Q20" i="10"/>
  <c r="O20" i="10"/>
  <c r="M20" i="10"/>
  <c r="K20" i="10"/>
  <c r="X19" i="10"/>
  <c r="W19" i="10"/>
  <c r="V19" i="10"/>
  <c r="U19" i="10"/>
  <c r="T19" i="10"/>
  <c r="S19" i="10"/>
  <c r="Q19" i="10"/>
  <c r="O19" i="10"/>
  <c r="M19" i="10"/>
  <c r="K19" i="10"/>
  <c r="X18" i="10"/>
  <c r="W18" i="10"/>
  <c r="V18" i="10"/>
  <c r="U18" i="10"/>
  <c r="T18" i="10"/>
  <c r="S18" i="10"/>
  <c r="Q18" i="10"/>
  <c r="O18" i="10"/>
  <c r="M18" i="10"/>
  <c r="K18" i="10"/>
  <c r="X17" i="10"/>
  <c r="W17" i="10"/>
  <c r="V17" i="10"/>
  <c r="U17" i="10"/>
  <c r="T17" i="10"/>
  <c r="S17" i="10"/>
  <c r="Q17" i="10"/>
  <c r="O17" i="10"/>
  <c r="M17" i="10"/>
  <c r="K17" i="10"/>
  <c r="X16" i="10"/>
  <c r="W16" i="10"/>
  <c r="V16" i="10"/>
  <c r="U16" i="10"/>
  <c r="T16" i="10"/>
  <c r="S16" i="10"/>
  <c r="Q16" i="10"/>
  <c r="O16" i="10"/>
  <c r="M16" i="10"/>
  <c r="K16" i="10"/>
  <c r="X15" i="10"/>
  <c r="W15" i="10"/>
  <c r="V15" i="10"/>
  <c r="U15" i="10"/>
  <c r="T15" i="10"/>
  <c r="S15" i="10"/>
  <c r="Q15" i="10"/>
  <c r="O15" i="10"/>
  <c r="M15" i="10"/>
  <c r="K15" i="10"/>
  <c r="X14" i="10"/>
  <c r="W14" i="10"/>
  <c r="V14" i="10"/>
  <c r="U14" i="10"/>
  <c r="T14" i="10"/>
  <c r="S14" i="10"/>
  <c r="Q14" i="10"/>
  <c r="O14" i="10"/>
  <c r="M14" i="10"/>
  <c r="K14" i="10"/>
  <c r="X13" i="10"/>
  <c r="W13" i="10"/>
  <c r="V13" i="10"/>
  <c r="U13" i="10"/>
  <c r="T13" i="10"/>
  <c r="S13" i="10"/>
  <c r="Q13" i="10"/>
  <c r="O13" i="10"/>
  <c r="M13" i="10"/>
  <c r="K13" i="10"/>
  <c r="X12" i="10"/>
  <c r="W12" i="10"/>
  <c r="V12" i="10"/>
  <c r="U12" i="10"/>
  <c r="T12" i="10"/>
  <c r="S12" i="10"/>
  <c r="Q12" i="10"/>
  <c r="O12" i="10"/>
  <c r="M12" i="10"/>
  <c r="K12" i="10"/>
  <c r="X11" i="10"/>
  <c r="W11" i="10"/>
  <c r="V11" i="10"/>
  <c r="U11" i="10"/>
  <c r="T11" i="10"/>
  <c r="S11" i="10"/>
  <c r="Q11" i="10"/>
  <c r="O11" i="10"/>
  <c r="M11" i="10"/>
  <c r="K11" i="10"/>
  <c r="X10" i="10"/>
  <c r="W10" i="10"/>
  <c r="V10" i="10"/>
  <c r="U10" i="10"/>
  <c r="T10" i="10"/>
  <c r="S10" i="10"/>
  <c r="Q10" i="10"/>
  <c r="O10" i="10"/>
  <c r="M10" i="10"/>
  <c r="K10" i="10"/>
  <c r="X9" i="10"/>
  <c r="W9" i="10"/>
  <c r="V9" i="10"/>
  <c r="U9" i="10"/>
  <c r="T9" i="10"/>
  <c r="S9" i="10"/>
  <c r="Q9" i="10"/>
  <c r="O9" i="10"/>
  <c r="M9" i="10"/>
  <c r="K9" i="10"/>
  <c r="X8" i="10"/>
  <c r="W8" i="10"/>
  <c r="V8" i="10"/>
  <c r="U8" i="10"/>
  <c r="T8" i="10"/>
  <c r="S8" i="10"/>
  <c r="Q8" i="10"/>
  <c r="O8" i="10"/>
  <c r="M8" i="10"/>
  <c r="K8" i="10"/>
  <c r="X7" i="10"/>
  <c r="W7" i="10"/>
  <c r="V7" i="10"/>
  <c r="U7" i="10"/>
  <c r="T7" i="10"/>
  <c r="S7" i="10"/>
  <c r="Q7" i="10"/>
  <c r="O7" i="10"/>
  <c r="M7" i="10"/>
  <c r="K7" i="10"/>
  <c r="X281" i="9" l="1"/>
  <c r="W281" i="9"/>
  <c r="V281" i="9"/>
  <c r="U281" i="9"/>
  <c r="T281" i="9"/>
  <c r="S281" i="9"/>
  <c r="Q281" i="9"/>
  <c r="O281" i="9"/>
  <c r="M281" i="9"/>
  <c r="K281" i="9"/>
  <c r="X280" i="9"/>
  <c r="W280" i="9"/>
  <c r="V280" i="9"/>
  <c r="U280" i="9"/>
  <c r="T280" i="9"/>
  <c r="S280" i="9"/>
  <c r="Q280" i="9"/>
  <c r="O280" i="9"/>
  <c r="M280" i="9"/>
  <c r="K280" i="9"/>
  <c r="X279" i="9"/>
  <c r="W279" i="9"/>
  <c r="V279" i="9"/>
  <c r="U279" i="9"/>
  <c r="T279" i="9"/>
  <c r="S279" i="9"/>
  <c r="Q279" i="9"/>
  <c r="O279" i="9"/>
  <c r="M279" i="9"/>
  <c r="K279" i="9"/>
  <c r="X278" i="9"/>
  <c r="W278" i="9"/>
  <c r="V278" i="9"/>
  <c r="U278" i="9"/>
  <c r="T278" i="9"/>
  <c r="S278" i="9"/>
  <c r="Q278" i="9"/>
  <c r="O278" i="9"/>
  <c r="M278" i="9"/>
  <c r="K278" i="9"/>
  <c r="X277" i="9"/>
  <c r="W277" i="9"/>
  <c r="V277" i="9"/>
  <c r="U277" i="9"/>
  <c r="T277" i="9"/>
  <c r="S277" i="9"/>
  <c r="Q277" i="9"/>
  <c r="O277" i="9"/>
  <c r="M277" i="9"/>
  <c r="K277" i="9"/>
  <c r="X276" i="9"/>
  <c r="W276" i="9"/>
  <c r="V276" i="9"/>
  <c r="U276" i="9"/>
  <c r="T276" i="9"/>
  <c r="S276" i="9"/>
  <c r="Q276" i="9"/>
  <c r="O276" i="9"/>
  <c r="M276" i="9"/>
  <c r="K276" i="9"/>
  <c r="X275" i="9"/>
  <c r="W275" i="9"/>
  <c r="V275" i="9"/>
  <c r="U275" i="9"/>
  <c r="T275" i="9"/>
  <c r="S275" i="9"/>
  <c r="Q275" i="9"/>
  <c r="O275" i="9"/>
  <c r="M275" i="9"/>
  <c r="K275" i="9"/>
  <c r="X274" i="9"/>
  <c r="W274" i="9"/>
  <c r="V274" i="9"/>
  <c r="U274" i="9"/>
  <c r="T274" i="9"/>
  <c r="S274" i="9"/>
  <c r="Q274" i="9"/>
  <c r="O274" i="9"/>
  <c r="M274" i="9"/>
  <c r="K274" i="9"/>
  <c r="X273" i="9"/>
  <c r="W273" i="9"/>
  <c r="V273" i="9"/>
  <c r="U273" i="9"/>
  <c r="T273" i="9"/>
  <c r="S273" i="9"/>
  <c r="Q273" i="9"/>
  <c r="O273" i="9"/>
  <c r="M273" i="9"/>
  <c r="K273" i="9"/>
  <c r="X272" i="9"/>
  <c r="W272" i="9"/>
  <c r="V272" i="9"/>
  <c r="U272" i="9"/>
  <c r="T272" i="9"/>
  <c r="S272" i="9"/>
  <c r="Q272" i="9"/>
  <c r="O272" i="9"/>
  <c r="M272" i="9"/>
  <c r="K272" i="9"/>
  <c r="X271" i="9"/>
  <c r="W271" i="9"/>
  <c r="V271" i="9"/>
  <c r="U271" i="9"/>
  <c r="T271" i="9"/>
  <c r="S271" i="9"/>
  <c r="Q271" i="9"/>
  <c r="O271" i="9"/>
  <c r="M271" i="9"/>
  <c r="K271" i="9"/>
  <c r="X270" i="9"/>
  <c r="W270" i="9"/>
  <c r="V270" i="9"/>
  <c r="U270" i="9"/>
  <c r="T270" i="9"/>
  <c r="S270" i="9"/>
  <c r="Q270" i="9"/>
  <c r="O270" i="9"/>
  <c r="M270" i="9"/>
  <c r="K270" i="9"/>
  <c r="X269" i="9"/>
  <c r="W269" i="9"/>
  <c r="V269" i="9"/>
  <c r="U269" i="9"/>
  <c r="T269" i="9"/>
  <c r="S269" i="9"/>
  <c r="Q269" i="9"/>
  <c r="O269" i="9"/>
  <c r="M269" i="9"/>
  <c r="K269" i="9"/>
  <c r="X268" i="9"/>
  <c r="W268" i="9"/>
  <c r="V268" i="9"/>
  <c r="U268" i="9"/>
  <c r="T268" i="9"/>
  <c r="S268" i="9"/>
  <c r="Q268" i="9"/>
  <c r="O268" i="9"/>
  <c r="M268" i="9"/>
  <c r="K268" i="9"/>
  <c r="X267" i="9"/>
  <c r="W267" i="9"/>
  <c r="V267" i="9"/>
  <c r="U267" i="9"/>
  <c r="T267" i="9"/>
  <c r="S267" i="9"/>
  <c r="Q267" i="9"/>
  <c r="O267" i="9"/>
  <c r="M267" i="9"/>
  <c r="K267" i="9"/>
  <c r="X266" i="9"/>
  <c r="W266" i="9"/>
  <c r="V266" i="9"/>
  <c r="U266" i="9"/>
  <c r="T266" i="9"/>
  <c r="S266" i="9"/>
  <c r="Q266" i="9"/>
  <c r="O266" i="9"/>
  <c r="M266" i="9"/>
  <c r="K266" i="9"/>
  <c r="X265" i="9"/>
  <c r="W265" i="9"/>
  <c r="V265" i="9"/>
  <c r="U265" i="9"/>
  <c r="T265" i="9"/>
  <c r="S265" i="9"/>
  <c r="Q265" i="9"/>
  <c r="O265" i="9"/>
  <c r="M265" i="9"/>
  <c r="K265" i="9"/>
  <c r="X264" i="9"/>
  <c r="W264" i="9"/>
  <c r="V264" i="9"/>
  <c r="U264" i="9"/>
  <c r="T264" i="9"/>
  <c r="S264" i="9"/>
  <c r="Q264" i="9"/>
  <c r="O264" i="9"/>
  <c r="M264" i="9"/>
  <c r="K264" i="9"/>
  <c r="X263" i="9"/>
  <c r="W263" i="9"/>
  <c r="V263" i="9"/>
  <c r="U263" i="9"/>
  <c r="T263" i="9"/>
  <c r="S263" i="9"/>
  <c r="Q263" i="9"/>
  <c r="O263" i="9"/>
  <c r="M263" i="9"/>
  <c r="K263" i="9"/>
  <c r="X262" i="9"/>
  <c r="W262" i="9"/>
  <c r="V262" i="9"/>
  <c r="U262" i="9"/>
  <c r="T262" i="9"/>
  <c r="S262" i="9"/>
  <c r="Q262" i="9"/>
  <c r="O262" i="9"/>
  <c r="M262" i="9"/>
  <c r="K262" i="9"/>
  <c r="X261" i="9"/>
  <c r="W261" i="9"/>
  <c r="V261" i="9"/>
  <c r="U261" i="9"/>
  <c r="T261" i="9"/>
  <c r="S261" i="9"/>
  <c r="Q261" i="9"/>
  <c r="O261" i="9"/>
  <c r="M261" i="9"/>
  <c r="K261" i="9"/>
  <c r="X260" i="9"/>
  <c r="W260" i="9"/>
  <c r="V260" i="9"/>
  <c r="U260" i="9"/>
  <c r="T260" i="9"/>
  <c r="S260" i="9"/>
  <c r="Q260" i="9"/>
  <c r="O260" i="9"/>
  <c r="M260" i="9"/>
  <c r="K260" i="9"/>
  <c r="X259" i="9"/>
  <c r="W259" i="9"/>
  <c r="V259" i="9"/>
  <c r="U259" i="9"/>
  <c r="T259" i="9"/>
  <c r="S259" i="9"/>
  <c r="Q259" i="9"/>
  <c r="O259" i="9"/>
  <c r="M259" i="9"/>
  <c r="K259" i="9"/>
  <c r="X258" i="9"/>
  <c r="W258" i="9"/>
  <c r="V258" i="9"/>
  <c r="U258" i="9"/>
  <c r="T258" i="9"/>
  <c r="S258" i="9"/>
  <c r="Q258" i="9"/>
  <c r="O258" i="9"/>
  <c r="M258" i="9"/>
  <c r="K258" i="9"/>
  <c r="X257" i="9"/>
  <c r="W257" i="9"/>
  <c r="V257" i="9"/>
  <c r="U257" i="9"/>
  <c r="T257" i="9"/>
  <c r="S257" i="9"/>
  <c r="Q257" i="9"/>
  <c r="O257" i="9"/>
  <c r="M257" i="9"/>
  <c r="K257" i="9"/>
  <c r="X256" i="9"/>
  <c r="W256" i="9"/>
  <c r="V256" i="9"/>
  <c r="U256" i="9"/>
  <c r="T256" i="9"/>
  <c r="S256" i="9"/>
  <c r="Q256" i="9"/>
  <c r="O256" i="9"/>
  <c r="M256" i="9"/>
  <c r="K256" i="9"/>
  <c r="X255" i="9"/>
  <c r="W255" i="9"/>
  <c r="V255" i="9"/>
  <c r="U255" i="9"/>
  <c r="T255" i="9"/>
  <c r="S255" i="9"/>
  <c r="Q255" i="9"/>
  <c r="O255" i="9"/>
  <c r="M255" i="9"/>
  <c r="K255" i="9"/>
  <c r="X254" i="9"/>
  <c r="W254" i="9"/>
  <c r="V254" i="9"/>
  <c r="U254" i="9"/>
  <c r="T254" i="9"/>
  <c r="S254" i="9"/>
  <c r="Q254" i="9"/>
  <c r="O254" i="9"/>
  <c r="M254" i="9"/>
  <c r="K254" i="9"/>
  <c r="X253" i="9"/>
  <c r="W253" i="9"/>
  <c r="V253" i="9"/>
  <c r="U253" i="9"/>
  <c r="T253" i="9"/>
  <c r="S253" i="9"/>
  <c r="Q253" i="9"/>
  <c r="O253" i="9"/>
  <c r="M253" i="9"/>
  <c r="K253" i="9"/>
  <c r="X252" i="9"/>
  <c r="W252" i="9"/>
  <c r="V252" i="9"/>
  <c r="U252" i="9"/>
  <c r="T252" i="9"/>
  <c r="S252" i="9"/>
  <c r="Q252" i="9"/>
  <c r="O252" i="9"/>
  <c r="M252" i="9"/>
  <c r="K252" i="9"/>
  <c r="X251" i="9"/>
  <c r="W251" i="9"/>
  <c r="V251" i="9"/>
  <c r="U251" i="9"/>
  <c r="T251" i="9"/>
  <c r="S251" i="9"/>
  <c r="Q251" i="9"/>
  <c r="O251" i="9"/>
  <c r="M251" i="9"/>
  <c r="K251" i="9"/>
  <c r="X250" i="9"/>
  <c r="W250" i="9"/>
  <c r="V250" i="9"/>
  <c r="U250" i="9"/>
  <c r="T250" i="9"/>
  <c r="S250" i="9"/>
  <c r="Q250" i="9"/>
  <c r="O250" i="9"/>
  <c r="M250" i="9"/>
  <c r="K250" i="9"/>
  <c r="X249" i="9"/>
  <c r="W249" i="9"/>
  <c r="V249" i="9"/>
  <c r="U249" i="9"/>
  <c r="T249" i="9"/>
  <c r="S249" i="9"/>
  <c r="Q249" i="9"/>
  <c r="O249" i="9"/>
  <c r="M249" i="9"/>
  <c r="K249" i="9"/>
  <c r="X248" i="9"/>
  <c r="W248" i="9"/>
  <c r="V248" i="9"/>
  <c r="U248" i="9"/>
  <c r="T248" i="9"/>
  <c r="S248" i="9"/>
  <c r="Q248" i="9"/>
  <c r="O248" i="9"/>
  <c r="M248" i="9"/>
  <c r="K248" i="9"/>
  <c r="X247" i="9"/>
  <c r="W247" i="9"/>
  <c r="V247" i="9"/>
  <c r="U247" i="9"/>
  <c r="T247" i="9"/>
  <c r="S247" i="9"/>
  <c r="Q247" i="9"/>
  <c r="O247" i="9"/>
  <c r="M247" i="9"/>
  <c r="K247" i="9"/>
  <c r="X246" i="9"/>
  <c r="W246" i="9"/>
  <c r="V246" i="9"/>
  <c r="U246" i="9"/>
  <c r="T246" i="9"/>
  <c r="S246" i="9"/>
  <c r="Q246" i="9"/>
  <c r="O246" i="9"/>
  <c r="M246" i="9"/>
  <c r="K246" i="9"/>
  <c r="X245" i="9"/>
  <c r="W245" i="9"/>
  <c r="V245" i="9"/>
  <c r="U245" i="9"/>
  <c r="T245" i="9"/>
  <c r="S245" i="9"/>
  <c r="Q245" i="9"/>
  <c r="O245" i="9"/>
  <c r="M245" i="9"/>
  <c r="K245" i="9"/>
  <c r="X244" i="9"/>
  <c r="W244" i="9"/>
  <c r="V244" i="9"/>
  <c r="U244" i="9"/>
  <c r="T244" i="9"/>
  <c r="S244" i="9"/>
  <c r="Q244" i="9"/>
  <c r="O244" i="9"/>
  <c r="M244" i="9"/>
  <c r="K244" i="9"/>
  <c r="X243" i="9"/>
  <c r="W243" i="9"/>
  <c r="V243" i="9"/>
  <c r="U243" i="9"/>
  <c r="T243" i="9"/>
  <c r="S243" i="9"/>
  <c r="Q243" i="9"/>
  <c r="O243" i="9"/>
  <c r="M243" i="9"/>
  <c r="K243" i="9"/>
  <c r="X242" i="9"/>
  <c r="W242" i="9"/>
  <c r="V242" i="9"/>
  <c r="U242" i="9"/>
  <c r="T242" i="9"/>
  <c r="S242" i="9"/>
  <c r="Q242" i="9"/>
  <c r="O242" i="9"/>
  <c r="M242" i="9"/>
  <c r="K242" i="9"/>
  <c r="X241" i="9"/>
  <c r="W241" i="9"/>
  <c r="V241" i="9"/>
  <c r="U241" i="9"/>
  <c r="T241" i="9"/>
  <c r="S241" i="9"/>
  <c r="Q241" i="9"/>
  <c r="O241" i="9"/>
  <c r="M241" i="9"/>
  <c r="K241" i="9"/>
  <c r="X240" i="9"/>
  <c r="W240" i="9"/>
  <c r="V240" i="9"/>
  <c r="U240" i="9"/>
  <c r="T240" i="9"/>
  <c r="S240" i="9"/>
  <c r="Q240" i="9"/>
  <c r="O240" i="9"/>
  <c r="M240" i="9"/>
  <c r="K240" i="9"/>
  <c r="X239" i="9"/>
  <c r="W239" i="9"/>
  <c r="V239" i="9"/>
  <c r="U239" i="9"/>
  <c r="T239" i="9"/>
  <c r="S239" i="9"/>
  <c r="Q239" i="9"/>
  <c r="O239" i="9"/>
  <c r="M239" i="9"/>
  <c r="K239" i="9"/>
  <c r="X238" i="9"/>
  <c r="W238" i="9"/>
  <c r="V238" i="9"/>
  <c r="U238" i="9"/>
  <c r="T238" i="9"/>
  <c r="S238" i="9"/>
  <c r="Q238" i="9"/>
  <c r="O238" i="9"/>
  <c r="M238" i="9"/>
  <c r="K238" i="9"/>
  <c r="X237" i="9"/>
  <c r="W237" i="9"/>
  <c r="V237" i="9"/>
  <c r="U237" i="9"/>
  <c r="T237" i="9"/>
  <c r="S237" i="9"/>
  <c r="Q237" i="9"/>
  <c r="O237" i="9"/>
  <c r="M237" i="9"/>
  <c r="K237" i="9"/>
  <c r="X236" i="9"/>
  <c r="W236" i="9"/>
  <c r="V236" i="9"/>
  <c r="U236" i="9"/>
  <c r="T236" i="9"/>
  <c r="S236" i="9"/>
  <c r="Q236" i="9"/>
  <c r="O236" i="9"/>
  <c r="M236" i="9"/>
  <c r="K236" i="9"/>
  <c r="X235" i="9"/>
  <c r="W235" i="9"/>
  <c r="V235" i="9"/>
  <c r="U235" i="9"/>
  <c r="T235" i="9"/>
  <c r="S235" i="9"/>
  <c r="Q235" i="9"/>
  <c r="O235" i="9"/>
  <c r="M235" i="9"/>
  <c r="K235" i="9"/>
  <c r="X234" i="9"/>
  <c r="W234" i="9"/>
  <c r="V234" i="9"/>
  <c r="U234" i="9"/>
  <c r="T234" i="9"/>
  <c r="S234" i="9"/>
  <c r="Q234" i="9"/>
  <c r="O234" i="9"/>
  <c r="M234" i="9"/>
  <c r="K234" i="9"/>
  <c r="X233" i="9"/>
  <c r="W233" i="9"/>
  <c r="V233" i="9"/>
  <c r="U233" i="9"/>
  <c r="T233" i="9"/>
  <c r="S233" i="9"/>
  <c r="Q233" i="9"/>
  <c r="O233" i="9"/>
  <c r="M233" i="9"/>
  <c r="K233" i="9"/>
  <c r="X232" i="9"/>
  <c r="W232" i="9"/>
  <c r="V232" i="9"/>
  <c r="U232" i="9"/>
  <c r="T232" i="9"/>
  <c r="S232" i="9"/>
  <c r="Q232" i="9"/>
  <c r="O232" i="9"/>
  <c r="M232" i="9"/>
  <c r="K232" i="9"/>
  <c r="X231" i="9"/>
  <c r="W231" i="9"/>
  <c r="V231" i="9"/>
  <c r="U231" i="9"/>
  <c r="T231" i="9"/>
  <c r="S231" i="9"/>
  <c r="Q231" i="9"/>
  <c r="O231" i="9"/>
  <c r="M231" i="9"/>
  <c r="K231" i="9"/>
  <c r="X230" i="9"/>
  <c r="W230" i="9"/>
  <c r="V230" i="9"/>
  <c r="U230" i="9"/>
  <c r="T230" i="9"/>
  <c r="S230" i="9"/>
  <c r="Q230" i="9"/>
  <c r="O230" i="9"/>
  <c r="M230" i="9"/>
  <c r="K230" i="9"/>
  <c r="X229" i="9"/>
  <c r="W229" i="9"/>
  <c r="V229" i="9"/>
  <c r="U229" i="9"/>
  <c r="T229" i="9"/>
  <c r="S229" i="9"/>
  <c r="Q229" i="9"/>
  <c r="O229" i="9"/>
  <c r="M229" i="9"/>
  <c r="K229" i="9"/>
  <c r="X228" i="9"/>
  <c r="W228" i="9"/>
  <c r="V228" i="9"/>
  <c r="U228" i="9"/>
  <c r="T228" i="9"/>
  <c r="S228" i="9"/>
  <c r="Q228" i="9"/>
  <c r="O228" i="9"/>
  <c r="M228" i="9"/>
  <c r="K228" i="9"/>
  <c r="X227" i="9"/>
  <c r="W227" i="9"/>
  <c r="V227" i="9"/>
  <c r="U227" i="9"/>
  <c r="T227" i="9"/>
  <c r="S227" i="9"/>
  <c r="Q227" i="9"/>
  <c r="O227" i="9"/>
  <c r="M227" i="9"/>
  <c r="K227" i="9"/>
  <c r="X226" i="9"/>
  <c r="W226" i="9"/>
  <c r="V226" i="9"/>
  <c r="U226" i="9"/>
  <c r="T226" i="9"/>
  <c r="S226" i="9"/>
  <c r="Q226" i="9"/>
  <c r="O226" i="9"/>
  <c r="M226" i="9"/>
  <c r="K226" i="9"/>
  <c r="X225" i="9"/>
  <c r="W225" i="9"/>
  <c r="V225" i="9"/>
  <c r="U225" i="9"/>
  <c r="T225" i="9"/>
  <c r="S225" i="9"/>
  <c r="Q225" i="9"/>
  <c r="O225" i="9"/>
  <c r="M225" i="9"/>
  <c r="K225" i="9"/>
  <c r="X224" i="9"/>
  <c r="W224" i="9"/>
  <c r="V224" i="9"/>
  <c r="U224" i="9"/>
  <c r="T224" i="9"/>
  <c r="S224" i="9"/>
  <c r="Q224" i="9"/>
  <c r="O224" i="9"/>
  <c r="M224" i="9"/>
  <c r="K224" i="9"/>
  <c r="X223" i="9"/>
  <c r="W223" i="9"/>
  <c r="V223" i="9"/>
  <c r="U223" i="9"/>
  <c r="T223" i="9"/>
  <c r="S223" i="9"/>
  <c r="Q223" i="9"/>
  <c r="O223" i="9"/>
  <c r="M223" i="9"/>
  <c r="K223" i="9"/>
  <c r="X222" i="9"/>
  <c r="W222" i="9"/>
  <c r="V222" i="9"/>
  <c r="U222" i="9"/>
  <c r="T222" i="9"/>
  <c r="S222" i="9"/>
  <c r="Q222" i="9"/>
  <c r="O222" i="9"/>
  <c r="M222" i="9"/>
  <c r="K222" i="9"/>
  <c r="X221" i="9"/>
  <c r="W221" i="9"/>
  <c r="V221" i="9"/>
  <c r="U221" i="9"/>
  <c r="T221" i="9"/>
  <c r="S221" i="9"/>
  <c r="Q221" i="9"/>
  <c r="O221" i="9"/>
  <c r="M221" i="9"/>
  <c r="K221" i="9"/>
  <c r="X220" i="9"/>
  <c r="W220" i="9"/>
  <c r="V220" i="9"/>
  <c r="U220" i="9"/>
  <c r="T220" i="9"/>
  <c r="S220" i="9"/>
  <c r="Q220" i="9"/>
  <c r="O220" i="9"/>
  <c r="M220" i="9"/>
  <c r="K220" i="9"/>
  <c r="X219" i="9"/>
  <c r="W219" i="9"/>
  <c r="V219" i="9"/>
  <c r="U219" i="9"/>
  <c r="T219" i="9"/>
  <c r="S219" i="9"/>
  <c r="Q219" i="9"/>
  <c r="O219" i="9"/>
  <c r="M219" i="9"/>
  <c r="K219" i="9"/>
  <c r="X218" i="9"/>
  <c r="W218" i="9"/>
  <c r="V218" i="9"/>
  <c r="U218" i="9"/>
  <c r="T218" i="9"/>
  <c r="S218" i="9"/>
  <c r="Q218" i="9"/>
  <c r="O218" i="9"/>
  <c r="M218" i="9"/>
  <c r="K218" i="9"/>
  <c r="X217" i="9"/>
  <c r="W217" i="9"/>
  <c r="V217" i="9"/>
  <c r="U217" i="9"/>
  <c r="T217" i="9"/>
  <c r="S217" i="9"/>
  <c r="Q217" i="9"/>
  <c r="O217" i="9"/>
  <c r="M217" i="9"/>
  <c r="K217" i="9"/>
  <c r="X216" i="9"/>
  <c r="W216" i="9"/>
  <c r="V216" i="9"/>
  <c r="U216" i="9"/>
  <c r="T216" i="9"/>
  <c r="S216" i="9"/>
  <c r="Q216" i="9"/>
  <c r="O216" i="9"/>
  <c r="M216" i="9"/>
  <c r="K216" i="9"/>
  <c r="X215" i="9"/>
  <c r="W215" i="9"/>
  <c r="V215" i="9"/>
  <c r="U215" i="9"/>
  <c r="T215" i="9"/>
  <c r="S215" i="9"/>
  <c r="Q215" i="9"/>
  <c r="O215" i="9"/>
  <c r="M215" i="9"/>
  <c r="K215" i="9"/>
  <c r="X214" i="9"/>
  <c r="W214" i="9"/>
  <c r="V214" i="9"/>
  <c r="U214" i="9"/>
  <c r="T214" i="9"/>
  <c r="S214" i="9"/>
  <c r="Q214" i="9"/>
  <c r="O214" i="9"/>
  <c r="M214" i="9"/>
  <c r="K214" i="9"/>
  <c r="X213" i="9"/>
  <c r="W213" i="9"/>
  <c r="V213" i="9"/>
  <c r="U213" i="9"/>
  <c r="T213" i="9"/>
  <c r="S213" i="9"/>
  <c r="Q213" i="9"/>
  <c r="O213" i="9"/>
  <c r="M213" i="9"/>
  <c r="K213" i="9"/>
  <c r="X212" i="9"/>
  <c r="W212" i="9"/>
  <c r="V212" i="9"/>
  <c r="U212" i="9"/>
  <c r="T212" i="9"/>
  <c r="S212" i="9"/>
  <c r="Q212" i="9"/>
  <c r="O212" i="9"/>
  <c r="M212" i="9"/>
  <c r="K212" i="9"/>
  <c r="X211" i="9"/>
  <c r="W211" i="9"/>
  <c r="V211" i="9"/>
  <c r="U211" i="9"/>
  <c r="T211" i="9"/>
  <c r="S211" i="9"/>
  <c r="Q211" i="9"/>
  <c r="O211" i="9"/>
  <c r="M211" i="9"/>
  <c r="K211" i="9"/>
  <c r="X210" i="9"/>
  <c r="W210" i="9"/>
  <c r="V210" i="9"/>
  <c r="U210" i="9"/>
  <c r="T210" i="9"/>
  <c r="S210" i="9"/>
  <c r="Q210" i="9"/>
  <c r="O210" i="9"/>
  <c r="M210" i="9"/>
  <c r="K210" i="9"/>
  <c r="X209" i="9"/>
  <c r="W209" i="9"/>
  <c r="V209" i="9"/>
  <c r="U209" i="9"/>
  <c r="T209" i="9"/>
  <c r="S209" i="9"/>
  <c r="Q209" i="9"/>
  <c r="O209" i="9"/>
  <c r="M209" i="9"/>
  <c r="K209" i="9"/>
  <c r="X208" i="9"/>
  <c r="W208" i="9"/>
  <c r="V208" i="9"/>
  <c r="U208" i="9"/>
  <c r="T208" i="9"/>
  <c r="S208" i="9"/>
  <c r="Q208" i="9"/>
  <c r="O208" i="9"/>
  <c r="M208" i="9"/>
  <c r="K208" i="9"/>
  <c r="X207" i="9"/>
  <c r="W207" i="9"/>
  <c r="V207" i="9"/>
  <c r="U207" i="9"/>
  <c r="T207" i="9"/>
  <c r="S207" i="9"/>
  <c r="Q207" i="9"/>
  <c r="O207" i="9"/>
  <c r="M207" i="9"/>
  <c r="K207" i="9"/>
  <c r="X206" i="9"/>
  <c r="W206" i="9"/>
  <c r="V206" i="9"/>
  <c r="U206" i="9"/>
  <c r="T206" i="9"/>
  <c r="S206" i="9"/>
  <c r="Q206" i="9"/>
  <c r="O206" i="9"/>
  <c r="M206" i="9"/>
  <c r="K206" i="9"/>
  <c r="X205" i="9"/>
  <c r="W205" i="9"/>
  <c r="V205" i="9"/>
  <c r="U205" i="9"/>
  <c r="T205" i="9"/>
  <c r="S205" i="9"/>
  <c r="Q205" i="9"/>
  <c r="O205" i="9"/>
  <c r="M205" i="9"/>
  <c r="K205" i="9"/>
  <c r="X204" i="9"/>
  <c r="W204" i="9"/>
  <c r="V204" i="9"/>
  <c r="U204" i="9"/>
  <c r="T204" i="9"/>
  <c r="S204" i="9"/>
  <c r="Q204" i="9"/>
  <c r="O204" i="9"/>
  <c r="M204" i="9"/>
  <c r="K204" i="9"/>
  <c r="X203" i="9"/>
  <c r="W203" i="9"/>
  <c r="V203" i="9"/>
  <c r="U203" i="9"/>
  <c r="T203" i="9"/>
  <c r="S203" i="9"/>
  <c r="Q203" i="9"/>
  <c r="O203" i="9"/>
  <c r="M203" i="9"/>
  <c r="K203" i="9"/>
  <c r="X202" i="9"/>
  <c r="W202" i="9"/>
  <c r="V202" i="9"/>
  <c r="U202" i="9"/>
  <c r="T202" i="9"/>
  <c r="S202" i="9"/>
  <c r="Q202" i="9"/>
  <c r="O202" i="9"/>
  <c r="M202" i="9"/>
  <c r="K202" i="9"/>
  <c r="X201" i="9"/>
  <c r="W201" i="9"/>
  <c r="V201" i="9"/>
  <c r="U201" i="9"/>
  <c r="T201" i="9"/>
  <c r="S201" i="9"/>
  <c r="Q201" i="9"/>
  <c r="O201" i="9"/>
  <c r="M201" i="9"/>
  <c r="K201" i="9"/>
  <c r="X200" i="9"/>
  <c r="W200" i="9"/>
  <c r="V200" i="9"/>
  <c r="U200" i="9"/>
  <c r="T200" i="9"/>
  <c r="S200" i="9"/>
  <c r="Q200" i="9"/>
  <c r="O200" i="9"/>
  <c r="M200" i="9"/>
  <c r="K200" i="9"/>
  <c r="X199" i="9"/>
  <c r="W199" i="9"/>
  <c r="V199" i="9"/>
  <c r="U199" i="9"/>
  <c r="T199" i="9"/>
  <c r="S199" i="9"/>
  <c r="Q199" i="9"/>
  <c r="O199" i="9"/>
  <c r="M199" i="9"/>
  <c r="K199" i="9"/>
  <c r="X198" i="9"/>
  <c r="W198" i="9"/>
  <c r="V198" i="9"/>
  <c r="U198" i="9"/>
  <c r="T198" i="9"/>
  <c r="S198" i="9"/>
  <c r="Q198" i="9"/>
  <c r="O198" i="9"/>
  <c r="M198" i="9"/>
  <c r="K198" i="9"/>
  <c r="X197" i="9"/>
  <c r="W197" i="9"/>
  <c r="V197" i="9"/>
  <c r="U197" i="9"/>
  <c r="T197" i="9"/>
  <c r="S197" i="9"/>
  <c r="Q197" i="9"/>
  <c r="O197" i="9"/>
  <c r="M197" i="9"/>
  <c r="K197" i="9"/>
  <c r="X196" i="9"/>
  <c r="W196" i="9"/>
  <c r="V196" i="9"/>
  <c r="U196" i="9"/>
  <c r="T196" i="9"/>
  <c r="S196" i="9"/>
  <c r="Q196" i="9"/>
  <c r="O196" i="9"/>
  <c r="M196" i="9"/>
  <c r="K196" i="9"/>
  <c r="X195" i="9"/>
  <c r="W195" i="9"/>
  <c r="V195" i="9"/>
  <c r="U195" i="9"/>
  <c r="T195" i="9"/>
  <c r="S195" i="9"/>
  <c r="Q195" i="9"/>
  <c r="O195" i="9"/>
  <c r="M195" i="9"/>
  <c r="K195" i="9"/>
  <c r="X194" i="9"/>
  <c r="W194" i="9"/>
  <c r="V194" i="9"/>
  <c r="U194" i="9"/>
  <c r="T194" i="9"/>
  <c r="S194" i="9"/>
  <c r="Q194" i="9"/>
  <c r="O194" i="9"/>
  <c r="M194" i="9"/>
  <c r="K194" i="9"/>
  <c r="X193" i="9"/>
  <c r="W193" i="9"/>
  <c r="V193" i="9"/>
  <c r="U193" i="9"/>
  <c r="T193" i="9"/>
  <c r="S193" i="9"/>
  <c r="Q193" i="9"/>
  <c r="O193" i="9"/>
  <c r="M193" i="9"/>
  <c r="K193" i="9"/>
  <c r="X192" i="9"/>
  <c r="W192" i="9"/>
  <c r="V192" i="9"/>
  <c r="U192" i="9"/>
  <c r="T192" i="9"/>
  <c r="S192" i="9"/>
  <c r="Q192" i="9"/>
  <c r="O192" i="9"/>
  <c r="M192" i="9"/>
  <c r="K192" i="9"/>
  <c r="X191" i="9"/>
  <c r="W191" i="9"/>
  <c r="V191" i="9"/>
  <c r="U191" i="9"/>
  <c r="T191" i="9"/>
  <c r="S191" i="9"/>
  <c r="Q191" i="9"/>
  <c r="O191" i="9"/>
  <c r="M191" i="9"/>
  <c r="K191" i="9"/>
  <c r="X190" i="9"/>
  <c r="W190" i="9"/>
  <c r="V190" i="9"/>
  <c r="U190" i="9"/>
  <c r="T190" i="9"/>
  <c r="S190" i="9"/>
  <c r="Q190" i="9"/>
  <c r="O190" i="9"/>
  <c r="M190" i="9"/>
  <c r="K190" i="9"/>
  <c r="X189" i="9"/>
  <c r="W189" i="9"/>
  <c r="V189" i="9"/>
  <c r="U189" i="9"/>
  <c r="T189" i="9"/>
  <c r="S189" i="9"/>
  <c r="Q189" i="9"/>
  <c r="O189" i="9"/>
  <c r="M189" i="9"/>
  <c r="K189" i="9"/>
  <c r="X188" i="9"/>
  <c r="W188" i="9"/>
  <c r="V188" i="9"/>
  <c r="U188" i="9"/>
  <c r="T188" i="9"/>
  <c r="S188" i="9"/>
  <c r="Q188" i="9"/>
  <c r="O188" i="9"/>
  <c r="M188" i="9"/>
  <c r="K188" i="9"/>
  <c r="X187" i="9"/>
  <c r="W187" i="9"/>
  <c r="V187" i="9"/>
  <c r="U187" i="9"/>
  <c r="T187" i="9"/>
  <c r="S187" i="9"/>
  <c r="Q187" i="9"/>
  <c r="O187" i="9"/>
  <c r="M187" i="9"/>
  <c r="K187" i="9"/>
  <c r="X186" i="9"/>
  <c r="W186" i="9"/>
  <c r="V186" i="9"/>
  <c r="U186" i="9"/>
  <c r="T186" i="9"/>
  <c r="S186" i="9"/>
  <c r="Q186" i="9"/>
  <c r="O186" i="9"/>
  <c r="M186" i="9"/>
  <c r="K186" i="9"/>
  <c r="X185" i="9"/>
  <c r="W185" i="9"/>
  <c r="V185" i="9"/>
  <c r="U185" i="9"/>
  <c r="T185" i="9"/>
  <c r="S185" i="9"/>
  <c r="Q185" i="9"/>
  <c r="O185" i="9"/>
  <c r="M185" i="9"/>
  <c r="K185" i="9"/>
  <c r="X184" i="9"/>
  <c r="W184" i="9"/>
  <c r="V184" i="9"/>
  <c r="U184" i="9"/>
  <c r="T184" i="9"/>
  <c r="S184" i="9"/>
  <c r="Q184" i="9"/>
  <c r="O184" i="9"/>
  <c r="M184" i="9"/>
  <c r="K184" i="9"/>
  <c r="X183" i="9"/>
  <c r="W183" i="9"/>
  <c r="V183" i="9"/>
  <c r="U183" i="9"/>
  <c r="T183" i="9"/>
  <c r="S183" i="9"/>
  <c r="Q183" i="9"/>
  <c r="O183" i="9"/>
  <c r="M183" i="9"/>
  <c r="K183" i="9"/>
  <c r="X182" i="9"/>
  <c r="W182" i="9"/>
  <c r="V182" i="9"/>
  <c r="U182" i="9"/>
  <c r="T182" i="9"/>
  <c r="S182" i="9"/>
  <c r="Q182" i="9"/>
  <c r="O182" i="9"/>
  <c r="M182" i="9"/>
  <c r="K182" i="9"/>
  <c r="X181" i="9"/>
  <c r="W181" i="9"/>
  <c r="V181" i="9"/>
  <c r="U181" i="9"/>
  <c r="T181" i="9"/>
  <c r="S181" i="9"/>
  <c r="Q181" i="9"/>
  <c r="O181" i="9"/>
  <c r="M181" i="9"/>
  <c r="K181" i="9"/>
  <c r="X180" i="9"/>
  <c r="W180" i="9"/>
  <c r="V180" i="9"/>
  <c r="U180" i="9"/>
  <c r="T180" i="9"/>
  <c r="S180" i="9"/>
  <c r="Q180" i="9"/>
  <c r="O180" i="9"/>
  <c r="M180" i="9"/>
  <c r="K180" i="9"/>
  <c r="X179" i="9"/>
  <c r="W179" i="9"/>
  <c r="V179" i="9"/>
  <c r="U179" i="9"/>
  <c r="T179" i="9"/>
  <c r="S179" i="9"/>
  <c r="Q179" i="9"/>
  <c r="O179" i="9"/>
  <c r="M179" i="9"/>
  <c r="K179" i="9"/>
  <c r="X178" i="9"/>
  <c r="W178" i="9"/>
  <c r="V178" i="9"/>
  <c r="U178" i="9"/>
  <c r="T178" i="9"/>
  <c r="S178" i="9"/>
  <c r="Q178" i="9"/>
  <c r="O178" i="9"/>
  <c r="M178" i="9"/>
  <c r="K178" i="9"/>
  <c r="X177" i="9"/>
  <c r="W177" i="9"/>
  <c r="V177" i="9"/>
  <c r="U177" i="9"/>
  <c r="T177" i="9"/>
  <c r="S177" i="9"/>
  <c r="Q177" i="9"/>
  <c r="O177" i="9"/>
  <c r="M177" i="9"/>
  <c r="K177" i="9"/>
  <c r="X176" i="9"/>
  <c r="W176" i="9"/>
  <c r="V176" i="9"/>
  <c r="U176" i="9"/>
  <c r="T176" i="9"/>
  <c r="S176" i="9"/>
  <c r="Q176" i="9"/>
  <c r="O176" i="9"/>
  <c r="M176" i="9"/>
  <c r="K176" i="9"/>
  <c r="X175" i="9"/>
  <c r="W175" i="9"/>
  <c r="V175" i="9"/>
  <c r="U175" i="9"/>
  <c r="T175" i="9"/>
  <c r="S175" i="9"/>
  <c r="Q175" i="9"/>
  <c r="O175" i="9"/>
  <c r="M175" i="9"/>
  <c r="K175" i="9"/>
  <c r="X174" i="9"/>
  <c r="W174" i="9"/>
  <c r="V174" i="9"/>
  <c r="U174" i="9"/>
  <c r="T174" i="9"/>
  <c r="S174" i="9"/>
  <c r="Q174" i="9"/>
  <c r="O174" i="9"/>
  <c r="M174" i="9"/>
  <c r="K174" i="9"/>
  <c r="X173" i="9"/>
  <c r="W173" i="9"/>
  <c r="V173" i="9"/>
  <c r="U173" i="9"/>
  <c r="T173" i="9"/>
  <c r="S173" i="9"/>
  <c r="Q173" i="9"/>
  <c r="O173" i="9"/>
  <c r="M173" i="9"/>
  <c r="K173" i="9"/>
  <c r="X172" i="9"/>
  <c r="W172" i="9"/>
  <c r="V172" i="9"/>
  <c r="U172" i="9"/>
  <c r="T172" i="9"/>
  <c r="S172" i="9"/>
  <c r="Q172" i="9"/>
  <c r="O172" i="9"/>
  <c r="M172" i="9"/>
  <c r="K172" i="9"/>
  <c r="X171" i="9"/>
  <c r="W171" i="9"/>
  <c r="V171" i="9"/>
  <c r="U171" i="9"/>
  <c r="T171" i="9"/>
  <c r="S171" i="9"/>
  <c r="Q171" i="9"/>
  <c r="O171" i="9"/>
  <c r="M171" i="9"/>
  <c r="K171" i="9"/>
  <c r="X170" i="9"/>
  <c r="W170" i="9"/>
  <c r="V170" i="9"/>
  <c r="U170" i="9"/>
  <c r="T170" i="9"/>
  <c r="S170" i="9"/>
  <c r="Q170" i="9"/>
  <c r="O170" i="9"/>
  <c r="M170" i="9"/>
  <c r="K170" i="9"/>
  <c r="X169" i="9"/>
  <c r="W169" i="9"/>
  <c r="V169" i="9"/>
  <c r="U169" i="9"/>
  <c r="T169" i="9"/>
  <c r="S169" i="9"/>
  <c r="Q169" i="9"/>
  <c r="O169" i="9"/>
  <c r="M169" i="9"/>
  <c r="K169" i="9"/>
  <c r="X168" i="9"/>
  <c r="W168" i="9"/>
  <c r="V168" i="9"/>
  <c r="U168" i="9"/>
  <c r="T168" i="9"/>
  <c r="S168" i="9"/>
  <c r="Q168" i="9"/>
  <c r="O168" i="9"/>
  <c r="M168" i="9"/>
  <c r="K168" i="9"/>
  <c r="X167" i="9"/>
  <c r="W167" i="9"/>
  <c r="V167" i="9"/>
  <c r="U167" i="9"/>
  <c r="T167" i="9"/>
  <c r="S167" i="9"/>
  <c r="Q167" i="9"/>
  <c r="O167" i="9"/>
  <c r="M167" i="9"/>
  <c r="K167" i="9"/>
  <c r="X166" i="9"/>
  <c r="W166" i="9"/>
  <c r="V166" i="9"/>
  <c r="U166" i="9"/>
  <c r="T166" i="9"/>
  <c r="S166" i="9"/>
  <c r="Q166" i="9"/>
  <c r="O166" i="9"/>
  <c r="M166" i="9"/>
  <c r="K166" i="9"/>
  <c r="X165" i="9"/>
  <c r="W165" i="9"/>
  <c r="V165" i="9"/>
  <c r="U165" i="9"/>
  <c r="T165" i="9"/>
  <c r="S165" i="9"/>
  <c r="Q165" i="9"/>
  <c r="O165" i="9"/>
  <c r="M165" i="9"/>
  <c r="K165" i="9"/>
  <c r="X164" i="9"/>
  <c r="W164" i="9"/>
  <c r="V164" i="9"/>
  <c r="U164" i="9"/>
  <c r="T164" i="9"/>
  <c r="S164" i="9"/>
  <c r="Q164" i="9"/>
  <c r="O164" i="9"/>
  <c r="M164" i="9"/>
  <c r="K164" i="9"/>
  <c r="X163" i="9"/>
  <c r="W163" i="9"/>
  <c r="V163" i="9"/>
  <c r="U163" i="9"/>
  <c r="T163" i="9"/>
  <c r="S163" i="9"/>
  <c r="Q163" i="9"/>
  <c r="O163" i="9"/>
  <c r="M163" i="9"/>
  <c r="K163" i="9"/>
  <c r="X162" i="9"/>
  <c r="W162" i="9"/>
  <c r="V162" i="9"/>
  <c r="U162" i="9"/>
  <c r="T162" i="9"/>
  <c r="S162" i="9"/>
  <c r="Q162" i="9"/>
  <c r="O162" i="9"/>
  <c r="M162" i="9"/>
  <c r="K162" i="9"/>
  <c r="X161" i="9"/>
  <c r="W161" i="9"/>
  <c r="V161" i="9"/>
  <c r="U161" i="9"/>
  <c r="T161" i="9"/>
  <c r="S161" i="9"/>
  <c r="Q161" i="9"/>
  <c r="O161" i="9"/>
  <c r="M161" i="9"/>
  <c r="K161" i="9"/>
  <c r="X160" i="9"/>
  <c r="W160" i="9"/>
  <c r="V160" i="9"/>
  <c r="U160" i="9"/>
  <c r="T160" i="9"/>
  <c r="S160" i="9"/>
  <c r="Q160" i="9"/>
  <c r="O160" i="9"/>
  <c r="M160" i="9"/>
  <c r="K160" i="9"/>
  <c r="X159" i="9"/>
  <c r="W159" i="9"/>
  <c r="V159" i="9"/>
  <c r="U159" i="9"/>
  <c r="T159" i="9"/>
  <c r="S159" i="9"/>
  <c r="Q159" i="9"/>
  <c r="O159" i="9"/>
  <c r="M159" i="9"/>
  <c r="K159" i="9"/>
  <c r="X158" i="9"/>
  <c r="W158" i="9"/>
  <c r="V158" i="9"/>
  <c r="U158" i="9"/>
  <c r="T158" i="9"/>
  <c r="S158" i="9"/>
  <c r="Q158" i="9"/>
  <c r="O158" i="9"/>
  <c r="M158" i="9"/>
  <c r="K158" i="9"/>
  <c r="X157" i="9"/>
  <c r="W157" i="9"/>
  <c r="V157" i="9"/>
  <c r="U157" i="9"/>
  <c r="T157" i="9"/>
  <c r="S157" i="9"/>
  <c r="Q157" i="9"/>
  <c r="O157" i="9"/>
  <c r="M157" i="9"/>
  <c r="K157" i="9"/>
  <c r="X156" i="9"/>
  <c r="W156" i="9"/>
  <c r="V156" i="9"/>
  <c r="U156" i="9"/>
  <c r="T156" i="9"/>
  <c r="S156" i="9"/>
  <c r="Q156" i="9"/>
  <c r="O156" i="9"/>
  <c r="M156" i="9"/>
  <c r="K156" i="9"/>
  <c r="X155" i="9"/>
  <c r="W155" i="9"/>
  <c r="V155" i="9"/>
  <c r="U155" i="9"/>
  <c r="T155" i="9"/>
  <c r="S155" i="9"/>
  <c r="Q155" i="9"/>
  <c r="O155" i="9"/>
  <c r="M155" i="9"/>
  <c r="K155" i="9"/>
  <c r="X154" i="9"/>
  <c r="W154" i="9"/>
  <c r="V154" i="9"/>
  <c r="U154" i="9"/>
  <c r="T154" i="9"/>
  <c r="S154" i="9"/>
  <c r="Q154" i="9"/>
  <c r="O154" i="9"/>
  <c r="M154" i="9"/>
  <c r="K154" i="9"/>
  <c r="X153" i="9"/>
  <c r="W153" i="9"/>
  <c r="V153" i="9"/>
  <c r="U153" i="9"/>
  <c r="T153" i="9"/>
  <c r="S153" i="9"/>
  <c r="Q153" i="9"/>
  <c r="O153" i="9"/>
  <c r="M153" i="9"/>
  <c r="K153" i="9"/>
  <c r="X152" i="9"/>
  <c r="W152" i="9"/>
  <c r="V152" i="9"/>
  <c r="U152" i="9"/>
  <c r="T152" i="9"/>
  <c r="S152" i="9"/>
  <c r="Q152" i="9"/>
  <c r="O152" i="9"/>
  <c r="M152" i="9"/>
  <c r="K152" i="9"/>
  <c r="X151" i="9"/>
  <c r="W151" i="9"/>
  <c r="V151" i="9"/>
  <c r="U151" i="9"/>
  <c r="T151" i="9"/>
  <c r="S151" i="9"/>
  <c r="Q151" i="9"/>
  <c r="O151" i="9"/>
  <c r="M151" i="9"/>
  <c r="K151" i="9"/>
  <c r="X150" i="9"/>
  <c r="W150" i="9"/>
  <c r="V150" i="9"/>
  <c r="U150" i="9"/>
  <c r="T150" i="9"/>
  <c r="S150" i="9"/>
  <c r="Q150" i="9"/>
  <c r="O150" i="9"/>
  <c r="M150" i="9"/>
  <c r="K150" i="9"/>
  <c r="X149" i="9"/>
  <c r="W149" i="9"/>
  <c r="V149" i="9"/>
  <c r="U149" i="9"/>
  <c r="T149" i="9"/>
  <c r="S149" i="9"/>
  <c r="Q149" i="9"/>
  <c r="O149" i="9"/>
  <c r="M149" i="9"/>
  <c r="K149" i="9"/>
  <c r="X148" i="9"/>
  <c r="W148" i="9"/>
  <c r="V148" i="9"/>
  <c r="U148" i="9"/>
  <c r="T148" i="9"/>
  <c r="S148" i="9"/>
  <c r="Q148" i="9"/>
  <c r="O148" i="9"/>
  <c r="M148" i="9"/>
  <c r="K148" i="9"/>
  <c r="X147" i="9"/>
  <c r="W147" i="9"/>
  <c r="V147" i="9"/>
  <c r="U147" i="9"/>
  <c r="T147" i="9"/>
  <c r="S147" i="9"/>
  <c r="Q147" i="9"/>
  <c r="O147" i="9"/>
  <c r="M147" i="9"/>
  <c r="K147" i="9"/>
  <c r="X146" i="9"/>
  <c r="W146" i="9"/>
  <c r="V146" i="9"/>
  <c r="U146" i="9"/>
  <c r="T146" i="9"/>
  <c r="S146" i="9"/>
  <c r="Q146" i="9"/>
  <c r="O146" i="9"/>
  <c r="M146" i="9"/>
  <c r="K146" i="9"/>
  <c r="X145" i="9"/>
  <c r="W145" i="9"/>
  <c r="V145" i="9"/>
  <c r="U145" i="9"/>
  <c r="T145" i="9"/>
  <c r="S145" i="9"/>
  <c r="Q145" i="9"/>
  <c r="O145" i="9"/>
  <c r="M145" i="9"/>
  <c r="K145" i="9"/>
  <c r="X144" i="9"/>
  <c r="W144" i="9"/>
  <c r="V144" i="9"/>
  <c r="U144" i="9"/>
  <c r="T144" i="9"/>
  <c r="S144" i="9"/>
  <c r="Q144" i="9"/>
  <c r="O144" i="9"/>
  <c r="M144" i="9"/>
  <c r="K144" i="9"/>
  <c r="X143" i="9"/>
  <c r="W143" i="9"/>
  <c r="V143" i="9"/>
  <c r="U143" i="9"/>
  <c r="T143" i="9"/>
  <c r="S143" i="9"/>
  <c r="Q143" i="9"/>
  <c r="O143" i="9"/>
  <c r="M143" i="9"/>
  <c r="K143" i="9"/>
  <c r="X142" i="9"/>
  <c r="W142" i="9"/>
  <c r="V142" i="9"/>
  <c r="U142" i="9"/>
  <c r="T142" i="9"/>
  <c r="S142" i="9"/>
  <c r="Q142" i="9"/>
  <c r="O142" i="9"/>
  <c r="M142" i="9"/>
  <c r="K142" i="9"/>
  <c r="X141" i="9"/>
  <c r="W141" i="9"/>
  <c r="V141" i="9"/>
  <c r="U141" i="9"/>
  <c r="T141" i="9"/>
  <c r="S141" i="9"/>
  <c r="Q141" i="9"/>
  <c r="O141" i="9"/>
  <c r="M141" i="9"/>
  <c r="K141" i="9"/>
  <c r="X140" i="9"/>
  <c r="W140" i="9"/>
  <c r="V140" i="9"/>
  <c r="U140" i="9"/>
  <c r="T140" i="9"/>
  <c r="S140" i="9"/>
  <c r="Q140" i="9"/>
  <c r="O140" i="9"/>
  <c r="M140" i="9"/>
  <c r="K140" i="9"/>
  <c r="X139" i="9"/>
  <c r="W139" i="9"/>
  <c r="V139" i="9"/>
  <c r="U139" i="9"/>
  <c r="T139" i="9"/>
  <c r="S139" i="9"/>
  <c r="Q139" i="9"/>
  <c r="O139" i="9"/>
  <c r="M139" i="9"/>
  <c r="K139" i="9"/>
  <c r="X138" i="9"/>
  <c r="W138" i="9"/>
  <c r="V138" i="9"/>
  <c r="U138" i="9"/>
  <c r="T138" i="9"/>
  <c r="S138" i="9"/>
  <c r="Q138" i="9"/>
  <c r="O138" i="9"/>
  <c r="M138" i="9"/>
  <c r="K138" i="9"/>
  <c r="X137" i="9"/>
  <c r="W137" i="9"/>
  <c r="V137" i="9"/>
  <c r="U137" i="9"/>
  <c r="T137" i="9"/>
  <c r="S137" i="9"/>
  <c r="Q137" i="9"/>
  <c r="O137" i="9"/>
  <c r="M137" i="9"/>
  <c r="K137" i="9"/>
  <c r="X136" i="9"/>
  <c r="W136" i="9"/>
  <c r="V136" i="9"/>
  <c r="U136" i="9"/>
  <c r="T136" i="9"/>
  <c r="S136" i="9"/>
  <c r="Q136" i="9"/>
  <c r="O136" i="9"/>
  <c r="M136" i="9"/>
  <c r="K136" i="9"/>
  <c r="X135" i="9"/>
  <c r="W135" i="9"/>
  <c r="V135" i="9"/>
  <c r="U135" i="9"/>
  <c r="T135" i="9"/>
  <c r="S135" i="9"/>
  <c r="Q135" i="9"/>
  <c r="O135" i="9"/>
  <c r="M135" i="9"/>
  <c r="K135" i="9"/>
  <c r="X134" i="9"/>
  <c r="W134" i="9"/>
  <c r="V134" i="9"/>
  <c r="U134" i="9"/>
  <c r="T134" i="9"/>
  <c r="S134" i="9"/>
  <c r="Q134" i="9"/>
  <c r="O134" i="9"/>
  <c r="M134" i="9"/>
  <c r="K134" i="9"/>
  <c r="X133" i="9"/>
  <c r="W133" i="9"/>
  <c r="V133" i="9"/>
  <c r="U133" i="9"/>
  <c r="T133" i="9"/>
  <c r="S133" i="9"/>
  <c r="Q133" i="9"/>
  <c r="O133" i="9"/>
  <c r="M133" i="9"/>
  <c r="K133" i="9"/>
  <c r="X132" i="9"/>
  <c r="W132" i="9"/>
  <c r="V132" i="9"/>
  <c r="U132" i="9"/>
  <c r="T132" i="9"/>
  <c r="S132" i="9"/>
  <c r="Q132" i="9"/>
  <c r="O132" i="9"/>
  <c r="M132" i="9"/>
  <c r="K132" i="9"/>
  <c r="X131" i="9"/>
  <c r="W131" i="9"/>
  <c r="V131" i="9"/>
  <c r="U131" i="9"/>
  <c r="T131" i="9"/>
  <c r="S131" i="9"/>
  <c r="Q131" i="9"/>
  <c r="O131" i="9"/>
  <c r="M131" i="9"/>
  <c r="K131" i="9"/>
  <c r="X130" i="9"/>
  <c r="W130" i="9"/>
  <c r="V130" i="9"/>
  <c r="U130" i="9"/>
  <c r="T130" i="9"/>
  <c r="S130" i="9"/>
  <c r="Q130" i="9"/>
  <c r="O130" i="9"/>
  <c r="M130" i="9"/>
  <c r="K130" i="9"/>
  <c r="X129" i="9"/>
  <c r="W129" i="9"/>
  <c r="V129" i="9"/>
  <c r="U129" i="9"/>
  <c r="T129" i="9"/>
  <c r="S129" i="9"/>
  <c r="Q129" i="9"/>
  <c r="O129" i="9"/>
  <c r="M129" i="9"/>
  <c r="K129" i="9"/>
  <c r="X128" i="9"/>
  <c r="W128" i="9"/>
  <c r="V128" i="9"/>
  <c r="U128" i="9"/>
  <c r="T128" i="9"/>
  <c r="S128" i="9"/>
  <c r="Q128" i="9"/>
  <c r="O128" i="9"/>
  <c r="M128" i="9"/>
  <c r="K128" i="9"/>
  <c r="X127" i="9"/>
  <c r="W127" i="9"/>
  <c r="V127" i="9"/>
  <c r="U127" i="9"/>
  <c r="T127" i="9"/>
  <c r="S127" i="9"/>
  <c r="Q127" i="9"/>
  <c r="O127" i="9"/>
  <c r="M127" i="9"/>
  <c r="K127" i="9"/>
  <c r="X126" i="9"/>
  <c r="W126" i="9"/>
  <c r="V126" i="9"/>
  <c r="U126" i="9"/>
  <c r="T126" i="9"/>
  <c r="S126" i="9"/>
  <c r="Q126" i="9"/>
  <c r="O126" i="9"/>
  <c r="M126" i="9"/>
  <c r="K126" i="9"/>
  <c r="X125" i="9"/>
  <c r="W125" i="9"/>
  <c r="V125" i="9"/>
  <c r="U125" i="9"/>
  <c r="T125" i="9"/>
  <c r="S125" i="9"/>
  <c r="Q125" i="9"/>
  <c r="O125" i="9"/>
  <c r="M125" i="9"/>
  <c r="K125" i="9"/>
  <c r="X124" i="9"/>
  <c r="W124" i="9"/>
  <c r="V124" i="9"/>
  <c r="U124" i="9"/>
  <c r="T124" i="9"/>
  <c r="S124" i="9"/>
  <c r="Q124" i="9"/>
  <c r="O124" i="9"/>
  <c r="M124" i="9"/>
  <c r="K124" i="9"/>
  <c r="X123" i="9"/>
  <c r="W123" i="9"/>
  <c r="V123" i="9"/>
  <c r="U123" i="9"/>
  <c r="T123" i="9"/>
  <c r="S123" i="9"/>
  <c r="Q123" i="9"/>
  <c r="O123" i="9"/>
  <c r="M123" i="9"/>
  <c r="K123" i="9"/>
  <c r="X122" i="9"/>
  <c r="W122" i="9"/>
  <c r="V122" i="9"/>
  <c r="U122" i="9"/>
  <c r="T122" i="9"/>
  <c r="S122" i="9"/>
  <c r="Q122" i="9"/>
  <c r="O122" i="9"/>
  <c r="M122" i="9"/>
  <c r="K122" i="9"/>
  <c r="X121" i="9"/>
  <c r="W121" i="9"/>
  <c r="V121" i="9"/>
  <c r="U121" i="9"/>
  <c r="T121" i="9"/>
  <c r="S121" i="9"/>
  <c r="Q121" i="9"/>
  <c r="O121" i="9"/>
  <c r="M121" i="9"/>
  <c r="K121" i="9"/>
  <c r="X120" i="9"/>
  <c r="W120" i="9"/>
  <c r="V120" i="9"/>
  <c r="U120" i="9"/>
  <c r="T120" i="9"/>
  <c r="S120" i="9"/>
  <c r="Q120" i="9"/>
  <c r="O120" i="9"/>
  <c r="M120" i="9"/>
  <c r="K120" i="9"/>
  <c r="X119" i="9"/>
  <c r="W119" i="9"/>
  <c r="V119" i="9"/>
  <c r="U119" i="9"/>
  <c r="T119" i="9"/>
  <c r="S119" i="9"/>
  <c r="Q119" i="9"/>
  <c r="O119" i="9"/>
  <c r="M119" i="9"/>
  <c r="K119" i="9"/>
  <c r="X118" i="9"/>
  <c r="W118" i="9"/>
  <c r="V118" i="9"/>
  <c r="U118" i="9"/>
  <c r="T118" i="9"/>
  <c r="S118" i="9"/>
  <c r="Q118" i="9"/>
  <c r="O118" i="9"/>
  <c r="M118" i="9"/>
  <c r="K118" i="9"/>
  <c r="X117" i="9"/>
  <c r="W117" i="9"/>
  <c r="V117" i="9"/>
  <c r="U117" i="9"/>
  <c r="T117" i="9"/>
  <c r="S117" i="9"/>
  <c r="Q117" i="9"/>
  <c r="O117" i="9"/>
  <c r="M117" i="9"/>
  <c r="K117" i="9"/>
  <c r="X116" i="9"/>
  <c r="W116" i="9"/>
  <c r="V116" i="9"/>
  <c r="U116" i="9"/>
  <c r="T116" i="9"/>
  <c r="S116" i="9"/>
  <c r="Q116" i="9"/>
  <c r="O116" i="9"/>
  <c r="M116" i="9"/>
  <c r="K116" i="9"/>
  <c r="X115" i="9"/>
  <c r="W115" i="9"/>
  <c r="V115" i="9"/>
  <c r="U115" i="9"/>
  <c r="T115" i="9"/>
  <c r="S115" i="9"/>
  <c r="Q115" i="9"/>
  <c r="O115" i="9"/>
  <c r="M115" i="9"/>
  <c r="K115" i="9"/>
  <c r="X114" i="9"/>
  <c r="W114" i="9"/>
  <c r="V114" i="9"/>
  <c r="U114" i="9"/>
  <c r="T114" i="9"/>
  <c r="S114" i="9"/>
  <c r="Q114" i="9"/>
  <c r="O114" i="9"/>
  <c r="M114" i="9"/>
  <c r="K114" i="9"/>
  <c r="X113" i="9"/>
  <c r="W113" i="9"/>
  <c r="V113" i="9"/>
  <c r="U113" i="9"/>
  <c r="T113" i="9"/>
  <c r="S113" i="9"/>
  <c r="Q113" i="9"/>
  <c r="O113" i="9"/>
  <c r="M113" i="9"/>
  <c r="K113" i="9"/>
  <c r="X112" i="9"/>
  <c r="W112" i="9"/>
  <c r="V112" i="9"/>
  <c r="U112" i="9"/>
  <c r="T112" i="9"/>
  <c r="S112" i="9"/>
  <c r="Q112" i="9"/>
  <c r="O112" i="9"/>
  <c r="M112" i="9"/>
  <c r="K112" i="9"/>
  <c r="X111" i="9"/>
  <c r="W111" i="9"/>
  <c r="V111" i="9"/>
  <c r="U111" i="9"/>
  <c r="T111" i="9"/>
  <c r="S111" i="9"/>
  <c r="Q111" i="9"/>
  <c r="O111" i="9"/>
  <c r="M111" i="9"/>
  <c r="K111" i="9"/>
  <c r="X110" i="9"/>
  <c r="W110" i="9"/>
  <c r="V110" i="9"/>
  <c r="U110" i="9"/>
  <c r="T110" i="9"/>
  <c r="S110" i="9"/>
  <c r="Q110" i="9"/>
  <c r="O110" i="9"/>
  <c r="M110" i="9"/>
  <c r="K110" i="9"/>
  <c r="X109" i="9"/>
  <c r="W109" i="9"/>
  <c r="V109" i="9"/>
  <c r="U109" i="9"/>
  <c r="T109" i="9"/>
  <c r="S109" i="9"/>
  <c r="Q109" i="9"/>
  <c r="O109" i="9"/>
  <c r="M109" i="9"/>
  <c r="K109" i="9"/>
  <c r="X108" i="9"/>
  <c r="W108" i="9"/>
  <c r="V108" i="9"/>
  <c r="U108" i="9"/>
  <c r="T108" i="9"/>
  <c r="S108" i="9"/>
  <c r="Q108" i="9"/>
  <c r="O108" i="9"/>
  <c r="M108" i="9"/>
  <c r="K108" i="9"/>
  <c r="X107" i="9"/>
  <c r="W107" i="9"/>
  <c r="V107" i="9"/>
  <c r="U107" i="9"/>
  <c r="T107" i="9"/>
  <c r="S107" i="9"/>
  <c r="Q107" i="9"/>
  <c r="O107" i="9"/>
  <c r="M107" i="9"/>
  <c r="K107" i="9"/>
  <c r="X106" i="9"/>
  <c r="W106" i="9"/>
  <c r="V106" i="9"/>
  <c r="U106" i="9"/>
  <c r="T106" i="9"/>
  <c r="S106" i="9"/>
  <c r="Q106" i="9"/>
  <c r="O106" i="9"/>
  <c r="M106" i="9"/>
  <c r="K106" i="9"/>
  <c r="X105" i="9"/>
  <c r="W105" i="9"/>
  <c r="V105" i="9"/>
  <c r="U105" i="9"/>
  <c r="T105" i="9"/>
  <c r="S105" i="9"/>
  <c r="Q105" i="9"/>
  <c r="O105" i="9"/>
  <c r="M105" i="9"/>
  <c r="K105" i="9"/>
  <c r="X104" i="9"/>
  <c r="W104" i="9"/>
  <c r="V104" i="9"/>
  <c r="U104" i="9"/>
  <c r="T104" i="9"/>
  <c r="S104" i="9"/>
  <c r="Q104" i="9"/>
  <c r="O104" i="9"/>
  <c r="M104" i="9"/>
  <c r="K104" i="9"/>
  <c r="X103" i="9"/>
  <c r="W103" i="9"/>
  <c r="V103" i="9"/>
  <c r="U103" i="9"/>
  <c r="T103" i="9"/>
  <c r="S103" i="9"/>
  <c r="Q103" i="9"/>
  <c r="O103" i="9"/>
  <c r="M103" i="9"/>
  <c r="K103" i="9"/>
  <c r="X102" i="9"/>
  <c r="W102" i="9"/>
  <c r="V102" i="9"/>
  <c r="U102" i="9"/>
  <c r="T102" i="9"/>
  <c r="S102" i="9"/>
  <c r="Q102" i="9"/>
  <c r="O102" i="9"/>
  <c r="M102" i="9"/>
  <c r="K102" i="9"/>
  <c r="X101" i="9"/>
  <c r="W101" i="9"/>
  <c r="V101" i="9"/>
  <c r="U101" i="9"/>
  <c r="T101" i="9"/>
  <c r="S101" i="9"/>
  <c r="Q101" i="9"/>
  <c r="O101" i="9"/>
  <c r="M101" i="9"/>
  <c r="K101" i="9"/>
  <c r="X100" i="9"/>
  <c r="W100" i="9"/>
  <c r="V100" i="9"/>
  <c r="U100" i="9"/>
  <c r="T100" i="9"/>
  <c r="S100" i="9"/>
  <c r="Q100" i="9"/>
  <c r="O100" i="9"/>
  <c r="M100" i="9"/>
  <c r="K100" i="9"/>
  <c r="X99" i="9"/>
  <c r="W99" i="9"/>
  <c r="V99" i="9"/>
  <c r="U99" i="9"/>
  <c r="T99" i="9"/>
  <c r="S99" i="9"/>
  <c r="Q99" i="9"/>
  <c r="O99" i="9"/>
  <c r="M99" i="9"/>
  <c r="K99" i="9"/>
  <c r="X98" i="9"/>
  <c r="W98" i="9"/>
  <c r="V98" i="9"/>
  <c r="U98" i="9"/>
  <c r="T98" i="9"/>
  <c r="S98" i="9"/>
  <c r="Q98" i="9"/>
  <c r="O98" i="9"/>
  <c r="M98" i="9"/>
  <c r="K98" i="9"/>
  <c r="X97" i="9"/>
  <c r="W97" i="9"/>
  <c r="V97" i="9"/>
  <c r="U97" i="9"/>
  <c r="T97" i="9"/>
  <c r="S97" i="9"/>
  <c r="Q97" i="9"/>
  <c r="O97" i="9"/>
  <c r="M97" i="9"/>
  <c r="K97" i="9"/>
  <c r="X96" i="9"/>
  <c r="W96" i="9"/>
  <c r="V96" i="9"/>
  <c r="U96" i="9"/>
  <c r="T96" i="9"/>
  <c r="S96" i="9"/>
  <c r="Q96" i="9"/>
  <c r="O96" i="9"/>
  <c r="M96" i="9"/>
  <c r="K96" i="9"/>
  <c r="X95" i="9"/>
  <c r="W95" i="9"/>
  <c r="V95" i="9"/>
  <c r="U95" i="9"/>
  <c r="T95" i="9"/>
  <c r="S95" i="9"/>
  <c r="Q95" i="9"/>
  <c r="O95" i="9"/>
  <c r="M95" i="9"/>
  <c r="K95" i="9"/>
  <c r="X94" i="9"/>
  <c r="W94" i="9"/>
  <c r="V94" i="9"/>
  <c r="U94" i="9"/>
  <c r="T94" i="9"/>
  <c r="S94" i="9"/>
  <c r="Q94" i="9"/>
  <c r="O94" i="9"/>
  <c r="M94" i="9"/>
  <c r="K94" i="9"/>
  <c r="X93" i="9"/>
  <c r="W93" i="9"/>
  <c r="V93" i="9"/>
  <c r="U93" i="9"/>
  <c r="T93" i="9"/>
  <c r="S93" i="9"/>
  <c r="Q93" i="9"/>
  <c r="O93" i="9"/>
  <c r="M93" i="9"/>
  <c r="K93" i="9"/>
  <c r="X92" i="9"/>
  <c r="W92" i="9"/>
  <c r="V92" i="9"/>
  <c r="U92" i="9"/>
  <c r="T92" i="9"/>
  <c r="S92" i="9"/>
  <c r="Q92" i="9"/>
  <c r="O92" i="9"/>
  <c r="M92" i="9"/>
  <c r="K92" i="9"/>
  <c r="X91" i="9"/>
  <c r="W91" i="9"/>
  <c r="V91" i="9"/>
  <c r="U91" i="9"/>
  <c r="T91" i="9"/>
  <c r="S91" i="9"/>
  <c r="Q91" i="9"/>
  <c r="O91" i="9"/>
  <c r="M91" i="9"/>
  <c r="K91" i="9"/>
  <c r="X90" i="9"/>
  <c r="W90" i="9"/>
  <c r="V90" i="9"/>
  <c r="U90" i="9"/>
  <c r="T90" i="9"/>
  <c r="S90" i="9"/>
  <c r="Q90" i="9"/>
  <c r="O90" i="9"/>
  <c r="M90" i="9"/>
  <c r="K90" i="9"/>
  <c r="X89" i="9"/>
  <c r="W89" i="9"/>
  <c r="V89" i="9"/>
  <c r="U89" i="9"/>
  <c r="T89" i="9"/>
  <c r="S89" i="9"/>
  <c r="Q89" i="9"/>
  <c r="O89" i="9"/>
  <c r="M89" i="9"/>
  <c r="K89" i="9"/>
  <c r="X88" i="9"/>
  <c r="W88" i="9"/>
  <c r="V88" i="9"/>
  <c r="U88" i="9"/>
  <c r="T88" i="9"/>
  <c r="S88" i="9"/>
  <c r="Q88" i="9"/>
  <c r="O88" i="9"/>
  <c r="M88" i="9"/>
  <c r="K88" i="9"/>
  <c r="X87" i="9"/>
  <c r="W87" i="9"/>
  <c r="V87" i="9"/>
  <c r="U87" i="9"/>
  <c r="T87" i="9"/>
  <c r="S87" i="9"/>
  <c r="Q87" i="9"/>
  <c r="O87" i="9"/>
  <c r="M87" i="9"/>
  <c r="K87" i="9"/>
  <c r="X86" i="9"/>
  <c r="W86" i="9"/>
  <c r="V86" i="9"/>
  <c r="U86" i="9"/>
  <c r="T86" i="9"/>
  <c r="S86" i="9"/>
  <c r="Q86" i="9"/>
  <c r="O86" i="9"/>
  <c r="M86" i="9"/>
  <c r="K86" i="9"/>
  <c r="X85" i="9"/>
  <c r="W85" i="9"/>
  <c r="V85" i="9"/>
  <c r="U85" i="9"/>
  <c r="T85" i="9"/>
  <c r="S85" i="9"/>
  <c r="Q85" i="9"/>
  <c r="O85" i="9"/>
  <c r="M85" i="9"/>
  <c r="K85" i="9"/>
  <c r="X84" i="9"/>
  <c r="W84" i="9"/>
  <c r="V84" i="9"/>
  <c r="U84" i="9"/>
  <c r="T84" i="9"/>
  <c r="S84" i="9"/>
  <c r="Q84" i="9"/>
  <c r="O84" i="9"/>
  <c r="M84" i="9"/>
  <c r="K84" i="9"/>
  <c r="X83" i="9"/>
  <c r="W83" i="9"/>
  <c r="V83" i="9"/>
  <c r="U83" i="9"/>
  <c r="T83" i="9"/>
  <c r="S83" i="9"/>
  <c r="Q83" i="9"/>
  <c r="O83" i="9"/>
  <c r="M83" i="9"/>
  <c r="K83" i="9"/>
  <c r="X82" i="9"/>
  <c r="W82" i="9"/>
  <c r="V82" i="9"/>
  <c r="U82" i="9"/>
  <c r="T82" i="9"/>
  <c r="S82" i="9"/>
  <c r="Q82" i="9"/>
  <c r="O82" i="9"/>
  <c r="M82" i="9"/>
  <c r="K82" i="9"/>
  <c r="X81" i="9"/>
  <c r="W81" i="9"/>
  <c r="V81" i="9"/>
  <c r="U81" i="9"/>
  <c r="T81" i="9"/>
  <c r="S81" i="9"/>
  <c r="Q81" i="9"/>
  <c r="O81" i="9"/>
  <c r="M81" i="9"/>
  <c r="K81" i="9"/>
  <c r="X80" i="9"/>
  <c r="W80" i="9"/>
  <c r="V80" i="9"/>
  <c r="U80" i="9"/>
  <c r="T80" i="9"/>
  <c r="S80" i="9"/>
  <c r="Q80" i="9"/>
  <c r="O80" i="9"/>
  <c r="M80" i="9"/>
  <c r="K80" i="9"/>
  <c r="X79" i="9"/>
  <c r="W79" i="9"/>
  <c r="V79" i="9"/>
  <c r="U79" i="9"/>
  <c r="T79" i="9"/>
  <c r="S79" i="9"/>
  <c r="Q79" i="9"/>
  <c r="O79" i="9"/>
  <c r="M79" i="9"/>
  <c r="K79" i="9"/>
  <c r="X78" i="9"/>
  <c r="W78" i="9"/>
  <c r="V78" i="9"/>
  <c r="U78" i="9"/>
  <c r="T78" i="9"/>
  <c r="S78" i="9"/>
  <c r="Q78" i="9"/>
  <c r="O78" i="9"/>
  <c r="M78" i="9"/>
  <c r="K78" i="9"/>
  <c r="X77" i="9"/>
  <c r="W77" i="9"/>
  <c r="V77" i="9"/>
  <c r="U77" i="9"/>
  <c r="T77" i="9"/>
  <c r="S77" i="9"/>
  <c r="Q77" i="9"/>
  <c r="O77" i="9"/>
  <c r="M77" i="9"/>
  <c r="K77" i="9"/>
  <c r="X76" i="9"/>
  <c r="W76" i="9"/>
  <c r="V76" i="9"/>
  <c r="U76" i="9"/>
  <c r="T76" i="9"/>
  <c r="S76" i="9"/>
  <c r="Q76" i="9"/>
  <c r="O76" i="9"/>
  <c r="M76" i="9"/>
  <c r="K76" i="9"/>
  <c r="X75" i="9"/>
  <c r="W75" i="9"/>
  <c r="V75" i="9"/>
  <c r="U75" i="9"/>
  <c r="T75" i="9"/>
  <c r="S75" i="9"/>
  <c r="Q75" i="9"/>
  <c r="O75" i="9"/>
  <c r="M75" i="9"/>
  <c r="K75" i="9"/>
  <c r="X74" i="9"/>
  <c r="W74" i="9"/>
  <c r="V74" i="9"/>
  <c r="U74" i="9"/>
  <c r="T74" i="9"/>
  <c r="S74" i="9"/>
  <c r="Q74" i="9"/>
  <c r="O74" i="9"/>
  <c r="M74" i="9"/>
  <c r="K74" i="9"/>
  <c r="X73" i="9"/>
  <c r="W73" i="9"/>
  <c r="V73" i="9"/>
  <c r="U73" i="9"/>
  <c r="T73" i="9"/>
  <c r="S73" i="9"/>
  <c r="Q73" i="9"/>
  <c r="O73" i="9"/>
  <c r="M73" i="9"/>
  <c r="K73" i="9"/>
  <c r="X72" i="9"/>
  <c r="W72" i="9"/>
  <c r="V72" i="9"/>
  <c r="U72" i="9"/>
  <c r="T72" i="9"/>
  <c r="S72" i="9"/>
  <c r="Q72" i="9"/>
  <c r="O72" i="9"/>
  <c r="M72" i="9"/>
  <c r="K72" i="9"/>
  <c r="X71" i="9"/>
  <c r="W71" i="9"/>
  <c r="V71" i="9"/>
  <c r="U71" i="9"/>
  <c r="T71" i="9"/>
  <c r="S71" i="9"/>
  <c r="Q71" i="9"/>
  <c r="O71" i="9"/>
  <c r="M71" i="9"/>
  <c r="K71" i="9"/>
  <c r="X70" i="9"/>
  <c r="W70" i="9"/>
  <c r="V70" i="9"/>
  <c r="U70" i="9"/>
  <c r="T70" i="9"/>
  <c r="S70" i="9"/>
  <c r="Q70" i="9"/>
  <c r="O70" i="9"/>
  <c r="M70" i="9"/>
  <c r="K70" i="9"/>
  <c r="X69" i="9"/>
  <c r="W69" i="9"/>
  <c r="V69" i="9"/>
  <c r="U69" i="9"/>
  <c r="T69" i="9"/>
  <c r="S69" i="9"/>
  <c r="Q69" i="9"/>
  <c r="O69" i="9"/>
  <c r="M69" i="9"/>
  <c r="K69" i="9"/>
  <c r="X68" i="9"/>
  <c r="W68" i="9"/>
  <c r="V68" i="9"/>
  <c r="U68" i="9"/>
  <c r="T68" i="9"/>
  <c r="S68" i="9"/>
  <c r="Q68" i="9"/>
  <c r="O68" i="9"/>
  <c r="M68" i="9"/>
  <c r="K68" i="9"/>
  <c r="X67" i="9"/>
  <c r="W67" i="9"/>
  <c r="V67" i="9"/>
  <c r="U67" i="9"/>
  <c r="T67" i="9"/>
  <c r="S67" i="9"/>
  <c r="Q67" i="9"/>
  <c r="O67" i="9"/>
  <c r="M67" i="9"/>
  <c r="K67" i="9"/>
  <c r="X66" i="9"/>
  <c r="W66" i="9"/>
  <c r="V66" i="9"/>
  <c r="U66" i="9"/>
  <c r="T66" i="9"/>
  <c r="S66" i="9"/>
  <c r="Q66" i="9"/>
  <c r="O66" i="9"/>
  <c r="M66" i="9"/>
  <c r="K66" i="9"/>
  <c r="X65" i="9"/>
  <c r="W65" i="9"/>
  <c r="V65" i="9"/>
  <c r="U65" i="9"/>
  <c r="T65" i="9"/>
  <c r="S65" i="9"/>
  <c r="Q65" i="9"/>
  <c r="O65" i="9"/>
  <c r="M65" i="9"/>
  <c r="K65" i="9"/>
  <c r="X64" i="9"/>
  <c r="W64" i="9"/>
  <c r="V64" i="9"/>
  <c r="U64" i="9"/>
  <c r="T64" i="9"/>
  <c r="S64" i="9"/>
  <c r="Q64" i="9"/>
  <c r="O64" i="9"/>
  <c r="M64" i="9"/>
  <c r="K64" i="9"/>
  <c r="X63" i="9"/>
  <c r="W63" i="9"/>
  <c r="V63" i="9"/>
  <c r="U63" i="9"/>
  <c r="T63" i="9"/>
  <c r="S63" i="9"/>
  <c r="Q63" i="9"/>
  <c r="O63" i="9"/>
  <c r="M63" i="9"/>
  <c r="K63" i="9"/>
  <c r="X62" i="9"/>
  <c r="W62" i="9"/>
  <c r="V62" i="9"/>
  <c r="U62" i="9"/>
  <c r="T62" i="9"/>
  <c r="S62" i="9"/>
  <c r="Q62" i="9"/>
  <c r="O62" i="9"/>
  <c r="M62" i="9"/>
  <c r="K62" i="9"/>
  <c r="X61" i="9"/>
  <c r="W61" i="9"/>
  <c r="V61" i="9"/>
  <c r="U61" i="9"/>
  <c r="T61" i="9"/>
  <c r="S61" i="9"/>
  <c r="Q61" i="9"/>
  <c r="O61" i="9"/>
  <c r="M61" i="9"/>
  <c r="K61" i="9"/>
  <c r="X60" i="9"/>
  <c r="W60" i="9"/>
  <c r="V60" i="9"/>
  <c r="U60" i="9"/>
  <c r="T60" i="9"/>
  <c r="S60" i="9"/>
  <c r="Q60" i="9"/>
  <c r="O60" i="9"/>
  <c r="M60" i="9"/>
  <c r="K60" i="9"/>
  <c r="X59" i="9"/>
  <c r="W59" i="9"/>
  <c r="V59" i="9"/>
  <c r="U59" i="9"/>
  <c r="T59" i="9"/>
  <c r="S59" i="9"/>
  <c r="Q59" i="9"/>
  <c r="O59" i="9"/>
  <c r="M59" i="9"/>
  <c r="K59" i="9"/>
  <c r="X58" i="9"/>
  <c r="W58" i="9"/>
  <c r="V58" i="9"/>
  <c r="U58" i="9"/>
  <c r="T58" i="9"/>
  <c r="S58" i="9"/>
  <c r="Q58" i="9"/>
  <c r="O58" i="9"/>
  <c r="M58" i="9"/>
  <c r="K58" i="9"/>
  <c r="X57" i="9"/>
  <c r="W57" i="9"/>
  <c r="V57" i="9"/>
  <c r="U57" i="9"/>
  <c r="T57" i="9"/>
  <c r="S57" i="9"/>
  <c r="Q57" i="9"/>
  <c r="O57" i="9"/>
  <c r="M57" i="9"/>
  <c r="K57" i="9"/>
  <c r="X56" i="9"/>
  <c r="W56" i="9"/>
  <c r="V56" i="9"/>
  <c r="U56" i="9"/>
  <c r="T56" i="9"/>
  <c r="S56" i="9"/>
  <c r="Q56" i="9"/>
  <c r="O56" i="9"/>
  <c r="M56" i="9"/>
  <c r="K56" i="9"/>
  <c r="X55" i="9"/>
  <c r="W55" i="9"/>
  <c r="V55" i="9"/>
  <c r="U55" i="9"/>
  <c r="T55" i="9"/>
  <c r="S55" i="9"/>
  <c r="Q55" i="9"/>
  <c r="O55" i="9"/>
  <c r="M55" i="9"/>
  <c r="K55" i="9"/>
  <c r="X54" i="9"/>
  <c r="W54" i="9"/>
  <c r="V54" i="9"/>
  <c r="U54" i="9"/>
  <c r="T54" i="9"/>
  <c r="S54" i="9"/>
  <c r="Q54" i="9"/>
  <c r="O54" i="9"/>
  <c r="M54" i="9"/>
  <c r="K54" i="9"/>
  <c r="X53" i="9"/>
  <c r="W53" i="9"/>
  <c r="V53" i="9"/>
  <c r="U53" i="9"/>
  <c r="T53" i="9"/>
  <c r="S53" i="9"/>
  <c r="Q53" i="9"/>
  <c r="O53" i="9"/>
  <c r="M53" i="9"/>
  <c r="K53" i="9"/>
  <c r="X52" i="9"/>
  <c r="W52" i="9"/>
  <c r="V52" i="9"/>
  <c r="U52" i="9"/>
  <c r="T52" i="9"/>
  <c r="S52" i="9"/>
  <c r="Q52" i="9"/>
  <c r="O52" i="9"/>
  <c r="M52" i="9"/>
  <c r="K52" i="9"/>
  <c r="X51" i="9"/>
  <c r="W51" i="9"/>
  <c r="V51" i="9"/>
  <c r="U51" i="9"/>
  <c r="T51" i="9"/>
  <c r="S51" i="9"/>
  <c r="Q51" i="9"/>
  <c r="O51" i="9"/>
  <c r="M51" i="9"/>
  <c r="K51" i="9"/>
  <c r="X50" i="9"/>
  <c r="W50" i="9"/>
  <c r="V50" i="9"/>
  <c r="U50" i="9"/>
  <c r="T50" i="9"/>
  <c r="S50" i="9"/>
  <c r="Q50" i="9"/>
  <c r="O50" i="9"/>
  <c r="M50" i="9"/>
  <c r="K50" i="9"/>
  <c r="X49" i="9"/>
  <c r="W49" i="9"/>
  <c r="V49" i="9"/>
  <c r="U49" i="9"/>
  <c r="T49" i="9"/>
  <c r="S49" i="9"/>
  <c r="Q49" i="9"/>
  <c r="O49" i="9"/>
  <c r="M49" i="9"/>
  <c r="K49" i="9"/>
  <c r="X48" i="9"/>
  <c r="W48" i="9"/>
  <c r="V48" i="9"/>
  <c r="U48" i="9"/>
  <c r="T48" i="9"/>
  <c r="S48" i="9"/>
  <c r="Q48" i="9"/>
  <c r="O48" i="9"/>
  <c r="M48" i="9"/>
  <c r="K48" i="9"/>
  <c r="X47" i="9"/>
  <c r="W47" i="9"/>
  <c r="V47" i="9"/>
  <c r="U47" i="9"/>
  <c r="T47" i="9"/>
  <c r="S47" i="9"/>
  <c r="Q47" i="9"/>
  <c r="O47" i="9"/>
  <c r="M47" i="9"/>
  <c r="K47" i="9"/>
  <c r="X46" i="9"/>
  <c r="W46" i="9"/>
  <c r="V46" i="9"/>
  <c r="U46" i="9"/>
  <c r="T46" i="9"/>
  <c r="S46" i="9"/>
  <c r="Q46" i="9"/>
  <c r="O46" i="9"/>
  <c r="M46" i="9"/>
  <c r="K46" i="9"/>
  <c r="X45" i="9"/>
  <c r="W45" i="9"/>
  <c r="V45" i="9"/>
  <c r="U45" i="9"/>
  <c r="T45" i="9"/>
  <c r="S45" i="9"/>
  <c r="Q45" i="9"/>
  <c r="O45" i="9"/>
  <c r="M45" i="9"/>
  <c r="K45" i="9"/>
  <c r="X44" i="9"/>
  <c r="W44" i="9"/>
  <c r="V44" i="9"/>
  <c r="U44" i="9"/>
  <c r="T44" i="9"/>
  <c r="S44" i="9"/>
  <c r="Q44" i="9"/>
  <c r="O44" i="9"/>
  <c r="M44" i="9"/>
  <c r="K44" i="9"/>
  <c r="X43" i="9"/>
  <c r="W43" i="9"/>
  <c r="V43" i="9"/>
  <c r="U43" i="9"/>
  <c r="T43" i="9"/>
  <c r="S43" i="9"/>
  <c r="Q43" i="9"/>
  <c r="O43" i="9"/>
  <c r="M43" i="9"/>
  <c r="K43" i="9"/>
  <c r="X42" i="9"/>
  <c r="W42" i="9"/>
  <c r="V42" i="9"/>
  <c r="U42" i="9"/>
  <c r="T42" i="9"/>
  <c r="S42" i="9"/>
  <c r="Q42" i="9"/>
  <c r="O42" i="9"/>
  <c r="M42" i="9"/>
  <c r="K42" i="9"/>
  <c r="X41" i="9"/>
  <c r="W41" i="9"/>
  <c r="V41" i="9"/>
  <c r="U41" i="9"/>
  <c r="T41" i="9"/>
  <c r="S41" i="9"/>
  <c r="Q41" i="9"/>
  <c r="O41" i="9"/>
  <c r="M41" i="9"/>
  <c r="K41" i="9"/>
  <c r="X40" i="9"/>
  <c r="W40" i="9"/>
  <c r="V40" i="9"/>
  <c r="U40" i="9"/>
  <c r="T40" i="9"/>
  <c r="S40" i="9"/>
  <c r="Q40" i="9"/>
  <c r="O40" i="9"/>
  <c r="M40" i="9"/>
  <c r="K40" i="9"/>
  <c r="X39" i="9"/>
  <c r="W39" i="9"/>
  <c r="V39" i="9"/>
  <c r="U39" i="9"/>
  <c r="T39" i="9"/>
  <c r="S39" i="9"/>
  <c r="Q39" i="9"/>
  <c r="O39" i="9"/>
  <c r="M39" i="9"/>
  <c r="K39" i="9"/>
  <c r="X38" i="9"/>
  <c r="W38" i="9"/>
  <c r="V38" i="9"/>
  <c r="U38" i="9"/>
  <c r="T38" i="9"/>
  <c r="S38" i="9"/>
  <c r="Q38" i="9"/>
  <c r="O38" i="9"/>
  <c r="M38" i="9"/>
  <c r="K38" i="9"/>
  <c r="X37" i="9"/>
  <c r="W37" i="9"/>
  <c r="V37" i="9"/>
  <c r="U37" i="9"/>
  <c r="T37" i="9"/>
  <c r="S37" i="9"/>
  <c r="Q37" i="9"/>
  <c r="O37" i="9"/>
  <c r="M37" i="9"/>
  <c r="K37" i="9"/>
  <c r="X36" i="9"/>
  <c r="W36" i="9"/>
  <c r="V36" i="9"/>
  <c r="U36" i="9"/>
  <c r="T36" i="9"/>
  <c r="S36" i="9"/>
  <c r="Q36" i="9"/>
  <c r="O36" i="9"/>
  <c r="M36" i="9"/>
  <c r="K36" i="9"/>
  <c r="X35" i="9"/>
  <c r="W35" i="9"/>
  <c r="V35" i="9"/>
  <c r="U35" i="9"/>
  <c r="T35" i="9"/>
  <c r="S35" i="9"/>
  <c r="Q35" i="9"/>
  <c r="O35" i="9"/>
  <c r="M35" i="9"/>
  <c r="K35" i="9"/>
  <c r="X34" i="9"/>
  <c r="W34" i="9"/>
  <c r="V34" i="9"/>
  <c r="U34" i="9"/>
  <c r="T34" i="9"/>
  <c r="S34" i="9"/>
  <c r="Q34" i="9"/>
  <c r="O34" i="9"/>
  <c r="M34" i="9"/>
  <c r="K34" i="9"/>
  <c r="X33" i="9"/>
  <c r="W33" i="9"/>
  <c r="V33" i="9"/>
  <c r="U33" i="9"/>
  <c r="T33" i="9"/>
  <c r="S33" i="9"/>
  <c r="Q33" i="9"/>
  <c r="O33" i="9"/>
  <c r="M33" i="9"/>
  <c r="K33" i="9"/>
  <c r="X32" i="9"/>
  <c r="W32" i="9"/>
  <c r="V32" i="9"/>
  <c r="U32" i="9"/>
  <c r="T32" i="9"/>
  <c r="S32" i="9"/>
  <c r="Q32" i="9"/>
  <c r="O32" i="9"/>
  <c r="M32" i="9"/>
  <c r="K32" i="9"/>
  <c r="X31" i="9"/>
  <c r="W31" i="9"/>
  <c r="V31" i="9"/>
  <c r="U31" i="9"/>
  <c r="T31" i="9"/>
  <c r="S31" i="9"/>
  <c r="Q31" i="9"/>
  <c r="O31" i="9"/>
  <c r="M31" i="9"/>
  <c r="K31" i="9"/>
  <c r="X30" i="9"/>
  <c r="W30" i="9"/>
  <c r="V30" i="9"/>
  <c r="U30" i="9"/>
  <c r="T30" i="9"/>
  <c r="S30" i="9"/>
  <c r="Q30" i="9"/>
  <c r="O30" i="9"/>
  <c r="M30" i="9"/>
  <c r="K30" i="9"/>
  <c r="X29" i="9"/>
  <c r="W29" i="9"/>
  <c r="V29" i="9"/>
  <c r="U29" i="9"/>
  <c r="T29" i="9"/>
  <c r="S29" i="9"/>
  <c r="Q29" i="9"/>
  <c r="O29" i="9"/>
  <c r="M29" i="9"/>
  <c r="K29" i="9"/>
  <c r="X28" i="9"/>
  <c r="W28" i="9"/>
  <c r="V28" i="9"/>
  <c r="U28" i="9"/>
  <c r="T28" i="9"/>
  <c r="S28" i="9"/>
  <c r="Q28" i="9"/>
  <c r="O28" i="9"/>
  <c r="M28" i="9"/>
  <c r="K28" i="9"/>
  <c r="X27" i="9"/>
  <c r="W27" i="9"/>
  <c r="V27" i="9"/>
  <c r="U27" i="9"/>
  <c r="T27" i="9"/>
  <c r="S27" i="9"/>
  <c r="Q27" i="9"/>
  <c r="O27" i="9"/>
  <c r="M27" i="9"/>
  <c r="K27" i="9"/>
  <c r="X26" i="9"/>
  <c r="W26" i="9"/>
  <c r="V26" i="9"/>
  <c r="U26" i="9"/>
  <c r="T26" i="9"/>
  <c r="S26" i="9"/>
  <c r="Q26" i="9"/>
  <c r="O26" i="9"/>
  <c r="M26" i="9"/>
  <c r="K26" i="9"/>
  <c r="X25" i="9"/>
  <c r="W25" i="9"/>
  <c r="V25" i="9"/>
  <c r="U25" i="9"/>
  <c r="T25" i="9"/>
  <c r="S25" i="9"/>
  <c r="Q25" i="9"/>
  <c r="O25" i="9"/>
  <c r="M25" i="9"/>
  <c r="K25" i="9"/>
  <c r="X24" i="9"/>
  <c r="W24" i="9"/>
  <c r="V24" i="9"/>
  <c r="U24" i="9"/>
  <c r="T24" i="9"/>
  <c r="S24" i="9"/>
  <c r="Q24" i="9"/>
  <c r="O24" i="9"/>
  <c r="M24" i="9"/>
  <c r="K24" i="9"/>
  <c r="X23" i="9"/>
  <c r="W23" i="9"/>
  <c r="V23" i="9"/>
  <c r="U23" i="9"/>
  <c r="T23" i="9"/>
  <c r="S23" i="9"/>
  <c r="Q23" i="9"/>
  <c r="O23" i="9"/>
  <c r="M23" i="9"/>
  <c r="K23" i="9"/>
  <c r="X22" i="9"/>
  <c r="W22" i="9"/>
  <c r="V22" i="9"/>
  <c r="U22" i="9"/>
  <c r="T22" i="9"/>
  <c r="S22" i="9"/>
  <c r="Q22" i="9"/>
  <c r="O22" i="9"/>
  <c r="M22" i="9"/>
  <c r="K22" i="9"/>
  <c r="X21" i="9"/>
  <c r="W21" i="9"/>
  <c r="V21" i="9"/>
  <c r="U21" i="9"/>
  <c r="T21" i="9"/>
  <c r="S21" i="9"/>
  <c r="Q21" i="9"/>
  <c r="O21" i="9"/>
  <c r="M21" i="9"/>
  <c r="K21" i="9"/>
  <c r="X20" i="9"/>
  <c r="W20" i="9"/>
  <c r="V20" i="9"/>
  <c r="U20" i="9"/>
  <c r="T20" i="9"/>
  <c r="S20" i="9"/>
  <c r="Q20" i="9"/>
  <c r="O20" i="9"/>
  <c r="M20" i="9"/>
  <c r="K20" i="9"/>
  <c r="X19" i="9"/>
  <c r="W19" i="9"/>
  <c r="V19" i="9"/>
  <c r="U19" i="9"/>
  <c r="T19" i="9"/>
  <c r="S19" i="9"/>
  <c r="Q19" i="9"/>
  <c r="O19" i="9"/>
  <c r="M19" i="9"/>
  <c r="K19" i="9"/>
  <c r="X18" i="9"/>
  <c r="W18" i="9"/>
  <c r="V18" i="9"/>
  <c r="U18" i="9"/>
  <c r="T18" i="9"/>
  <c r="S18" i="9"/>
  <c r="Q18" i="9"/>
  <c r="O18" i="9"/>
  <c r="M18" i="9"/>
  <c r="K18" i="9"/>
  <c r="X17" i="9"/>
  <c r="W17" i="9"/>
  <c r="V17" i="9"/>
  <c r="U17" i="9"/>
  <c r="T17" i="9"/>
  <c r="S17" i="9"/>
  <c r="Q17" i="9"/>
  <c r="O17" i="9"/>
  <c r="M17" i="9"/>
  <c r="K17" i="9"/>
  <c r="X16" i="9"/>
  <c r="W16" i="9"/>
  <c r="V16" i="9"/>
  <c r="U16" i="9"/>
  <c r="T16" i="9"/>
  <c r="S16" i="9"/>
  <c r="Q16" i="9"/>
  <c r="O16" i="9"/>
  <c r="M16" i="9"/>
  <c r="K16" i="9"/>
  <c r="X15" i="9"/>
  <c r="W15" i="9"/>
  <c r="V15" i="9"/>
  <c r="U15" i="9"/>
  <c r="T15" i="9"/>
  <c r="S15" i="9"/>
  <c r="Q15" i="9"/>
  <c r="O15" i="9"/>
  <c r="M15" i="9"/>
  <c r="K15" i="9"/>
  <c r="X14" i="9"/>
  <c r="W14" i="9"/>
  <c r="V14" i="9"/>
  <c r="U14" i="9"/>
  <c r="T14" i="9"/>
  <c r="S14" i="9"/>
  <c r="Q14" i="9"/>
  <c r="O14" i="9"/>
  <c r="M14" i="9"/>
  <c r="K14" i="9"/>
  <c r="X13" i="9"/>
  <c r="W13" i="9"/>
  <c r="V13" i="9"/>
  <c r="U13" i="9"/>
  <c r="T13" i="9"/>
  <c r="S13" i="9"/>
  <c r="Q13" i="9"/>
  <c r="O13" i="9"/>
  <c r="M13" i="9"/>
  <c r="K13" i="9"/>
  <c r="X12" i="9"/>
  <c r="W12" i="9"/>
  <c r="V12" i="9"/>
  <c r="U12" i="9"/>
  <c r="T12" i="9"/>
  <c r="S12" i="9"/>
  <c r="Q12" i="9"/>
  <c r="O12" i="9"/>
  <c r="M12" i="9"/>
  <c r="K12" i="9"/>
  <c r="X11" i="9"/>
  <c r="W11" i="9"/>
  <c r="V11" i="9"/>
  <c r="U11" i="9"/>
  <c r="T11" i="9"/>
  <c r="S11" i="9"/>
  <c r="Q11" i="9"/>
  <c r="O11" i="9"/>
  <c r="M11" i="9"/>
  <c r="K11" i="9"/>
  <c r="X10" i="9"/>
  <c r="W10" i="9"/>
  <c r="V10" i="9"/>
  <c r="U10" i="9"/>
  <c r="T10" i="9"/>
  <c r="S10" i="9"/>
  <c r="Q10" i="9"/>
  <c r="O10" i="9"/>
  <c r="M10" i="9"/>
  <c r="K10" i="9"/>
  <c r="X9" i="9"/>
  <c r="W9" i="9"/>
  <c r="V9" i="9"/>
  <c r="U9" i="9"/>
  <c r="T9" i="9"/>
  <c r="S9" i="9"/>
  <c r="Q9" i="9"/>
  <c r="O9" i="9"/>
  <c r="M9" i="9"/>
  <c r="K9" i="9"/>
  <c r="X8" i="9"/>
  <c r="W8" i="9"/>
  <c r="V8" i="9"/>
  <c r="U8" i="9"/>
  <c r="T8" i="9"/>
  <c r="S8" i="9"/>
  <c r="Q8" i="9"/>
  <c r="O8" i="9"/>
  <c r="M8" i="9"/>
  <c r="K8" i="9"/>
  <c r="X7" i="9"/>
  <c r="W7" i="9"/>
  <c r="V7" i="9"/>
  <c r="U7" i="9"/>
  <c r="T7" i="9"/>
  <c r="S7" i="9"/>
  <c r="Q7" i="9"/>
  <c r="O7" i="9"/>
  <c r="M7" i="9"/>
  <c r="K7" i="9"/>
  <c r="X276" i="8" l="1"/>
  <c r="W276" i="8"/>
  <c r="V276" i="8"/>
  <c r="U276" i="8"/>
  <c r="T276" i="8"/>
  <c r="S276" i="8"/>
  <c r="Q276" i="8"/>
  <c r="O276" i="8"/>
  <c r="M276" i="8"/>
  <c r="K276" i="8"/>
  <c r="X275" i="8"/>
  <c r="W275" i="8"/>
  <c r="V275" i="8"/>
  <c r="U275" i="8"/>
  <c r="T275" i="8"/>
  <c r="S275" i="8"/>
  <c r="Q275" i="8"/>
  <c r="O275" i="8"/>
  <c r="M275" i="8"/>
  <c r="K275" i="8"/>
  <c r="X274" i="8"/>
  <c r="W274" i="8"/>
  <c r="V274" i="8"/>
  <c r="U274" i="8"/>
  <c r="T274" i="8"/>
  <c r="S274" i="8"/>
  <c r="Q274" i="8"/>
  <c r="O274" i="8"/>
  <c r="M274" i="8"/>
  <c r="K274" i="8"/>
  <c r="X273" i="8"/>
  <c r="W273" i="8"/>
  <c r="V273" i="8"/>
  <c r="U273" i="8"/>
  <c r="T273" i="8"/>
  <c r="S273" i="8"/>
  <c r="Q273" i="8"/>
  <c r="O273" i="8"/>
  <c r="M273" i="8"/>
  <c r="K273" i="8"/>
  <c r="X272" i="8"/>
  <c r="W272" i="8"/>
  <c r="V272" i="8"/>
  <c r="U272" i="8"/>
  <c r="T272" i="8"/>
  <c r="S272" i="8"/>
  <c r="Q272" i="8"/>
  <c r="O272" i="8"/>
  <c r="M272" i="8"/>
  <c r="K272" i="8"/>
  <c r="X271" i="8"/>
  <c r="W271" i="8"/>
  <c r="V271" i="8"/>
  <c r="U271" i="8"/>
  <c r="T271" i="8"/>
  <c r="S271" i="8"/>
  <c r="Q271" i="8"/>
  <c r="O271" i="8"/>
  <c r="M271" i="8"/>
  <c r="K271" i="8"/>
  <c r="X270" i="8"/>
  <c r="W270" i="8"/>
  <c r="V270" i="8"/>
  <c r="U270" i="8"/>
  <c r="T270" i="8"/>
  <c r="S270" i="8"/>
  <c r="Q270" i="8"/>
  <c r="O270" i="8"/>
  <c r="M270" i="8"/>
  <c r="K270" i="8"/>
  <c r="X269" i="8"/>
  <c r="W269" i="8"/>
  <c r="V269" i="8"/>
  <c r="U269" i="8"/>
  <c r="T269" i="8"/>
  <c r="S269" i="8"/>
  <c r="Q269" i="8"/>
  <c r="O269" i="8"/>
  <c r="M269" i="8"/>
  <c r="K269" i="8"/>
  <c r="X268" i="8"/>
  <c r="W268" i="8"/>
  <c r="V268" i="8"/>
  <c r="U268" i="8"/>
  <c r="T268" i="8"/>
  <c r="S268" i="8"/>
  <c r="Q268" i="8"/>
  <c r="O268" i="8"/>
  <c r="M268" i="8"/>
  <c r="K268" i="8"/>
  <c r="X267" i="8"/>
  <c r="W267" i="8"/>
  <c r="V267" i="8"/>
  <c r="U267" i="8"/>
  <c r="T267" i="8"/>
  <c r="S267" i="8"/>
  <c r="Q267" i="8"/>
  <c r="O267" i="8"/>
  <c r="M267" i="8"/>
  <c r="K267" i="8"/>
  <c r="X266" i="8"/>
  <c r="W266" i="8"/>
  <c r="V266" i="8"/>
  <c r="U266" i="8"/>
  <c r="T266" i="8"/>
  <c r="S266" i="8"/>
  <c r="Q266" i="8"/>
  <c r="O266" i="8"/>
  <c r="M266" i="8"/>
  <c r="K266" i="8"/>
  <c r="X265" i="8"/>
  <c r="W265" i="8"/>
  <c r="V265" i="8"/>
  <c r="U265" i="8"/>
  <c r="T265" i="8"/>
  <c r="S265" i="8"/>
  <c r="Q265" i="8"/>
  <c r="O265" i="8"/>
  <c r="M265" i="8"/>
  <c r="K265" i="8"/>
  <c r="X264" i="8"/>
  <c r="W264" i="8"/>
  <c r="V264" i="8"/>
  <c r="U264" i="8"/>
  <c r="T264" i="8"/>
  <c r="S264" i="8"/>
  <c r="Q264" i="8"/>
  <c r="O264" i="8"/>
  <c r="M264" i="8"/>
  <c r="K264" i="8"/>
  <c r="X263" i="8"/>
  <c r="W263" i="8"/>
  <c r="V263" i="8"/>
  <c r="U263" i="8"/>
  <c r="T263" i="8"/>
  <c r="S263" i="8"/>
  <c r="Q263" i="8"/>
  <c r="O263" i="8"/>
  <c r="M263" i="8"/>
  <c r="K263" i="8"/>
  <c r="X262" i="8"/>
  <c r="W262" i="8"/>
  <c r="V262" i="8"/>
  <c r="U262" i="8"/>
  <c r="T262" i="8"/>
  <c r="S262" i="8"/>
  <c r="Q262" i="8"/>
  <c r="O262" i="8"/>
  <c r="M262" i="8"/>
  <c r="K262" i="8"/>
  <c r="X261" i="8"/>
  <c r="W261" i="8"/>
  <c r="V261" i="8"/>
  <c r="U261" i="8"/>
  <c r="T261" i="8"/>
  <c r="S261" i="8"/>
  <c r="Q261" i="8"/>
  <c r="O261" i="8"/>
  <c r="M261" i="8"/>
  <c r="K261" i="8"/>
  <c r="X260" i="8"/>
  <c r="W260" i="8"/>
  <c r="V260" i="8"/>
  <c r="U260" i="8"/>
  <c r="T260" i="8"/>
  <c r="S260" i="8"/>
  <c r="Q260" i="8"/>
  <c r="O260" i="8"/>
  <c r="M260" i="8"/>
  <c r="K260" i="8"/>
  <c r="X259" i="8"/>
  <c r="W259" i="8"/>
  <c r="V259" i="8"/>
  <c r="U259" i="8"/>
  <c r="T259" i="8"/>
  <c r="S259" i="8"/>
  <c r="Q259" i="8"/>
  <c r="O259" i="8"/>
  <c r="M259" i="8"/>
  <c r="K259" i="8"/>
  <c r="X258" i="8"/>
  <c r="W258" i="8"/>
  <c r="V258" i="8"/>
  <c r="U258" i="8"/>
  <c r="T258" i="8"/>
  <c r="S258" i="8"/>
  <c r="Q258" i="8"/>
  <c r="O258" i="8"/>
  <c r="M258" i="8"/>
  <c r="K258" i="8"/>
  <c r="X257" i="8"/>
  <c r="W257" i="8"/>
  <c r="V257" i="8"/>
  <c r="U257" i="8"/>
  <c r="T257" i="8"/>
  <c r="S257" i="8"/>
  <c r="Q257" i="8"/>
  <c r="O257" i="8"/>
  <c r="M257" i="8"/>
  <c r="K257" i="8"/>
  <c r="X256" i="8"/>
  <c r="W256" i="8"/>
  <c r="V256" i="8"/>
  <c r="U256" i="8"/>
  <c r="T256" i="8"/>
  <c r="S256" i="8"/>
  <c r="Q256" i="8"/>
  <c r="O256" i="8"/>
  <c r="M256" i="8"/>
  <c r="K256" i="8"/>
  <c r="X255" i="8"/>
  <c r="W255" i="8"/>
  <c r="V255" i="8"/>
  <c r="U255" i="8"/>
  <c r="T255" i="8"/>
  <c r="S255" i="8"/>
  <c r="Q255" i="8"/>
  <c r="O255" i="8"/>
  <c r="M255" i="8"/>
  <c r="K255" i="8"/>
  <c r="X254" i="8"/>
  <c r="W254" i="8"/>
  <c r="V254" i="8"/>
  <c r="U254" i="8"/>
  <c r="T254" i="8"/>
  <c r="S254" i="8"/>
  <c r="Q254" i="8"/>
  <c r="O254" i="8"/>
  <c r="M254" i="8"/>
  <c r="K254" i="8"/>
  <c r="X253" i="8"/>
  <c r="W253" i="8"/>
  <c r="V253" i="8"/>
  <c r="U253" i="8"/>
  <c r="T253" i="8"/>
  <c r="S253" i="8"/>
  <c r="Q253" i="8"/>
  <c r="O253" i="8"/>
  <c r="M253" i="8"/>
  <c r="K253" i="8"/>
  <c r="X252" i="8"/>
  <c r="W252" i="8"/>
  <c r="V252" i="8"/>
  <c r="U252" i="8"/>
  <c r="T252" i="8"/>
  <c r="S252" i="8"/>
  <c r="Q252" i="8"/>
  <c r="O252" i="8"/>
  <c r="M252" i="8"/>
  <c r="K252" i="8"/>
  <c r="X251" i="8"/>
  <c r="W251" i="8"/>
  <c r="V251" i="8"/>
  <c r="U251" i="8"/>
  <c r="T251" i="8"/>
  <c r="S251" i="8"/>
  <c r="Q251" i="8"/>
  <c r="O251" i="8"/>
  <c r="M251" i="8"/>
  <c r="K251" i="8"/>
  <c r="X250" i="8"/>
  <c r="W250" i="8"/>
  <c r="V250" i="8"/>
  <c r="U250" i="8"/>
  <c r="T250" i="8"/>
  <c r="S250" i="8"/>
  <c r="Q250" i="8"/>
  <c r="O250" i="8"/>
  <c r="M250" i="8"/>
  <c r="K250" i="8"/>
  <c r="X249" i="8"/>
  <c r="W249" i="8"/>
  <c r="V249" i="8"/>
  <c r="U249" i="8"/>
  <c r="T249" i="8"/>
  <c r="S249" i="8"/>
  <c r="Q249" i="8"/>
  <c r="O249" i="8"/>
  <c r="M249" i="8"/>
  <c r="K249" i="8"/>
  <c r="X248" i="8"/>
  <c r="W248" i="8"/>
  <c r="V248" i="8"/>
  <c r="U248" i="8"/>
  <c r="T248" i="8"/>
  <c r="S248" i="8"/>
  <c r="Q248" i="8"/>
  <c r="O248" i="8"/>
  <c r="M248" i="8"/>
  <c r="K248" i="8"/>
  <c r="X247" i="8"/>
  <c r="W247" i="8"/>
  <c r="V247" i="8"/>
  <c r="U247" i="8"/>
  <c r="T247" i="8"/>
  <c r="S247" i="8"/>
  <c r="Q247" i="8"/>
  <c r="O247" i="8"/>
  <c r="M247" i="8"/>
  <c r="K247" i="8"/>
  <c r="X246" i="8"/>
  <c r="W246" i="8"/>
  <c r="V246" i="8"/>
  <c r="U246" i="8"/>
  <c r="T246" i="8"/>
  <c r="S246" i="8"/>
  <c r="Q246" i="8"/>
  <c r="O246" i="8"/>
  <c r="M246" i="8"/>
  <c r="K246" i="8"/>
  <c r="X245" i="8"/>
  <c r="W245" i="8"/>
  <c r="V245" i="8"/>
  <c r="U245" i="8"/>
  <c r="T245" i="8"/>
  <c r="S245" i="8"/>
  <c r="Q245" i="8"/>
  <c r="O245" i="8"/>
  <c r="M245" i="8"/>
  <c r="K245" i="8"/>
  <c r="X244" i="8"/>
  <c r="W244" i="8"/>
  <c r="V244" i="8"/>
  <c r="U244" i="8"/>
  <c r="T244" i="8"/>
  <c r="S244" i="8"/>
  <c r="Q244" i="8"/>
  <c r="O244" i="8"/>
  <c r="M244" i="8"/>
  <c r="K244" i="8"/>
  <c r="X243" i="8"/>
  <c r="W243" i="8"/>
  <c r="V243" i="8"/>
  <c r="U243" i="8"/>
  <c r="T243" i="8"/>
  <c r="S243" i="8"/>
  <c r="Q243" i="8"/>
  <c r="O243" i="8"/>
  <c r="M243" i="8"/>
  <c r="K243" i="8"/>
  <c r="X242" i="8"/>
  <c r="W242" i="8"/>
  <c r="V242" i="8"/>
  <c r="U242" i="8"/>
  <c r="T242" i="8"/>
  <c r="S242" i="8"/>
  <c r="Q242" i="8"/>
  <c r="O242" i="8"/>
  <c r="M242" i="8"/>
  <c r="K242" i="8"/>
  <c r="X241" i="8"/>
  <c r="W241" i="8"/>
  <c r="V241" i="8"/>
  <c r="U241" i="8"/>
  <c r="T241" i="8"/>
  <c r="S241" i="8"/>
  <c r="Q241" i="8"/>
  <c r="O241" i="8"/>
  <c r="M241" i="8"/>
  <c r="K241" i="8"/>
  <c r="X240" i="8"/>
  <c r="W240" i="8"/>
  <c r="V240" i="8"/>
  <c r="U240" i="8"/>
  <c r="T240" i="8"/>
  <c r="S240" i="8"/>
  <c r="Q240" i="8"/>
  <c r="O240" i="8"/>
  <c r="M240" i="8"/>
  <c r="K240" i="8"/>
  <c r="X239" i="8"/>
  <c r="W239" i="8"/>
  <c r="V239" i="8"/>
  <c r="U239" i="8"/>
  <c r="T239" i="8"/>
  <c r="S239" i="8"/>
  <c r="Q239" i="8"/>
  <c r="O239" i="8"/>
  <c r="M239" i="8"/>
  <c r="K239" i="8"/>
  <c r="X238" i="8"/>
  <c r="W238" i="8"/>
  <c r="V238" i="8"/>
  <c r="U238" i="8"/>
  <c r="T238" i="8"/>
  <c r="S238" i="8"/>
  <c r="Q238" i="8"/>
  <c r="O238" i="8"/>
  <c r="M238" i="8"/>
  <c r="K238" i="8"/>
  <c r="X237" i="8"/>
  <c r="W237" i="8"/>
  <c r="V237" i="8"/>
  <c r="U237" i="8"/>
  <c r="T237" i="8"/>
  <c r="S237" i="8"/>
  <c r="Q237" i="8"/>
  <c r="O237" i="8"/>
  <c r="M237" i="8"/>
  <c r="K237" i="8"/>
  <c r="X236" i="8"/>
  <c r="W236" i="8"/>
  <c r="V236" i="8"/>
  <c r="U236" i="8"/>
  <c r="T236" i="8"/>
  <c r="S236" i="8"/>
  <c r="Q236" i="8"/>
  <c r="O236" i="8"/>
  <c r="M236" i="8"/>
  <c r="K236" i="8"/>
  <c r="X235" i="8"/>
  <c r="W235" i="8"/>
  <c r="V235" i="8"/>
  <c r="U235" i="8"/>
  <c r="T235" i="8"/>
  <c r="S235" i="8"/>
  <c r="Q235" i="8"/>
  <c r="O235" i="8"/>
  <c r="M235" i="8"/>
  <c r="K235" i="8"/>
  <c r="X234" i="8"/>
  <c r="W234" i="8"/>
  <c r="V234" i="8"/>
  <c r="U234" i="8"/>
  <c r="T234" i="8"/>
  <c r="S234" i="8"/>
  <c r="Q234" i="8"/>
  <c r="O234" i="8"/>
  <c r="M234" i="8"/>
  <c r="K234" i="8"/>
  <c r="X233" i="8"/>
  <c r="W233" i="8"/>
  <c r="V233" i="8"/>
  <c r="U233" i="8"/>
  <c r="T233" i="8"/>
  <c r="S233" i="8"/>
  <c r="Q233" i="8"/>
  <c r="O233" i="8"/>
  <c r="M233" i="8"/>
  <c r="K233" i="8"/>
  <c r="X232" i="8"/>
  <c r="W232" i="8"/>
  <c r="V232" i="8"/>
  <c r="U232" i="8"/>
  <c r="T232" i="8"/>
  <c r="S232" i="8"/>
  <c r="Q232" i="8"/>
  <c r="O232" i="8"/>
  <c r="M232" i="8"/>
  <c r="K232" i="8"/>
  <c r="X231" i="8"/>
  <c r="W231" i="8"/>
  <c r="V231" i="8"/>
  <c r="U231" i="8"/>
  <c r="T231" i="8"/>
  <c r="S231" i="8"/>
  <c r="Q231" i="8"/>
  <c r="O231" i="8"/>
  <c r="M231" i="8"/>
  <c r="K231" i="8"/>
  <c r="X230" i="8"/>
  <c r="W230" i="8"/>
  <c r="V230" i="8"/>
  <c r="U230" i="8"/>
  <c r="T230" i="8"/>
  <c r="S230" i="8"/>
  <c r="Q230" i="8"/>
  <c r="O230" i="8"/>
  <c r="M230" i="8"/>
  <c r="K230" i="8"/>
  <c r="X229" i="8"/>
  <c r="W229" i="8"/>
  <c r="V229" i="8"/>
  <c r="U229" i="8"/>
  <c r="T229" i="8"/>
  <c r="S229" i="8"/>
  <c r="Q229" i="8"/>
  <c r="O229" i="8"/>
  <c r="M229" i="8"/>
  <c r="K229" i="8"/>
  <c r="X228" i="8"/>
  <c r="W228" i="8"/>
  <c r="V228" i="8"/>
  <c r="U228" i="8"/>
  <c r="T228" i="8"/>
  <c r="S228" i="8"/>
  <c r="Q228" i="8"/>
  <c r="O228" i="8"/>
  <c r="M228" i="8"/>
  <c r="K228" i="8"/>
  <c r="X227" i="8"/>
  <c r="W227" i="8"/>
  <c r="V227" i="8"/>
  <c r="U227" i="8"/>
  <c r="T227" i="8"/>
  <c r="S227" i="8"/>
  <c r="Q227" i="8"/>
  <c r="O227" i="8"/>
  <c r="M227" i="8"/>
  <c r="K227" i="8"/>
  <c r="X226" i="8"/>
  <c r="W226" i="8"/>
  <c r="V226" i="8"/>
  <c r="U226" i="8"/>
  <c r="T226" i="8"/>
  <c r="S226" i="8"/>
  <c r="Q226" i="8"/>
  <c r="O226" i="8"/>
  <c r="M226" i="8"/>
  <c r="K226" i="8"/>
  <c r="X225" i="8"/>
  <c r="W225" i="8"/>
  <c r="V225" i="8"/>
  <c r="U225" i="8"/>
  <c r="T225" i="8"/>
  <c r="S225" i="8"/>
  <c r="Q225" i="8"/>
  <c r="O225" i="8"/>
  <c r="M225" i="8"/>
  <c r="K225" i="8"/>
  <c r="X224" i="8"/>
  <c r="W224" i="8"/>
  <c r="V224" i="8"/>
  <c r="U224" i="8"/>
  <c r="T224" i="8"/>
  <c r="S224" i="8"/>
  <c r="Q224" i="8"/>
  <c r="O224" i="8"/>
  <c r="M224" i="8"/>
  <c r="K224" i="8"/>
  <c r="X223" i="8"/>
  <c r="W223" i="8"/>
  <c r="V223" i="8"/>
  <c r="U223" i="8"/>
  <c r="T223" i="8"/>
  <c r="S223" i="8"/>
  <c r="Q223" i="8"/>
  <c r="O223" i="8"/>
  <c r="M223" i="8"/>
  <c r="K223" i="8"/>
  <c r="X222" i="8"/>
  <c r="W222" i="8"/>
  <c r="V222" i="8"/>
  <c r="U222" i="8"/>
  <c r="T222" i="8"/>
  <c r="S222" i="8"/>
  <c r="Q222" i="8"/>
  <c r="O222" i="8"/>
  <c r="M222" i="8"/>
  <c r="K222" i="8"/>
  <c r="X221" i="8"/>
  <c r="W221" i="8"/>
  <c r="V221" i="8"/>
  <c r="U221" i="8"/>
  <c r="T221" i="8"/>
  <c r="S221" i="8"/>
  <c r="Q221" i="8"/>
  <c r="O221" i="8"/>
  <c r="M221" i="8"/>
  <c r="K221" i="8"/>
  <c r="X220" i="8"/>
  <c r="W220" i="8"/>
  <c r="V220" i="8"/>
  <c r="U220" i="8"/>
  <c r="T220" i="8"/>
  <c r="S220" i="8"/>
  <c r="Q220" i="8"/>
  <c r="O220" i="8"/>
  <c r="M220" i="8"/>
  <c r="K220" i="8"/>
  <c r="X219" i="8"/>
  <c r="W219" i="8"/>
  <c r="V219" i="8"/>
  <c r="U219" i="8"/>
  <c r="T219" i="8"/>
  <c r="S219" i="8"/>
  <c r="Q219" i="8"/>
  <c r="O219" i="8"/>
  <c r="M219" i="8"/>
  <c r="K219" i="8"/>
  <c r="X218" i="8"/>
  <c r="W218" i="8"/>
  <c r="V218" i="8"/>
  <c r="U218" i="8"/>
  <c r="T218" i="8"/>
  <c r="S218" i="8"/>
  <c r="Q218" i="8"/>
  <c r="O218" i="8"/>
  <c r="M218" i="8"/>
  <c r="K218" i="8"/>
  <c r="X217" i="8"/>
  <c r="W217" i="8"/>
  <c r="V217" i="8"/>
  <c r="U217" i="8"/>
  <c r="T217" i="8"/>
  <c r="S217" i="8"/>
  <c r="Q217" i="8"/>
  <c r="O217" i="8"/>
  <c r="M217" i="8"/>
  <c r="K217" i="8"/>
  <c r="X216" i="8"/>
  <c r="W216" i="8"/>
  <c r="V216" i="8"/>
  <c r="U216" i="8"/>
  <c r="T216" i="8"/>
  <c r="S216" i="8"/>
  <c r="Q216" i="8"/>
  <c r="O216" i="8"/>
  <c r="M216" i="8"/>
  <c r="K216" i="8"/>
  <c r="X215" i="8"/>
  <c r="W215" i="8"/>
  <c r="V215" i="8"/>
  <c r="U215" i="8"/>
  <c r="T215" i="8"/>
  <c r="S215" i="8"/>
  <c r="Q215" i="8"/>
  <c r="O215" i="8"/>
  <c r="M215" i="8"/>
  <c r="K215" i="8"/>
  <c r="X214" i="8"/>
  <c r="W214" i="8"/>
  <c r="V214" i="8"/>
  <c r="U214" i="8"/>
  <c r="T214" i="8"/>
  <c r="S214" i="8"/>
  <c r="Q214" i="8"/>
  <c r="O214" i="8"/>
  <c r="M214" i="8"/>
  <c r="K214" i="8"/>
  <c r="X213" i="8"/>
  <c r="W213" i="8"/>
  <c r="V213" i="8"/>
  <c r="U213" i="8"/>
  <c r="T213" i="8"/>
  <c r="S213" i="8"/>
  <c r="Q213" i="8"/>
  <c r="O213" i="8"/>
  <c r="M213" i="8"/>
  <c r="K213" i="8"/>
  <c r="X212" i="8"/>
  <c r="W212" i="8"/>
  <c r="V212" i="8"/>
  <c r="U212" i="8"/>
  <c r="T212" i="8"/>
  <c r="S212" i="8"/>
  <c r="Q212" i="8"/>
  <c r="O212" i="8"/>
  <c r="M212" i="8"/>
  <c r="K212" i="8"/>
  <c r="X211" i="8"/>
  <c r="W211" i="8"/>
  <c r="V211" i="8"/>
  <c r="U211" i="8"/>
  <c r="T211" i="8"/>
  <c r="S211" i="8"/>
  <c r="Q211" i="8"/>
  <c r="O211" i="8"/>
  <c r="M211" i="8"/>
  <c r="K211" i="8"/>
  <c r="X210" i="8"/>
  <c r="W210" i="8"/>
  <c r="V210" i="8"/>
  <c r="U210" i="8"/>
  <c r="T210" i="8"/>
  <c r="S210" i="8"/>
  <c r="Q210" i="8"/>
  <c r="O210" i="8"/>
  <c r="M210" i="8"/>
  <c r="K210" i="8"/>
  <c r="X209" i="8"/>
  <c r="W209" i="8"/>
  <c r="V209" i="8"/>
  <c r="U209" i="8"/>
  <c r="T209" i="8"/>
  <c r="S209" i="8"/>
  <c r="Q209" i="8"/>
  <c r="O209" i="8"/>
  <c r="M209" i="8"/>
  <c r="K209" i="8"/>
  <c r="X208" i="8"/>
  <c r="W208" i="8"/>
  <c r="V208" i="8"/>
  <c r="U208" i="8"/>
  <c r="T208" i="8"/>
  <c r="S208" i="8"/>
  <c r="Q208" i="8"/>
  <c r="O208" i="8"/>
  <c r="M208" i="8"/>
  <c r="K208" i="8"/>
  <c r="X207" i="8"/>
  <c r="W207" i="8"/>
  <c r="V207" i="8"/>
  <c r="U207" i="8"/>
  <c r="T207" i="8"/>
  <c r="S207" i="8"/>
  <c r="Q207" i="8"/>
  <c r="O207" i="8"/>
  <c r="M207" i="8"/>
  <c r="K207" i="8"/>
  <c r="X206" i="8"/>
  <c r="W206" i="8"/>
  <c r="V206" i="8"/>
  <c r="U206" i="8"/>
  <c r="T206" i="8"/>
  <c r="S206" i="8"/>
  <c r="Q206" i="8"/>
  <c r="O206" i="8"/>
  <c r="M206" i="8"/>
  <c r="K206" i="8"/>
  <c r="X205" i="8"/>
  <c r="W205" i="8"/>
  <c r="V205" i="8"/>
  <c r="U205" i="8"/>
  <c r="T205" i="8"/>
  <c r="S205" i="8"/>
  <c r="Q205" i="8"/>
  <c r="O205" i="8"/>
  <c r="M205" i="8"/>
  <c r="K205" i="8"/>
  <c r="X204" i="8"/>
  <c r="W204" i="8"/>
  <c r="V204" i="8"/>
  <c r="U204" i="8"/>
  <c r="T204" i="8"/>
  <c r="S204" i="8"/>
  <c r="Q204" i="8"/>
  <c r="O204" i="8"/>
  <c r="M204" i="8"/>
  <c r="K204" i="8"/>
  <c r="X203" i="8"/>
  <c r="W203" i="8"/>
  <c r="V203" i="8"/>
  <c r="U203" i="8"/>
  <c r="T203" i="8"/>
  <c r="S203" i="8"/>
  <c r="Q203" i="8"/>
  <c r="O203" i="8"/>
  <c r="M203" i="8"/>
  <c r="K203" i="8"/>
  <c r="X202" i="8"/>
  <c r="W202" i="8"/>
  <c r="V202" i="8"/>
  <c r="U202" i="8"/>
  <c r="T202" i="8"/>
  <c r="S202" i="8"/>
  <c r="Q202" i="8"/>
  <c r="O202" i="8"/>
  <c r="M202" i="8"/>
  <c r="K202" i="8"/>
  <c r="X201" i="8"/>
  <c r="W201" i="8"/>
  <c r="V201" i="8"/>
  <c r="U201" i="8"/>
  <c r="T201" i="8"/>
  <c r="S201" i="8"/>
  <c r="Q201" i="8"/>
  <c r="O201" i="8"/>
  <c r="M201" i="8"/>
  <c r="K201" i="8"/>
  <c r="X200" i="8"/>
  <c r="W200" i="8"/>
  <c r="V200" i="8"/>
  <c r="U200" i="8"/>
  <c r="T200" i="8"/>
  <c r="S200" i="8"/>
  <c r="Q200" i="8"/>
  <c r="O200" i="8"/>
  <c r="M200" i="8"/>
  <c r="K200" i="8"/>
  <c r="X199" i="8"/>
  <c r="W199" i="8"/>
  <c r="V199" i="8"/>
  <c r="U199" i="8"/>
  <c r="T199" i="8"/>
  <c r="S199" i="8"/>
  <c r="Q199" i="8"/>
  <c r="O199" i="8"/>
  <c r="M199" i="8"/>
  <c r="K199" i="8"/>
  <c r="X198" i="8"/>
  <c r="W198" i="8"/>
  <c r="V198" i="8"/>
  <c r="U198" i="8"/>
  <c r="T198" i="8"/>
  <c r="S198" i="8"/>
  <c r="Q198" i="8"/>
  <c r="O198" i="8"/>
  <c r="M198" i="8"/>
  <c r="K198" i="8"/>
  <c r="X197" i="8"/>
  <c r="W197" i="8"/>
  <c r="V197" i="8"/>
  <c r="U197" i="8"/>
  <c r="T197" i="8"/>
  <c r="S197" i="8"/>
  <c r="Q197" i="8"/>
  <c r="O197" i="8"/>
  <c r="M197" i="8"/>
  <c r="K197" i="8"/>
  <c r="X196" i="8"/>
  <c r="W196" i="8"/>
  <c r="V196" i="8"/>
  <c r="U196" i="8"/>
  <c r="T196" i="8"/>
  <c r="S196" i="8"/>
  <c r="Q196" i="8"/>
  <c r="O196" i="8"/>
  <c r="M196" i="8"/>
  <c r="K196" i="8"/>
  <c r="X195" i="8"/>
  <c r="W195" i="8"/>
  <c r="V195" i="8"/>
  <c r="U195" i="8"/>
  <c r="T195" i="8"/>
  <c r="S195" i="8"/>
  <c r="Q195" i="8"/>
  <c r="O195" i="8"/>
  <c r="M195" i="8"/>
  <c r="K195" i="8"/>
  <c r="X194" i="8"/>
  <c r="W194" i="8"/>
  <c r="V194" i="8"/>
  <c r="U194" i="8"/>
  <c r="T194" i="8"/>
  <c r="S194" i="8"/>
  <c r="Q194" i="8"/>
  <c r="O194" i="8"/>
  <c r="M194" i="8"/>
  <c r="K194" i="8"/>
  <c r="X193" i="8"/>
  <c r="W193" i="8"/>
  <c r="V193" i="8"/>
  <c r="U193" i="8"/>
  <c r="T193" i="8"/>
  <c r="S193" i="8"/>
  <c r="Q193" i="8"/>
  <c r="O193" i="8"/>
  <c r="M193" i="8"/>
  <c r="K193" i="8"/>
  <c r="X192" i="8"/>
  <c r="W192" i="8"/>
  <c r="V192" i="8"/>
  <c r="U192" i="8"/>
  <c r="T192" i="8"/>
  <c r="S192" i="8"/>
  <c r="Q192" i="8"/>
  <c r="O192" i="8"/>
  <c r="M192" i="8"/>
  <c r="K192" i="8"/>
  <c r="X191" i="8"/>
  <c r="W191" i="8"/>
  <c r="V191" i="8"/>
  <c r="U191" i="8"/>
  <c r="T191" i="8"/>
  <c r="S191" i="8"/>
  <c r="Q191" i="8"/>
  <c r="O191" i="8"/>
  <c r="M191" i="8"/>
  <c r="K191" i="8"/>
  <c r="X190" i="8"/>
  <c r="W190" i="8"/>
  <c r="V190" i="8"/>
  <c r="U190" i="8"/>
  <c r="T190" i="8"/>
  <c r="S190" i="8"/>
  <c r="Q190" i="8"/>
  <c r="O190" i="8"/>
  <c r="M190" i="8"/>
  <c r="K190" i="8"/>
  <c r="X189" i="8"/>
  <c r="W189" i="8"/>
  <c r="V189" i="8"/>
  <c r="U189" i="8"/>
  <c r="T189" i="8"/>
  <c r="S189" i="8"/>
  <c r="Q189" i="8"/>
  <c r="O189" i="8"/>
  <c r="M189" i="8"/>
  <c r="K189" i="8"/>
  <c r="X188" i="8"/>
  <c r="W188" i="8"/>
  <c r="V188" i="8"/>
  <c r="U188" i="8"/>
  <c r="T188" i="8"/>
  <c r="S188" i="8"/>
  <c r="Q188" i="8"/>
  <c r="O188" i="8"/>
  <c r="M188" i="8"/>
  <c r="K188" i="8"/>
  <c r="X187" i="8"/>
  <c r="W187" i="8"/>
  <c r="V187" i="8"/>
  <c r="U187" i="8"/>
  <c r="T187" i="8"/>
  <c r="S187" i="8"/>
  <c r="Q187" i="8"/>
  <c r="O187" i="8"/>
  <c r="M187" i="8"/>
  <c r="K187" i="8"/>
  <c r="X186" i="8"/>
  <c r="W186" i="8"/>
  <c r="V186" i="8"/>
  <c r="U186" i="8"/>
  <c r="T186" i="8"/>
  <c r="S186" i="8"/>
  <c r="Q186" i="8"/>
  <c r="O186" i="8"/>
  <c r="M186" i="8"/>
  <c r="K186" i="8"/>
  <c r="X185" i="8"/>
  <c r="W185" i="8"/>
  <c r="V185" i="8"/>
  <c r="U185" i="8"/>
  <c r="T185" i="8"/>
  <c r="S185" i="8"/>
  <c r="Q185" i="8"/>
  <c r="O185" i="8"/>
  <c r="M185" i="8"/>
  <c r="K185" i="8"/>
  <c r="X184" i="8"/>
  <c r="W184" i="8"/>
  <c r="V184" i="8"/>
  <c r="U184" i="8"/>
  <c r="T184" i="8"/>
  <c r="S184" i="8"/>
  <c r="Q184" i="8"/>
  <c r="O184" i="8"/>
  <c r="M184" i="8"/>
  <c r="K184" i="8"/>
  <c r="X183" i="8"/>
  <c r="W183" i="8"/>
  <c r="V183" i="8"/>
  <c r="U183" i="8"/>
  <c r="T183" i="8"/>
  <c r="S183" i="8"/>
  <c r="Q183" i="8"/>
  <c r="O183" i="8"/>
  <c r="M183" i="8"/>
  <c r="K183" i="8"/>
  <c r="X182" i="8"/>
  <c r="W182" i="8"/>
  <c r="V182" i="8"/>
  <c r="U182" i="8"/>
  <c r="T182" i="8"/>
  <c r="S182" i="8"/>
  <c r="Q182" i="8"/>
  <c r="O182" i="8"/>
  <c r="M182" i="8"/>
  <c r="K182" i="8"/>
  <c r="X181" i="8"/>
  <c r="W181" i="8"/>
  <c r="V181" i="8"/>
  <c r="U181" i="8"/>
  <c r="T181" i="8"/>
  <c r="S181" i="8"/>
  <c r="Q181" i="8"/>
  <c r="O181" i="8"/>
  <c r="M181" i="8"/>
  <c r="K181" i="8"/>
  <c r="X180" i="8"/>
  <c r="W180" i="8"/>
  <c r="V180" i="8"/>
  <c r="U180" i="8"/>
  <c r="T180" i="8"/>
  <c r="S180" i="8"/>
  <c r="Q180" i="8"/>
  <c r="O180" i="8"/>
  <c r="M180" i="8"/>
  <c r="K180" i="8"/>
  <c r="X179" i="8"/>
  <c r="W179" i="8"/>
  <c r="V179" i="8"/>
  <c r="U179" i="8"/>
  <c r="T179" i="8"/>
  <c r="S179" i="8"/>
  <c r="Q179" i="8"/>
  <c r="O179" i="8"/>
  <c r="M179" i="8"/>
  <c r="K179" i="8"/>
  <c r="X178" i="8"/>
  <c r="W178" i="8"/>
  <c r="V178" i="8"/>
  <c r="U178" i="8"/>
  <c r="T178" i="8"/>
  <c r="S178" i="8"/>
  <c r="Q178" i="8"/>
  <c r="O178" i="8"/>
  <c r="M178" i="8"/>
  <c r="K178" i="8"/>
  <c r="X177" i="8"/>
  <c r="W177" i="8"/>
  <c r="V177" i="8"/>
  <c r="U177" i="8"/>
  <c r="T177" i="8"/>
  <c r="S177" i="8"/>
  <c r="Q177" i="8"/>
  <c r="O177" i="8"/>
  <c r="M177" i="8"/>
  <c r="K177" i="8"/>
  <c r="X176" i="8"/>
  <c r="W176" i="8"/>
  <c r="V176" i="8"/>
  <c r="U176" i="8"/>
  <c r="T176" i="8"/>
  <c r="S176" i="8"/>
  <c r="Q176" i="8"/>
  <c r="O176" i="8"/>
  <c r="M176" i="8"/>
  <c r="K176" i="8"/>
  <c r="X175" i="8"/>
  <c r="W175" i="8"/>
  <c r="V175" i="8"/>
  <c r="U175" i="8"/>
  <c r="T175" i="8"/>
  <c r="S175" i="8"/>
  <c r="Q175" i="8"/>
  <c r="O175" i="8"/>
  <c r="M175" i="8"/>
  <c r="K175" i="8"/>
  <c r="X174" i="8"/>
  <c r="W174" i="8"/>
  <c r="V174" i="8"/>
  <c r="U174" i="8"/>
  <c r="T174" i="8"/>
  <c r="S174" i="8"/>
  <c r="Q174" i="8"/>
  <c r="O174" i="8"/>
  <c r="M174" i="8"/>
  <c r="K174" i="8"/>
  <c r="X173" i="8"/>
  <c r="W173" i="8"/>
  <c r="V173" i="8"/>
  <c r="U173" i="8"/>
  <c r="T173" i="8"/>
  <c r="S173" i="8"/>
  <c r="Q173" i="8"/>
  <c r="O173" i="8"/>
  <c r="M173" i="8"/>
  <c r="K173" i="8"/>
  <c r="X172" i="8"/>
  <c r="W172" i="8"/>
  <c r="V172" i="8"/>
  <c r="U172" i="8"/>
  <c r="T172" i="8"/>
  <c r="S172" i="8"/>
  <c r="Q172" i="8"/>
  <c r="O172" i="8"/>
  <c r="M172" i="8"/>
  <c r="K172" i="8"/>
  <c r="X171" i="8"/>
  <c r="W171" i="8"/>
  <c r="V171" i="8"/>
  <c r="U171" i="8"/>
  <c r="T171" i="8"/>
  <c r="S171" i="8"/>
  <c r="Q171" i="8"/>
  <c r="O171" i="8"/>
  <c r="M171" i="8"/>
  <c r="K171" i="8"/>
  <c r="X170" i="8"/>
  <c r="W170" i="8"/>
  <c r="V170" i="8"/>
  <c r="U170" i="8"/>
  <c r="T170" i="8"/>
  <c r="S170" i="8"/>
  <c r="Q170" i="8"/>
  <c r="O170" i="8"/>
  <c r="M170" i="8"/>
  <c r="K170" i="8"/>
  <c r="X169" i="8"/>
  <c r="W169" i="8"/>
  <c r="V169" i="8"/>
  <c r="U169" i="8"/>
  <c r="T169" i="8"/>
  <c r="S169" i="8"/>
  <c r="Q169" i="8"/>
  <c r="O169" i="8"/>
  <c r="M169" i="8"/>
  <c r="K169" i="8"/>
  <c r="X168" i="8"/>
  <c r="W168" i="8"/>
  <c r="V168" i="8"/>
  <c r="U168" i="8"/>
  <c r="T168" i="8"/>
  <c r="S168" i="8"/>
  <c r="Q168" i="8"/>
  <c r="O168" i="8"/>
  <c r="M168" i="8"/>
  <c r="K168" i="8"/>
  <c r="X167" i="8"/>
  <c r="W167" i="8"/>
  <c r="V167" i="8"/>
  <c r="U167" i="8"/>
  <c r="T167" i="8"/>
  <c r="S167" i="8"/>
  <c r="Q167" i="8"/>
  <c r="O167" i="8"/>
  <c r="M167" i="8"/>
  <c r="K167" i="8"/>
  <c r="X166" i="8"/>
  <c r="W166" i="8"/>
  <c r="V166" i="8"/>
  <c r="U166" i="8"/>
  <c r="T166" i="8"/>
  <c r="S166" i="8"/>
  <c r="Q166" i="8"/>
  <c r="O166" i="8"/>
  <c r="M166" i="8"/>
  <c r="K166" i="8"/>
  <c r="X165" i="8"/>
  <c r="W165" i="8"/>
  <c r="V165" i="8"/>
  <c r="U165" i="8"/>
  <c r="T165" i="8"/>
  <c r="S165" i="8"/>
  <c r="Q165" i="8"/>
  <c r="O165" i="8"/>
  <c r="M165" i="8"/>
  <c r="K165" i="8"/>
  <c r="X164" i="8"/>
  <c r="W164" i="8"/>
  <c r="V164" i="8"/>
  <c r="U164" i="8"/>
  <c r="T164" i="8"/>
  <c r="S164" i="8"/>
  <c r="Q164" i="8"/>
  <c r="O164" i="8"/>
  <c r="M164" i="8"/>
  <c r="K164" i="8"/>
  <c r="X163" i="8"/>
  <c r="W163" i="8"/>
  <c r="V163" i="8"/>
  <c r="U163" i="8"/>
  <c r="T163" i="8"/>
  <c r="S163" i="8"/>
  <c r="Q163" i="8"/>
  <c r="O163" i="8"/>
  <c r="M163" i="8"/>
  <c r="K163" i="8"/>
  <c r="X162" i="8"/>
  <c r="W162" i="8"/>
  <c r="V162" i="8"/>
  <c r="U162" i="8"/>
  <c r="T162" i="8"/>
  <c r="S162" i="8"/>
  <c r="Q162" i="8"/>
  <c r="O162" i="8"/>
  <c r="M162" i="8"/>
  <c r="K162" i="8"/>
  <c r="X161" i="8"/>
  <c r="W161" i="8"/>
  <c r="V161" i="8"/>
  <c r="U161" i="8"/>
  <c r="T161" i="8"/>
  <c r="S161" i="8"/>
  <c r="Q161" i="8"/>
  <c r="O161" i="8"/>
  <c r="M161" i="8"/>
  <c r="K161" i="8"/>
  <c r="X160" i="8"/>
  <c r="W160" i="8"/>
  <c r="V160" i="8"/>
  <c r="U160" i="8"/>
  <c r="T160" i="8"/>
  <c r="S160" i="8"/>
  <c r="Q160" i="8"/>
  <c r="O160" i="8"/>
  <c r="M160" i="8"/>
  <c r="K160" i="8"/>
  <c r="X159" i="8"/>
  <c r="W159" i="8"/>
  <c r="V159" i="8"/>
  <c r="U159" i="8"/>
  <c r="T159" i="8"/>
  <c r="S159" i="8"/>
  <c r="Q159" i="8"/>
  <c r="O159" i="8"/>
  <c r="M159" i="8"/>
  <c r="K159" i="8"/>
  <c r="X158" i="8"/>
  <c r="W158" i="8"/>
  <c r="V158" i="8"/>
  <c r="U158" i="8"/>
  <c r="T158" i="8"/>
  <c r="S158" i="8"/>
  <c r="Q158" i="8"/>
  <c r="O158" i="8"/>
  <c r="M158" i="8"/>
  <c r="K158" i="8"/>
  <c r="X157" i="8"/>
  <c r="W157" i="8"/>
  <c r="V157" i="8"/>
  <c r="U157" i="8"/>
  <c r="T157" i="8"/>
  <c r="S157" i="8"/>
  <c r="Q157" i="8"/>
  <c r="O157" i="8"/>
  <c r="M157" i="8"/>
  <c r="K157" i="8"/>
  <c r="X156" i="8"/>
  <c r="W156" i="8"/>
  <c r="V156" i="8"/>
  <c r="U156" i="8"/>
  <c r="T156" i="8"/>
  <c r="S156" i="8"/>
  <c r="Q156" i="8"/>
  <c r="O156" i="8"/>
  <c r="M156" i="8"/>
  <c r="K156" i="8"/>
  <c r="X155" i="8"/>
  <c r="W155" i="8"/>
  <c r="V155" i="8"/>
  <c r="U155" i="8"/>
  <c r="T155" i="8"/>
  <c r="S155" i="8"/>
  <c r="Q155" i="8"/>
  <c r="O155" i="8"/>
  <c r="M155" i="8"/>
  <c r="K155" i="8"/>
  <c r="X154" i="8"/>
  <c r="W154" i="8"/>
  <c r="V154" i="8"/>
  <c r="U154" i="8"/>
  <c r="T154" i="8"/>
  <c r="S154" i="8"/>
  <c r="Q154" i="8"/>
  <c r="O154" i="8"/>
  <c r="M154" i="8"/>
  <c r="K154" i="8"/>
  <c r="X153" i="8"/>
  <c r="W153" i="8"/>
  <c r="V153" i="8"/>
  <c r="U153" i="8"/>
  <c r="T153" i="8"/>
  <c r="S153" i="8"/>
  <c r="Q153" i="8"/>
  <c r="O153" i="8"/>
  <c r="M153" i="8"/>
  <c r="K153" i="8"/>
  <c r="X152" i="8"/>
  <c r="W152" i="8"/>
  <c r="V152" i="8"/>
  <c r="U152" i="8"/>
  <c r="T152" i="8"/>
  <c r="S152" i="8"/>
  <c r="Q152" i="8"/>
  <c r="O152" i="8"/>
  <c r="M152" i="8"/>
  <c r="K152" i="8"/>
  <c r="X151" i="8"/>
  <c r="W151" i="8"/>
  <c r="V151" i="8"/>
  <c r="U151" i="8"/>
  <c r="T151" i="8"/>
  <c r="S151" i="8"/>
  <c r="Q151" i="8"/>
  <c r="O151" i="8"/>
  <c r="M151" i="8"/>
  <c r="K151" i="8"/>
  <c r="X150" i="8"/>
  <c r="W150" i="8"/>
  <c r="V150" i="8"/>
  <c r="U150" i="8"/>
  <c r="T150" i="8"/>
  <c r="S150" i="8"/>
  <c r="Q150" i="8"/>
  <c r="O150" i="8"/>
  <c r="M150" i="8"/>
  <c r="K150" i="8"/>
  <c r="X149" i="8"/>
  <c r="W149" i="8"/>
  <c r="V149" i="8"/>
  <c r="U149" i="8"/>
  <c r="T149" i="8"/>
  <c r="S149" i="8"/>
  <c r="Q149" i="8"/>
  <c r="O149" i="8"/>
  <c r="M149" i="8"/>
  <c r="K149" i="8"/>
  <c r="X148" i="8"/>
  <c r="W148" i="8"/>
  <c r="V148" i="8"/>
  <c r="U148" i="8"/>
  <c r="T148" i="8"/>
  <c r="S148" i="8"/>
  <c r="Q148" i="8"/>
  <c r="O148" i="8"/>
  <c r="M148" i="8"/>
  <c r="K148" i="8"/>
  <c r="X147" i="8"/>
  <c r="W147" i="8"/>
  <c r="V147" i="8"/>
  <c r="U147" i="8"/>
  <c r="T147" i="8"/>
  <c r="S147" i="8"/>
  <c r="Q147" i="8"/>
  <c r="O147" i="8"/>
  <c r="M147" i="8"/>
  <c r="K147" i="8"/>
  <c r="X146" i="8"/>
  <c r="W146" i="8"/>
  <c r="V146" i="8"/>
  <c r="U146" i="8"/>
  <c r="T146" i="8"/>
  <c r="S146" i="8"/>
  <c r="Q146" i="8"/>
  <c r="O146" i="8"/>
  <c r="M146" i="8"/>
  <c r="K146" i="8"/>
  <c r="X145" i="8"/>
  <c r="W145" i="8"/>
  <c r="V145" i="8"/>
  <c r="U145" i="8"/>
  <c r="T145" i="8"/>
  <c r="S145" i="8"/>
  <c r="Q145" i="8"/>
  <c r="O145" i="8"/>
  <c r="M145" i="8"/>
  <c r="K145" i="8"/>
  <c r="X144" i="8"/>
  <c r="W144" i="8"/>
  <c r="V144" i="8"/>
  <c r="U144" i="8"/>
  <c r="T144" i="8"/>
  <c r="S144" i="8"/>
  <c r="Q144" i="8"/>
  <c r="O144" i="8"/>
  <c r="M144" i="8"/>
  <c r="K144" i="8"/>
  <c r="X143" i="8"/>
  <c r="W143" i="8"/>
  <c r="V143" i="8"/>
  <c r="U143" i="8"/>
  <c r="T143" i="8"/>
  <c r="S143" i="8"/>
  <c r="Q143" i="8"/>
  <c r="O143" i="8"/>
  <c r="M143" i="8"/>
  <c r="K143" i="8"/>
  <c r="X142" i="8"/>
  <c r="W142" i="8"/>
  <c r="V142" i="8"/>
  <c r="U142" i="8"/>
  <c r="T142" i="8"/>
  <c r="S142" i="8"/>
  <c r="Q142" i="8"/>
  <c r="O142" i="8"/>
  <c r="M142" i="8"/>
  <c r="K142" i="8"/>
  <c r="X141" i="8"/>
  <c r="W141" i="8"/>
  <c r="V141" i="8"/>
  <c r="U141" i="8"/>
  <c r="T141" i="8"/>
  <c r="S141" i="8"/>
  <c r="Q141" i="8"/>
  <c r="O141" i="8"/>
  <c r="M141" i="8"/>
  <c r="K141" i="8"/>
  <c r="X140" i="8"/>
  <c r="W140" i="8"/>
  <c r="V140" i="8"/>
  <c r="U140" i="8"/>
  <c r="T140" i="8"/>
  <c r="S140" i="8"/>
  <c r="Q140" i="8"/>
  <c r="O140" i="8"/>
  <c r="M140" i="8"/>
  <c r="K140" i="8"/>
  <c r="X139" i="8"/>
  <c r="W139" i="8"/>
  <c r="V139" i="8"/>
  <c r="U139" i="8"/>
  <c r="T139" i="8"/>
  <c r="S139" i="8"/>
  <c r="Q139" i="8"/>
  <c r="O139" i="8"/>
  <c r="M139" i="8"/>
  <c r="K139" i="8"/>
  <c r="X138" i="8"/>
  <c r="W138" i="8"/>
  <c r="V138" i="8"/>
  <c r="U138" i="8"/>
  <c r="T138" i="8"/>
  <c r="S138" i="8"/>
  <c r="Q138" i="8"/>
  <c r="O138" i="8"/>
  <c r="M138" i="8"/>
  <c r="K138" i="8"/>
  <c r="X137" i="8"/>
  <c r="W137" i="8"/>
  <c r="V137" i="8"/>
  <c r="U137" i="8"/>
  <c r="T137" i="8"/>
  <c r="S137" i="8"/>
  <c r="Q137" i="8"/>
  <c r="O137" i="8"/>
  <c r="M137" i="8"/>
  <c r="K137" i="8"/>
  <c r="X136" i="8"/>
  <c r="W136" i="8"/>
  <c r="V136" i="8"/>
  <c r="U136" i="8"/>
  <c r="T136" i="8"/>
  <c r="S136" i="8"/>
  <c r="Q136" i="8"/>
  <c r="O136" i="8"/>
  <c r="M136" i="8"/>
  <c r="K136" i="8"/>
  <c r="X135" i="8"/>
  <c r="W135" i="8"/>
  <c r="V135" i="8"/>
  <c r="U135" i="8"/>
  <c r="T135" i="8"/>
  <c r="S135" i="8"/>
  <c r="Q135" i="8"/>
  <c r="O135" i="8"/>
  <c r="M135" i="8"/>
  <c r="K135" i="8"/>
  <c r="X134" i="8"/>
  <c r="W134" i="8"/>
  <c r="V134" i="8"/>
  <c r="U134" i="8"/>
  <c r="T134" i="8"/>
  <c r="S134" i="8"/>
  <c r="Q134" i="8"/>
  <c r="O134" i="8"/>
  <c r="M134" i="8"/>
  <c r="K134" i="8"/>
  <c r="X133" i="8"/>
  <c r="W133" i="8"/>
  <c r="V133" i="8"/>
  <c r="U133" i="8"/>
  <c r="T133" i="8"/>
  <c r="S133" i="8"/>
  <c r="Q133" i="8"/>
  <c r="O133" i="8"/>
  <c r="M133" i="8"/>
  <c r="K133" i="8"/>
  <c r="X132" i="8"/>
  <c r="W132" i="8"/>
  <c r="V132" i="8"/>
  <c r="U132" i="8"/>
  <c r="T132" i="8"/>
  <c r="S132" i="8"/>
  <c r="Q132" i="8"/>
  <c r="O132" i="8"/>
  <c r="M132" i="8"/>
  <c r="K132" i="8"/>
  <c r="X131" i="8"/>
  <c r="W131" i="8"/>
  <c r="V131" i="8"/>
  <c r="U131" i="8"/>
  <c r="T131" i="8"/>
  <c r="S131" i="8"/>
  <c r="Q131" i="8"/>
  <c r="O131" i="8"/>
  <c r="M131" i="8"/>
  <c r="K131" i="8"/>
  <c r="X130" i="8"/>
  <c r="W130" i="8"/>
  <c r="V130" i="8"/>
  <c r="U130" i="8"/>
  <c r="T130" i="8"/>
  <c r="S130" i="8"/>
  <c r="Q130" i="8"/>
  <c r="O130" i="8"/>
  <c r="M130" i="8"/>
  <c r="K130" i="8"/>
  <c r="X129" i="8"/>
  <c r="W129" i="8"/>
  <c r="V129" i="8"/>
  <c r="U129" i="8"/>
  <c r="T129" i="8"/>
  <c r="S129" i="8"/>
  <c r="Q129" i="8"/>
  <c r="O129" i="8"/>
  <c r="M129" i="8"/>
  <c r="K129" i="8"/>
  <c r="X128" i="8"/>
  <c r="W128" i="8"/>
  <c r="V128" i="8"/>
  <c r="U128" i="8"/>
  <c r="T128" i="8"/>
  <c r="S128" i="8"/>
  <c r="Q128" i="8"/>
  <c r="O128" i="8"/>
  <c r="M128" i="8"/>
  <c r="K128" i="8"/>
  <c r="X127" i="8"/>
  <c r="W127" i="8"/>
  <c r="V127" i="8"/>
  <c r="U127" i="8"/>
  <c r="T127" i="8"/>
  <c r="S127" i="8"/>
  <c r="Q127" i="8"/>
  <c r="O127" i="8"/>
  <c r="M127" i="8"/>
  <c r="K127" i="8"/>
  <c r="X126" i="8"/>
  <c r="W126" i="8"/>
  <c r="V126" i="8"/>
  <c r="U126" i="8"/>
  <c r="T126" i="8"/>
  <c r="S126" i="8"/>
  <c r="Q126" i="8"/>
  <c r="O126" i="8"/>
  <c r="M126" i="8"/>
  <c r="K126" i="8"/>
  <c r="X125" i="8"/>
  <c r="W125" i="8"/>
  <c r="V125" i="8"/>
  <c r="U125" i="8"/>
  <c r="T125" i="8"/>
  <c r="S125" i="8"/>
  <c r="Q125" i="8"/>
  <c r="O125" i="8"/>
  <c r="M125" i="8"/>
  <c r="K125" i="8"/>
  <c r="X124" i="8"/>
  <c r="W124" i="8"/>
  <c r="V124" i="8"/>
  <c r="U124" i="8"/>
  <c r="T124" i="8"/>
  <c r="S124" i="8"/>
  <c r="Q124" i="8"/>
  <c r="O124" i="8"/>
  <c r="M124" i="8"/>
  <c r="K124" i="8"/>
  <c r="X123" i="8"/>
  <c r="W123" i="8"/>
  <c r="V123" i="8"/>
  <c r="U123" i="8"/>
  <c r="T123" i="8"/>
  <c r="S123" i="8"/>
  <c r="Q123" i="8"/>
  <c r="O123" i="8"/>
  <c r="M123" i="8"/>
  <c r="K123" i="8"/>
  <c r="X122" i="8"/>
  <c r="W122" i="8"/>
  <c r="V122" i="8"/>
  <c r="U122" i="8"/>
  <c r="T122" i="8"/>
  <c r="S122" i="8"/>
  <c r="Q122" i="8"/>
  <c r="O122" i="8"/>
  <c r="M122" i="8"/>
  <c r="K122" i="8"/>
  <c r="X121" i="8"/>
  <c r="W121" i="8"/>
  <c r="V121" i="8"/>
  <c r="U121" i="8"/>
  <c r="T121" i="8"/>
  <c r="S121" i="8"/>
  <c r="Q121" i="8"/>
  <c r="O121" i="8"/>
  <c r="M121" i="8"/>
  <c r="K121" i="8"/>
  <c r="X120" i="8"/>
  <c r="W120" i="8"/>
  <c r="V120" i="8"/>
  <c r="U120" i="8"/>
  <c r="T120" i="8"/>
  <c r="S120" i="8"/>
  <c r="Q120" i="8"/>
  <c r="O120" i="8"/>
  <c r="M120" i="8"/>
  <c r="K120" i="8"/>
  <c r="X119" i="8"/>
  <c r="W119" i="8"/>
  <c r="V119" i="8"/>
  <c r="U119" i="8"/>
  <c r="T119" i="8"/>
  <c r="S119" i="8"/>
  <c r="Q119" i="8"/>
  <c r="O119" i="8"/>
  <c r="M119" i="8"/>
  <c r="K119" i="8"/>
  <c r="X118" i="8"/>
  <c r="W118" i="8"/>
  <c r="V118" i="8"/>
  <c r="U118" i="8"/>
  <c r="T118" i="8"/>
  <c r="S118" i="8"/>
  <c r="Q118" i="8"/>
  <c r="O118" i="8"/>
  <c r="M118" i="8"/>
  <c r="K118" i="8"/>
  <c r="X117" i="8"/>
  <c r="W117" i="8"/>
  <c r="V117" i="8"/>
  <c r="U117" i="8"/>
  <c r="T117" i="8"/>
  <c r="S117" i="8"/>
  <c r="Q117" i="8"/>
  <c r="O117" i="8"/>
  <c r="M117" i="8"/>
  <c r="K117" i="8"/>
  <c r="X116" i="8"/>
  <c r="W116" i="8"/>
  <c r="V116" i="8"/>
  <c r="U116" i="8"/>
  <c r="T116" i="8"/>
  <c r="S116" i="8"/>
  <c r="Q116" i="8"/>
  <c r="O116" i="8"/>
  <c r="M116" i="8"/>
  <c r="K116" i="8"/>
  <c r="X115" i="8"/>
  <c r="W115" i="8"/>
  <c r="V115" i="8"/>
  <c r="U115" i="8"/>
  <c r="T115" i="8"/>
  <c r="S115" i="8"/>
  <c r="Q115" i="8"/>
  <c r="O115" i="8"/>
  <c r="M115" i="8"/>
  <c r="K115" i="8"/>
  <c r="X114" i="8"/>
  <c r="W114" i="8"/>
  <c r="V114" i="8"/>
  <c r="U114" i="8"/>
  <c r="T114" i="8"/>
  <c r="S114" i="8"/>
  <c r="Q114" i="8"/>
  <c r="O114" i="8"/>
  <c r="M114" i="8"/>
  <c r="K114" i="8"/>
  <c r="X113" i="8"/>
  <c r="W113" i="8"/>
  <c r="V113" i="8"/>
  <c r="U113" i="8"/>
  <c r="T113" i="8"/>
  <c r="S113" i="8"/>
  <c r="Q113" i="8"/>
  <c r="O113" i="8"/>
  <c r="M113" i="8"/>
  <c r="K113" i="8"/>
  <c r="X112" i="8"/>
  <c r="W112" i="8"/>
  <c r="V112" i="8"/>
  <c r="U112" i="8"/>
  <c r="T112" i="8"/>
  <c r="S112" i="8"/>
  <c r="Q112" i="8"/>
  <c r="O112" i="8"/>
  <c r="M112" i="8"/>
  <c r="K112" i="8"/>
  <c r="X111" i="8"/>
  <c r="W111" i="8"/>
  <c r="V111" i="8"/>
  <c r="U111" i="8"/>
  <c r="T111" i="8"/>
  <c r="S111" i="8"/>
  <c r="Q111" i="8"/>
  <c r="O111" i="8"/>
  <c r="M111" i="8"/>
  <c r="K111" i="8"/>
  <c r="X110" i="8"/>
  <c r="W110" i="8"/>
  <c r="V110" i="8"/>
  <c r="U110" i="8"/>
  <c r="T110" i="8"/>
  <c r="S110" i="8"/>
  <c r="Q110" i="8"/>
  <c r="O110" i="8"/>
  <c r="M110" i="8"/>
  <c r="K110" i="8"/>
  <c r="X109" i="8"/>
  <c r="W109" i="8"/>
  <c r="V109" i="8"/>
  <c r="U109" i="8"/>
  <c r="T109" i="8"/>
  <c r="S109" i="8"/>
  <c r="Q109" i="8"/>
  <c r="O109" i="8"/>
  <c r="M109" i="8"/>
  <c r="K109" i="8"/>
  <c r="X108" i="8"/>
  <c r="W108" i="8"/>
  <c r="V108" i="8"/>
  <c r="U108" i="8"/>
  <c r="T108" i="8"/>
  <c r="S108" i="8"/>
  <c r="Q108" i="8"/>
  <c r="O108" i="8"/>
  <c r="M108" i="8"/>
  <c r="K108" i="8"/>
  <c r="X107" i="8"/>
  <c r="W107" i="8"/>
  <c r="V107" i="8"/>
  <c r="U107" i="8"/>
  <c r="T107" i="8"/>
  <c r="S107" i="8"/>
  <c r="Q107" i="8"/>
  <c r="O107" i="8"/>
  <c r="M107" i="8"/>
  <c r="K107" i="8"/>
  <c r="X106" i="8"/>
  <c r="W106" i="8"/>
  <c r="V106" i="8"/>
  <c r="U106" i="8"/>
  <c r="T106" i="8"/>
  <c r="S106" i="8"/>
  <c r="Q106" i="8"/>
  <c r="O106" i="8"/>
  <c r="M106" i="8"/>
  <c r="K106" i="8"/>
  <c r="X105" i="8"/>
  <c r="W105" i="8"/>
  <c r="V105" i="8"/>
  <c r="U105" i="8"/>
  <c r="T105" i="8"/>
  <c r="S105" i="8"/>
  <c r="Q105" i="8"/>
  <c r="O105" i="8"/>
  <c r="M105" i="8"/>
  <c r="K105" i="8"/>
  <c r="X104" i="8"/>
  <c r="W104" i="8"/>
  <c r="V104" i="8"/>
  <c r="U104" i="8"/>
  <c r="T104" i="8"/>
  <c r="S104" i="8"/>
  <c r="Q104" i="8"/>
  <c r="O104" i="8"/>
  <c r="M104" i="8"/>
  <c r="K104" i="8"/>
  <c r="X103" i="8"/>
  <c r="W103" i="8"/>
  <c r="V103" i="8"/>
  <c r="U103" i="8"/>
  <c r="T103" i="8"/>
  <c r="S103" i="8"/>
  <c r="Q103" i="8"/>
  <c r="O103" i="8"/>
  <c r="M103" i="8"/>
  <c r="K103" i="8"/>
  <c r="X102" i="8"/>
  <c r="W102" i="8"/>
  <c r="V102" i="8"/>
  <c r="U102" i="8"/>
  <c r="T102" i="8"/>
  <c r="S102" i="8"/>
  <c r="Q102" i="8"/>
  <c r="O102" i="8"/>
  <c r="M102" i="8"/>
  <c r="K102" i="8"/>
  <c r="X101" i="8"/>
  <c r="W101" i="8"/>
  <c r="V101" i="8"/>
  <c r="U101" i="8"/>
  <c r="T101" i="8"/>
  <c r="S101" i="8"/>
  <c r="Q101" i="8"/>
  <c r="O101" i="8"/>
  <c r="M101" i="8"/>
  <c r="K101" i="8"/>
  <c r="X100" i="8"/>
  <c r="W100" i="8"/>
  <c r="V100" i="8"/>
  <c r="U100" i="8"/>
  <c r="T100" i="8"/>
  <c r="S100" i="8"/>
  <c r="Q100" i="8"/>
  <c r="O100" i="8"/>
  <c r="M100" i="8"/>
  <c r="K100" i="8"/>
  <c r="X99" i="8"/>
  <c r="W99" i="8"/>
  <c r="V99" i="8"/>
  <c r="U99" i="8"/>
  <c r="T99" i="8"/>
  <c r="S99" i="8"/>
  <c r="Q99" i="8"/>
  <c r="O99" i="8"/>
  <c r="M99" i="8"/>
  <c r="K99" i="8"/>
  <c r="X98" i="8"/>
  <c r="W98" i="8"/>
  <c r="V98" i="8"/>
  <c r="U98" i="8"/>
  <c r="T98" i="8"/>
  <c r="S98" i="8"/>
  <c r="Q98" i="8"/>
  <c r="O98" i="8"/>
  <c r="M98" i="8"/>
  <c r="K98" i="8"/>
  <c r="X97" i="8"/>
  <c r="W97" i="8"/>
  <c r="V97" i="8"/>
  <c r="U97" i="8"/>
  <c r="T97" i="8"/>
  <c r="S97" i="8"/>
  <c r="Q97" i="8"/>
  <c r="O97" i="8"/>
  <c r="M97" i="8"/>
  <c r="K97" i="8"/>
  <c r="X96" i="8"/>
  <c r="W96" i="8"/>
  <c r="V96" i="8"/>
  <c r="U96" i="8"/>
  <c r="T96" i="8"/>
  <c r="S96" i="8"/>
  <c r="Q96" i="8"/>
  <c r="O96" i="8"/>
  <c r="M96" i="8"/>
  <c r="K96" i="8"/>
  <c r="X95" i="8"/>
  <c r="W95" i="8"/>
  <c r="V95" i="8"/>
  <c r="U95" i="8"/>
  <c r="T95" i="8"/>
  <c r="S95" i="8"/>
  <c r="Q95" i="8"/>
  <c r="O95" i="8"/>
  <c r="M95" i="8"/>
  <c r="K95" i="8"/>
  <c r="X94" i="8"/>
  <c r="W94" i="8"/>
  <c r="V94" i="8"/>
  <c r="U94" i="8"/>
  <c r="T94" i="8"/>
  <c r="S94" i="8"/>
  <c r="Q94" i="8"/>
  <c r="O94" i="8"/>
  <c r="M94" i="8"/>
  <c r="K94" i="8"/>
  <c r="X93" i="8"/>
  <c r="W93" i="8"/>
  <c r="V93" i="8"/>
  <c r="U93" i="8"/>
  <c r="T93" i="8"/>
  <c r="S93" i="8"/>
  <c r="Q93" i="8"/>
  <c r="O93" i="8"/>
  <c r="M93" i="8"/>
  <c r="K93" i="8"/>
  <c r="X92" i="8"/>
  <c r="W92" i="8"/>
  <c r="V92" i="8"/>
  <c r="U92" i="8"/>
  <c r="T92" i="8"/>
  <c r="S92" i="8"/>
  <c r="Q92" i="8"/>
  <c r="O92" i="8"/>
  <c r="M92" i="8"/>
  <c r="K92" i="8"/>
  <c r="X91" i="8"/>
  <c r="W91" i="8"/>
  <c r="V91" i="8"/>
  <c r="U91" i="8"/>
  <c r="T91" i="8"/>
  <c r="S91" i="8"/>
  <c r="Q91" i="8"/>
  <c r="O91" i="8"/>
  <c r="M91" i="8"/>
  <c r="K91" i="8"/>
  <c r="X90" i="8"/>
  <c r="W90" i="8"/>
  <c r="V90" i="8"/>
  <c r="U90" i="8"/>
  <c r="T90" i="8"/>
  <c r="S90" i="8"/>
  <c r="Q90" i="8"/>
  <c r="O90" i="8"/>
  <c r="M90" i="8"/>
  <c r="K90" i="8"/>
  <c r="X89" i="8"/>
  <c r="W89" i="8"/>
  <c r="V89" i="8"/>
  <c r="U89" i="8"/>
  <c r="T89" i="8"/>
  <c r="S89" i="8"/>
  <c r="Q89" i="8"/>
  <c r="O89" i="8"/>
  <c r="M89" i="8"/>
  <c r="K89" i="8"/>
  <c r="X88" i="8"/>
  <c r="W88" i="8"/>
  <c r="V88" i="8"/>
  <c r="U88" i="8"/>
  <c r="T88" i="8"/>
  <c r="S88" i="8"/>
  <c r="Q88" i="8"/>
  <c r="O88" i="8"/>
  <c r="M88" i="8"/>
  <c r="K88" i="8"/>
  <c r="X87" i="8"/>
  <c r="W87" i="8"/>
  <c r="V87" i="8"/>
  <c r="U87" i="8"/>
  <c r="T87" i="8"/>
  <c r="S87" i="8"/>
  <c r="Q87" i="8"/>
  <c r="O87" i="8"/>
  <c r="M87" i="8"/>
  <c r="K87" i="8"/>
  <c r="X86" i="8"/>
  <c r="W86" i="8"/>
  <c r="V86" i="8"/>
  <c r="U86" i="8"/>
  <c r="T86" i="8"/>
  <c r="S86" i="8"/>
  <c r="Q86" i="8"/>
  <c r="O86" i="8"/>
  <c r="M86" i="8"/>
  <c r="K86" i="8"/>
  <c r="X85" i="8"/>
  <c r="W85" i="8"/>
  <c r="V85" i="8"/>
  <c r="U85" i="8"/>
  <c r="T85" i="8"/>
  <c r="S85" i="8"/>
  <c r="Q85" i="8"/>
  <c r="O85" i="8"/>
  <c r="M85" i="8"/>
  <c r="K85" i="8"/>
  <c r="X84" i="8"/>
  <c r="W84" i="8"/>
  <c r="V84" i="8"/>
  <c r="U84" i="8"/>
  <c r="T84" i="8"/>
  <c r="S84" i="8"/>
  <c r="Q84" i="8"/>
  <c r="O84" i="8"/>
  <c r="M84" i="8"/>
  <c r="K84" i="8"/>
  <c r="X83" i="8"/>
  <c r="W83" i="8"/>
  <c r="V83" i="8"/>
  <c r="U83" i="8"/>
  <c r="T83" i="8"/>
  <c r="S83" i="8"/>
  <c r="Q83" i="8"/>
  <c r="O83" i="8"/>
  <c r="M83" i="8"/>
  <c r="K83" i="8"/>
  <c r="X82" i="8"/>
  <c r="W82" i="8"/>
  <c r="V82" i="8"/>
  <c r="U82" i="8"/>
  <c r="T82" i="8"/>
  <c r="S82" i="8"/>
  <c r="Q82" i="8"/>
  <c r="O82" i="8"/>
  <c r="M82" i="8"/>
  <c r="K82" i="8"/>
  <c r="X81" i="8"/>
  <c r="W81" i="8"/>
  <c r="V81" i="8"/>
  <c r="U81" i="8"/>
  <c r="T81" i="8"/>
  <c r="S81" i="8"/>
  <c r="Q81" i="8"/>
  <c r="O81" i="8"/>
  <c r="M81" i="8"/>
  <c r="K81" i="8"/>
  <c r="X80" i="8"/>
  <c r="W80" i="8"/>
  <c r="V80" i="8"/>
  <c r="U80" i="8"/>
  <c r="T80" i="8"/>
  <c r="S80" i="8"/>
  <c r="Q80" i="8"/>
  <c r="O80" i="8"/>
  <c r="M80" i="8"/>
  <c r="K80" i="8"/>
  <c r="X79" i="8"/>
  <c r="W79" i="8"/>
  <c r="V79" i="8"/>
  <c r="U79" i="8"/>
  <c r="T79" i="8"/>
  <c r="S79" i="8"/>
  <c r="Q79" i="8"/>
  <c r="O79" i="8"/>
  <c r="M79" i="8"/>
  <c r="K79" i="8"/>
  <c r="X78" i="8"/>
  <c r="W78" i="8"/>
  <c r="V78" i="8"/>
  <c r="U78" i="8"/>
  <c r="T78" i="8"/>
  <c r="S78" i="8"/>
  <c r="Q78" i="8"/>
  <c r="O78" i="8"/>
  <c r="M78" i="8"/>
  <c r="K78" i="8"/>
  <c r="X77" i="8"/>
  <c r="W77" i="8"/>
  <c r="V77" i="8"/>
  <c r="U77" i="8"/>
  <c r="T77" i="8"/>
  <c r="S77" i="8"/>
  <c r="Q77" i="8"/>
  <c r="O77" i="8"/>
  <c r="M77" i="8"/>
  <c r="K77" i="8"/>
  <c r="X76" i="8"/>
  <c r="W76" i="8"/>
  <c r="V76" i="8"/>
  <c r="U76" i="8"/>
  <c r="T76" i="8"/>
  <c r="S76" i="8"/>
  <c r="Q76" i="8"/>
  <c r="O76" i="8"/>
  <c r="M76" i="8"/>
  <c r="K76" i="8"/>
  <c r="X75" i="8"/>
  <c r="W75" i="8"/>
  <c r="V75" i="8"/>
  <c r="U75" i="8"/>
  <c r="T75" i="8"/>
  <c r="S75" i="8"/>
  <c r="Q75" i="8"/>
  <c r="O75" i="8"/>
  <c r="M75" i="8"/>
  <c r="K75" i="8"/>
  <c r="X74" i="8"/>
  <c r="W74" i="8"/>
  <c r="V74" i="8"/>
  <c r="U74" i="8"/>
  <c r="T74" i="8"/>
  <c r="S74" i="8"/>
  <c r="Q74" i="8"/>
  <c r="O74" i="8"/>
  <c r="M74" i="8"/>
  <c r="K74" i="8"/>
  <c r="X73" i="8"/>
  <c r="W73" i="8"/>
  <c r="V73" i="8"/>
  <c r="U73" i="8"/>
  <c r="T73" i="8"/>
  <c r="S73" i="8"/>
  <c r="Q73" i="8"/>
  <c r="O73" i="8"/>
  <c r="M73" i="8"/>
  <c r="K73" i="8"/>
  <c r="X72" i="8"/>
  <c r="W72" i="8"/>
  <c r="V72" i="8"/>
  <c r="U72" i="8"/>
  <c r="T72" i="8"/>
  <c r="S72" i="8"/>
  <c r="Q72" i="8"/>
  <c r="O72" i="8"/>
  <c r="M72" i="8"/>
  <c r="K72" i="8"/>
  <c r="X71" i="8"/>
  <c r="W71" i="8"/>
  <c r="V71" i="8"/>
  <c r="U71" i="8"/>
  <c r="T71" i="8"/>
  <c r="S71" i="8"/>
  <c r="Q71" i="8"/>
  <c r="O71" i="8"/>
  <c r="M71" i="8"/>
  <c r="K71" i="8"/>
  <c r="X70" i="8"/>
  <c r="W70" i="8"/>
  <c r="V70" i="8"/>
  <c r="U70" i="8"/>
  <c r="T70" i="8"/>
  <c r="S70" i="8"/>
  <c r="Q70" i="8"/>
  <c r="O70" i="8"/>
  <c r="M70" i="8"/>
  <c r="K70" i="8"/>
  <c r="X69" i="8"/>
  <c r="W69" i="8"/>
  <c r="V69" i="8"/>
  <c r="U69" i="8"/>
  <c r="T69" i="8"/>
  <c r="S69" i="8"/>
  <c r="Q69" i="8"/>
  <c r="O69" i="8"/>
  <c r="M69" i="8"/>
  <c r="K69" i="8"/>
  <c r="X68" i="8"/>
  <c r="W68" i="8"/>
  <c r="V68" i="8"/>
  <c r="U68" i="8"/>
  <c r="T68" i="8"/>
  <c r="S68" i="8"/>
  <c r="Q68" i="8"/>
  <c r="O68" i="8"/>
  <c r="M68" i="8"/>
  <c r="K68" i="8"/>
  <c r="X67" i="8"/>
  <c r="W67" i="8"/>
  <c r="V67" i="8"/>
  <c r="U67" i="8"/>
  <c r="T67" i="8"/>
  <c r="S67" i="8"/>
  <c r="Q67" i="8"/>
  <c r="O67" i="8"/>
  <c r="M67" i="8"/>
  <c r="K67" i="8"/>
  <c r="X66" i="8"/>
  <c r="W66" i="8"/>
  <c r="V66" i="8"/>
  <c r="U66" i="8"/>
  <c r="T66" i="8"/>
  <c r="S66" i="8"/>
  <c r="Q66" i="8"/>
  <c r="O66" i="8"/>
  <c r="M66" i="8"/>
  <c r="K66" i="8"/>
  <c r="X65" i="8"/>
  <c r="W65" i="8"/>
  <c r="V65" i="8"/>
  <c r="U65" i="8"/>
  <c r="T65" i="8"/>
  <c r="S65" i="8"/>
  <c r="Q65" i="8"/>
  <c r="O65" i="8"/>
  <c r="M65" i="8"/>
  <c r="K65" i="8"/>
  <c r="X64" i="8"/>
  <c r="W64" i="8"/>
  <c r="V64" i="8"/>
  <c r="U64" i="8"/>
  <c r="T64" i="8"/>
  <c r="S64" i="8"/>
  <c r="Q64" i="8"/>
  <c r="O64" i="8"/>
  <c r="M64" i="8"/>
  <c r="K64" i="8"/>
  <c r="X63" i="8"/>
  <c r="W63" i="8"/>
  <c r="V63" i="8"/>
  <c r="U63" i="8"/>
  <c r="T63" i="8"/>
  <c r="S63" i="8"/>
  <c r="Q63" i="8"/>
  <c r="O63" i="8"/>
  <c r="M63" i="8"/>
  <c r="K63" i="8"/>
  <c r="X62" i="8"/>
  <c r="W62" i="8"/>
  <c r="V62" i="8"/>
  <c r="U62" i="8"/>
  <c r="T62" i="8"/>
  <c r="S62" i="8"/>
  <c r="Q62" i="8"/>
  <c r="O62" i="8"/>
  <c r="M62" i="8"/>
  <c r="K62" i="8"/>
  <c r="X61" i="8"/>
  <c r="W61" i="8"/>
  <c r="V61" i="8"/>
  <c r="U61" i="8"/>
  <c r="T61" i="8"/>
  <c r="S61" i="8"/>
  <c r="Q61" i="8"/>
  <c r="O61" i="8"/>
  <c r="M61" i="8"/>
  <c r="K61" i="8"/>
  <c r="X60" i="8"/>
  <c r="W60" i="8"/>
  <c r="V60" i="8"/>
  <c r="U60" i="8"/>
  <c r="T60" i="8"/>
  <c r="S60" i="8"/>
  <c r="Q60" i="8"/>
  <c r="O60" i="8"/>
  <c r="M60" i="8"/>
  <c r="K60" i="8"/>
  <c r="X59" i="8"/>
  <c r="W59" i="8"/>
  <c r="V59" i="8"/>
  <c r="U59" i="8"/>
  <c r="T59" i="8"/>
  <c r="S59" i="8"/>
  <c r="Q59" i="8"/>
  <c r="O59" i="8"/>
  <c r="M59" i="8"/>
  <c r="K59" i="8"/>
  <c r="X58" i="8"/>
  <c r="W58" i="8"/>
  <c r="V58" i="8"/>
  <c r="U58" i="8"/>
  <c r="T58" i="8"/>
  <c r="S58" i="8"/>
  <c r="Q58" i="8"/>
  <c r="O58" i="8"/>
  <c r="M58" i="8"/>
  <c r="K58" i="8"/>
  <c r="X57" i="8"/>
  <c r="W57" i="8"/>
  <c r="V57" i="8"/>
  <c r="U57" i="8"/>
  <c r="T57" i="8"/>
  <c r="S57" i="8"/>
  <c r="Q57" i="8"/>
  <c r="O57" i="8"/>
  <c r="M57" i="8"/>
  <c r="K57" i="8"/>
  <c r="X56" i="8"/>
  <c r="W56" i="8"/>
  <c r="V56" i="8"/>
  <c r="U56" i="8"/>
  <c r="T56" i="8"/>
  <c r="S56" i="8"/>
  <c r="Q56" i="8"/>
  <c r="O56" i="8"/>
  <c r="M56" i="8"/>
  <c r="K56" i="8"/>
  <c r="X55" i="8"/>
  <c r="W55" i="8"/>
  <c r="V55" i="8"/>
  <c r="U55" i="8"/>
  <c r="T55" i="8"/>
  <c r="S55" i="8"/>
  <c r="Q55" i="8"/>
  <c r="O55" i="8"/>
  <c r="M55" i="8"/>
  <c r="K55" i="8"/>
  <c r="X54" i="8"/>
  <c r="W54" i="8"/>
  <c r="V54" i="8"/>
  <c r="U54" i="8"/>
  <c r="T54" i="8"/>
  <c r="S54" i="8"/>
  <c r="Q54" i="8"/>
  <c r="O54" i="8"/>
  <c r="M54" i="8"/>
  <c r="K54" i="8"/>
  <c r="X53" i="8"/>
  <c r="W53" i="8"/>
  <c r="V53" i="8"/>
  <c r="U53" i="8"/>
  <c r="T53" i="8"/>
  <c r="S53" i="8"/>
  <c r="Q53" i="8"/>
  <c r="O53" i="8"/>
  <c r="M53" i="8"/>
  <c r="K53" i="8"/>
  <c r="X52" i="8"/>
  <c r="W52" i="8"/>
  <c r="V52" i="8"/>
  <c r="U52" i="8"/>
  <c r="T52" i="8"/>
  <c r="S52" i="8"/>
  <c r="Q52" i="8"/>
  <c r="O52" i="8"/>
  <c r="M52" i="8"/>
  <c r="K52" i="8"/>
  <c r="X51" i="8"/>
  <c r="W51" i="8"/>
  <c r="V51" i="8"/>
  <c r="U51" i="8"/>
  <c r="T51" i="8"/>
  <c r="S51" i="8"/>
  <c r="Q51" i="8"/>
  <c r="O51" i="8"/>
  <c r="M51" i="8"/>
  <c r="K51" i="8"/>
  <c r="X50" i="8"/>
  <c r="W50" i="8"/>
  <c r="V50" i="8"/>
  <c r="U50" i="8"/>
  <c r="T50" i="8"/>
  <c r="S50" i="8"/>
  <c r="Q50" i="8"/>
  <c r="O50" i="8"/>
  <c r="M50" i="8"/>
  <c r="K50" i="8"/>
  <c r="X49" i="8"/>
  <c r="W49" i="8"/>
  <c r="V49" i="8"/>
  <c r="U49" i="8"/>
  <c r="T49" i="8"/>
  <c r="S49" i="8"/>
  <c r="Q49" i="8"/>
  <c r="O49" i="8"/>
  <c r="M49" i="8"/>
  <c r="K49" i="8"/>
  <c r="X48" i="8"/>
  <c r="W48" i="8"/>
  <c r="V48" i="8"/>
  <c r="U48" i="8"/>
  <c r="T48" i="8"/>
  <c r="S48" i="8"/>
  <c r="Q48" i="8"/>
  <c r="O48" i="8"/>
  <c r="M48" i="8"/>
  <c r="K48" i="8"/>
  <c r="X47" i="8"/>
  <c r="W47" i="8"/>
  <c r="V47" i="8"/>
  <c r="U47" i="8"/>
  <c r="T47" i="8"/>
  <c r="S47" i="8"/>
  <c r="Q47" i="8"/>
  <c r="O47" i="8"/>
  <c r="M47" i="8"/>
  <c r="K47" i="8"/>
  <c r="X46" i="8"/>
  <c r="W46" i="8"/>
  <c r="V46" i="8"/>
  <c r="U46" i="8"/>
  <c r="T46" i="8"/>
  <c r="S46" i="8"/>
  <c r="Q46" i="8"/>
  <c r="O46" i="8"/>
  <c r="M46" i="8"/>
  <c r="K46" i="8"/>
  <c r="X45" i="8"/>
  <c r="W45" i="8"/>
  <c r="V45" i="8"/>
  <c r="U45" i="8"/>
  <c r="T45" i="8"/>
  <c r="S45" i="8"/>
  <c r="Q45" i="8"/>
  <c r="O45" i="8"/>
  <c r="M45" i="8"/>
  <c r="K45" i="8"/>
  <c r="X44" i="8"/>
  <c r="W44" i="8"/>
  <c r="V44" i="8"/>
  <c r="U44" i="8"/>
  <c r="T44" i="8"/>
  <c r="S44" i="8"/>
  <c r="Q44" i="8"/>
  <c r="O44" i="8"/>
  <c r="M44" i="8"/>
  <c r="K44" i="8"/>
  <c r="X43" i="8"/>
  <c r="W43" i="8"/>
  <c r="V43" i="8"/>
  <c r="U43" i="8"/>
  <c r="T43" i="8"/>
  <c r="S43" i="8"/>
  <c r="Q43" i="8"/>
  <c r="O43" i="8"/>
  <c r="M43" i="8"/>
  <c r="K43" i="8"/>
  <c r="X42" i="8"/>
  <c r="W42" i="8"/>
  <c r="V42" i="8"/>
  <c r="U42" i="8"/>
  <c r="T42" i="8"/>
  <c r="S42" i="8"/>
  <c r="Q42" i="8"/>
  <c r="O42" i="8"/>
  <c r="M42" i="8"/>
  <c r="K42" i="8"/>
  <c r="X41" i="8"/>
  <c r="W41" i="8"/>
  <c r="V41" i="8"/>
  <c r="U41" i="8"/>
  <c r="T41" i="8"/>
  <c r="S41" i="8"/>
  <c r="Q41" i="8"/>
  <c r="O41" i="8"/>
  <c r="M41" i="8"/>
  <c r="K41" i="8"/>
  <c r="X40" i="8"/>
  <c r="W40" i="8"/>
  <c r="V40" i="8"/>
  <c r="U40" i="8"/>
  <c r="T40" i="8"/>
  <c r="S40" i="8"/>
  <c r="Q40" i="8"/>
  <c r="O40" i="8"/>
  <c r="M40" i="8"/>
  <c r="K40" i="8"/>
  <c r="X39" i="8"/>
  <c r="W39" i="8"/>
  <c r="V39" i="8"/>
  <c r="U39" i="8"/>
  <c r="T39" i="8"/>
  <c r="S39" i="8"/>
  <c r="Q39" i="8"/>
  <c r="O39" i="8"/>
  <c r="M39" i="8"/>
  <c r="K39" i="8"/>
  <c r="X38" i="8"/>
  <c r="W38" i="8"/>
  <c r="V38" i="8"/>
  <c r="U38" i="8"/>
  <c r="T38" i="8"/>
  <c r="S38" i="8"/>
  <c r="Q38" i="8"/>
  <c r="O38" i="8"/>
  <c r="M38" i="8"/>
  <c r="K38" i="8"/>
  <c r="X37" i="8"/>
  <c r="W37" i="8"/>
  <c r="V37" i="8"/>
  <c r="U37" i="8"/>
  <c r="T37" i="8"/>
  <c r="S37" i="8"/>
  <c r="Q37" i="8"/>
  <c r="O37" i="8"/>
  <c r="M37" i="8"/>
  <c r="K37" i="8"/>
  <c r="X36" i="8"/>
  <c r="W36" i="8"/>
  <c r="V36" i="8"/>
  <c r="U36" i="8"/>
  <c r="T36" i="8"/>
  <c r="S36" i="8"/>
  <c r="Q36" i="8"/>
  <c r="O36" i="8"/>
  <c r="M36" i="8"/>
  <c r="K36" i="8"/>
  <c r="X35" i="8"/>
  <c r="W35" i="8"/>
  <c r="V35" i="8"/>
  <c r="U35" i="8"/>
  <c r="T35" i="8"/>
  <c r="S35" i="8"/>
  <c r="Q35" i="8"/>
  <c r="O35" i="8"/>
  <c r="M35" i="8"/>
  <c r="K35" i="8"/>
  <c r="X34" i="8"/>
  <c r="W34" i="8"/>
  <c r="V34" i="8"/>
  <c r="U34" i="8"/>
  <c r="T34" i="8"/>
  <c r="S34" i="8"/>
  <c r="Q34" i="8"/>
  <c r="O34" i="8"/>
  <c r="M34" i="8"/>
  <c r="K34" i="8"/>
  <c r="X33" i="8"/>
  <c r="W33" i="8"/>
  <c r="V33" i="8"/>
  <c r="U33" i="8"/>
  <c r="T33" i="8"/>
  <c r="S33" i="8"/>
  <c r="Q33" i="8"/>
  <c r="O33" i="8"/>
  <c r="M33" i="8"/>
  <c r="K33" i="8"/>
  <c r="X32" i="8"/>
  <c r="W32" i="8"/>
  <c r="V32" i="8"/>
  <c r="U32" i="8"/>
  <c r="T32" i="8"/>
  <c r="S32" i="8"/>
  <c r="Q32" i="8"/>
  <c r="O32" i="8"/>
  <c r="M32" i="8"/>
  <c r="K32" i="8"/>
  <c r="X31" i="8"/>
  <c r="W31" i="8"/>
  <c r="V31" i="8"/>
  <c r="U31" i="8"/>
  <c r="T31" i="8"/>
  <c r="S31" i="8"/>
  <c r="Q31" i="8"/>
  <c r="O31" i="8"/>
  <c r="M31" i="8"/>
  <c r="K31" i="8"/>
  <c r="X30" i="8"/>
  <c r="W30" i="8"/>
  <c r="V30" i="8"/>
  <c r="U30" i="8"/>
  <c r="T30" i="8"/>
  <c r="S30" i="8"/>
  <c r="Q30" i="8"/>
  <c r="O30" i="8"/>
  <c r="M30" i="8"/>
  <c r="K30" i="8"/>
  <c r="X29" i="8"/>
  <c r="W29" i="8"/>
  <c r="V29" i="8"/>
  <c r="U29" i="8"/>
  <c r="T29" i="8"/>
  <c r="S29" i="8"/>
  <c r="Q29" i="8"/>
  <c r="O29" i="8"/>
  <c r="M29" i="8"/>
  <c r="K29" i="8"/>
  <c r="X28" i="8"/>
  <c r="W28" i="8"/>
  <c r="V28" i="8"/>
  <c r="U28" i="8"/>
  <c r="T28" i="8"/>
  <c r="S28" i="8"/>
  <c r="Q28" i="8"/>
  <c r="O28" i="8"/>
  <c r="M28" i="8"/>
  <c r="K28" i="8"/>
  <c r="X27" i="8"/>
  <c r="W27" i="8"/>
  <c r="V27" i="8"/>
  <c r="U27" i="8"/>
  <c r="T27" i="8"/>
  <c r="S27" i="8"/>
  <c r="Q27" i="8"/>
  <c r="O27" i="8"/>
  <c r="M27" i="8"/>
  <c r="K27" i="8"/>
  <c r="X26" i="8"/>
  <c r="W26" i="8"/>
  <c r="V26" i="8"/>
  <c r="U26" i="8"/>
  <c r="T26" i="8"/>
  <c r="S26" i="8"/>
  <c r="Q26" i="8"/>
  <c r="O26" i="8"/>
  <c r="M26" i="8"/>
  <c r="K26" i="8"/>
  <c r="X25" i="8"/>
  <c r="W25" i="8"/>
  <c r="V25" i="8"/>
  <c r="U25" i="8"/>
  <c r="T25" i="8"/>
  <c r="S25" i="8"/>
  <c r="Q25" i="8"/>
  <c r="O25" i="8"/>
  <c r="M25" i="8"/>
  <c r="K25" i="8"/>
  <c r="X24" i="8"/>
  <c r="W24" i="8"/>
  <c r="V24" i="8"/>
  <c r="U24" i="8"/>
  <c r="T24" i="8"/>
  <c r="S24" i="8"/>
  <c r="Q24" i="8"/>
  <c r="O24" i="8"/>
  <c r="M24" i="8"/>
  <c r="K24" i="8"/>
  <c r="X23" i="8"/>
  <c r="W23" i="8"/>
  <c r="V23" i="8"/>
  <c r="U23" i="8"/>
  <c r="T23" i="8"/>
  <c r="S23" i="8"/>
  <c r="Q23" i="8"/>
  <c r="O23" i="8"/>
  <c r="M23" i="8"/>
  <c r="K23" i="8"/>
  <c r="X22" i="8"/>
  <c r="W22" i="8"/>
  <c r="V22" i="8"/>
  <c r="U22" i="8"/>
  <c r="T22" i="8"/>
  <c r="S22" i="8"/>
  <c r="Q22" i="8"/>
  <c r="O22" i="8"/>
  <c r="M22" i="8"/>
  <c r="K22" i="8"/>
  <c r="X21" i="8"/>
  <c r="W21" i="8"/>
  <c r="V21" i="8"/>
  <c r="U21" i="8"/>
  <c r="T21" i="8"/>
  <c r="S21" i="8"/>
  <c r="Q21" i="8"/>
  <c r="O21" i="8"/>
  <c r="M21" i="8"/>
  <c r="K21" i="8"/>
  <c r="X20" i="8"/>
  <c r="W20" i="8"/>
  <c r="V20" i="8"/>
  <c r="U20" i="8"/>
  <c r="T20" i="8"/>
  <c r="S20" i="8"/>
  <c r="Q20" i="8"/>
  <c r="O20" i="8"/>
  <c r="M20" i="8"/>
  <c r="K20" i="8"/>
  <c r="X19" i="8"/>
  <c r="W19" i="8"/>
  <c r="V19" i="8"/>
  <c r="U19" i="8"/>
  <c r="T19" i="8"/>
  <c r="S19" i="8"/>
  <c r="Q19" i="8"/>
  <c r="O19" i="8"/>
  <c r="M19" i="8"/>
  <c r="K19" i="8"/>
  <c r="X18" i="8"/>
  <c r="W18" i="8"/>
  <c r="V18" i="8"/>
  <c r="U18" i="8"/>
  <c r="T18" i="8"/>
  <c r="S18" i="8"/>
  <c r="Q18" i="8"/>
  <c r="O18" i="8"/>
  <c r="M18" i="8"/>
  <c r="K18" i="8"/>
  <c r="X17" i="8"/>
  <c r="W17" i="8"/>
  <c r="V17" i="8"/>
  <c r="U17" i="8"/>
  <c r="T17" i="8"/>
  <c r="S17" i="8"/>
  <c r="Q17" i="8"/>
  <c r="O17" i="8"/>
  <c r="M17" i="8"/>
  <c r="K17" i="8"/>
  <c r="X16" i="8"/>
  <c r="W16" i="8"/>
  <c r="V16" i="8"/>
  <c r="U16" i="8"/>
  <c r="T16" i="8"/>
  <c r="S16" i="8"/>
  <c r="Q16" i="8"/>
  <c r="O16" i="8"/>
  <c r="M16" i="8"/>
  <c r="K16" i="8"/>
  <c r="X15" i="8"/>
  <c r="W15" i="8"/>
  <c r="V15" i="8"/>
  <c r="U15" i="8"/>
  <c r="T15" i="8"/>
  <c r="S15" i="8"/>
  <c r="Q15" i="8"/>
  <c r="O15" i="8"/>
  <c r="M15" i="8"/>
  <c r="K15" i="8"/>
  <c r="X14" i="8"/>
  <c r="W14" i="8"/>
  <c r="V14" i="8"/>
  <c r="U14" i="8"/>
  <c r="T14" i="8"/>
  <c r="S14" i="8"/>
  <c r="Q14" i="8"/>
  <c r="O14" i="8"/>
  <c r="M14" i="8"/>
  <c r="K14" i="8"/>
  <c r="X13" i="8"/>
  <c r="W13" i="8"/>
  <c r="V13" i="8"/>
  <c r="U13" i="8"/>
  <c r="T13" i="8"/>
  <c r="S13" i="8"/>
  <c r="Q13" i="8"/>
  <c r="O13" i="8"/>
  <c r="M13" i="8"/>
  <c r="K13" i="8"/>
  <c r="X12" i="8"/>
  <c r="W12" i="8"/>
  <c r="V12" i="8"/>
  <c r="U12" i="8"/>
  <c r="T12" i="8"/>
  <c r="S12" i="8"/>
  <c r="Q12" i="8"/>
  <c r="O12" i="8"/>
  <c r="M12" i="8"/>
  <c r="K12" i="8"/>
  <c r="X11" i="8"/>
  <c r="W11" i="8"/>
  <c r="V11" i="8"/>
  <c r="U11" i="8"/>
  <c r="T11" i="8"/>
  <c r="S11" i="8"/>
  <c r="Q11" i="8"/>
  <c r="O11" i="8"/>
  <c r="M11" i="8"/>
  <c r="K11" i="8"/>
  <c r="X10" i="8"/>
  <c r="W10" i="8"/>
  <c r="V10" i="8"/>
  <c r="U10" i="8"/>
  <c r="T10" i="8"/>
  <c r="S10" i="8"/>
  <c r="Q10" i="8"/>
  <c r="O10" i="8"/>
  <c r="M10" i="8"/>
  <c r="K10" i="8"/>
  <c r="X9" i="8"/>
  <c r="W9" i="8"/>
  <c r="V9" i="8"/>
  <c r="U9" i="8"/>
  <c r="T9" i="8"/>
  <c r="S9" i="8"/>
  <c r="Q9" i="8"/>
  <c r="O9" i="8"/>
  <c r="M9" i="8"/>
  <c r="K9" i="8"/>
  <c r="X8" i="8"/>
  <c r="W8" i="8"/>
  <c r="V8" i="8"/>
  <c r="U8" i="8"/>
  <c r="T8" i="8"/>
  <c r="S8" i="8"/>
  <c r="Q8" i="8"/>
  <c r="O8" i="8"/>
  <c r="M8" i="8"/>
  <c r="K8" i="8"/>
  <c r="X7" i="8"/>
  <c r="W7" i="8"/>
  <c r="V7" i="8"/>
  <c r="U7" i="8"/>
  <c r="T7" i="8"/>
  <c r="S7" i="8"/>
  <c r="Q7" i="8"/>
  <c r="O7" i="8"/>
  <c r="M7" i="8"/>
  <c r="K7" i="8"/>
  <c r="X278" i="7" l="1"/>
  <c r="W278" i="7"/>
  <c r="V278" i="7"/>
  <c r="U278" i="7"/>
  <c r="T278" i="7"/>
  <c r="S278" i="7"/>
  <c r="Q278" i="7"/>
  <c r="O278" i="7"/>
  <c r="M278" i="7"/>
  <c r="K278" i="7"/>
  <c r="X277" i="7"/>
  <c r="W277" i="7"/>
  <c r="V277" i="7"/>
  <c r="U277" i="7"/>
  <c r="T277" i="7"/>
  <c r="S277" i="7"/>
  <c r="Q277" i="7"/>
  <c r="O277" i="7"/>
  <c r="M277" i="7"/>
  <c r="K277" i="7"/>
  <c r="X276" i="7"/>
  <c r="W276" i="7"/>
  <c r="V276" i="7"/>
  <c r="U276" i="7"/>
  <c r="T276" i="7"/>
  <c r="S276" i="7"/>
  <c r="Q276" i="7"/>
  <c r="O276" i="7"/>
  <c r="M276" i="7"/>
  <c r="K276" i="7"/>
  <c r="X275" i="7"/>
  <c r="W275" i="7"/>
  <c r="V275" i="7"/>
  <c r="U275" i="7"/>
  <c r="T275" i="7"/>
  <c r="S275" i="7"/>
  <c r="Q275" i="7"/>
  <c r="O275" i="7"/>
  <c r="M275" i="7"/>
  <c r="K275" i="7"/>
  <c r="X274" i="7"/>
  <c r="W274" i="7"/>
  <c r="V274" i="7"/>
  <c r="U274" i="7"/>
  <c r="T274" i="7"/>
  <c r="S274" i="7"/>
  <c r="Q274" i="7"/>
  <c r="O274" i="7"/>
  <c r="M274" i="7"/>
  <c r="K274" i="7"/>
  <c r="X273" i="7"/>
  <c r="W273" i="7"/>
  <c r="V273" i="7"/>
  <c r="U273" i="7"/>
  <c r="T273" i="7"/>
  <c r="S273" i="7"/>
  <c r="Q273" i="7"/>
  <c r="O273" i="7"/>
  <c r="M273" i="7"/>
  <c r="K273" i="7"/>
  <c r="X272" i="7"/>
  <c r="W272" i="7"/>
  <c r="V272" i="7"/>
  <c r="U272" i="7"/>
  <c r="T272" i="7"/>
  <c r="S272" i="7"/>
  <c r="Q272" i="7"/>
  <c r="O272" i="7"/>
  <c r="M272" i="7"/>
  <c r="K272" i="7"/>
  <c r="X271" i="7"/>
  <c r="W271" i="7"/>
  <c r="V271" i="7"/>
  <c r="U271" i="7"/>
  <c r="T271" i="7"/>
  <c r="S271" i="7"/>
  <c r="Q271" i="7"/>
  <c r="O271" i="7"/>
  <c r="M271" i="7"/>
  <c r="K271" i="7"/>
  <c r="X270" i="7"/>
  <c r="W270" i="7"/>
  <c r="V270" i="7"/>
  <c r="U270" i="7"/>
  <c r="T270" i="7"/>
  <c r="S270" i="7"/>
  <c r="Q270" i="7"/>
  <c r="O270" i="7"/>
  <c r="M270" i="7"/>
  <c r="K270" i="7"/>
  <c r="X269" i="7"/>
  <c r="W269" i="7"/>
  <c r="V269" i="7"/>
  <c r="U269" i="7"/>
  <c r="T269" i="7"/>
  <c r="S269" i="7"/>
  <c r="Q269" i="7"/>
  <c r="O269" i="7"/>
  <c r="M269" i="7"/>
  <c r="K269" i="7"/>
  <c r="X268" i="7"/>
  <c r="W268" i="7"/>
  <c r="V268" i="7"/>
  <c r="U268" i="7"/>
  <c r="T268" i="7"/>
  <c r="S268" i="7"/>
  <c r="Q268" i="7"/>
  <c r="O268" i="7"/>
  <c r="M268" i="7"/>
  <c r="K268" i="7"/>
  <c r="X267" i="7"/>
  <c r="W267" i="7"/>
  <c r="V267" i="7"/>
  <c r="U267" i="7"/>
  <c r="T267" i="7"/>
  <c r="S267" i="7"/>
  <c r="Q267" i="7"/>
  <c r="O267" i="7"/>
  <c r="M267" i="7"/>
  <c r="K267" i="7"/>
  <c r="X266" i="7"/>
  <c r="W266" i="7"/>
  <c r="V266" i="7"/>
  <c r="U266" i="7"/>
  <c r="T266" i="7"/>
  <c r="S266" i="7"/>
  <c r="Q266" i="7"/>
  <c r="O266" i="7"/>
  <c r="M266" i="7"/>
  <c r="K266" i="7"/>
  <c r="X265" i="7"/>
  <c r="W265" i="7"/>
  <c r="V265" i="7"/>
  <c r="U265" i="7"/>
  <c r="T265" i="7"/>
  <c r="S265" i="7"/>
  <c r="Q265" i="7"/>
  <c r="O265" i="7"/>
  <c r="M265" i="7"/>
  <c r="K265" i="7"/>
  <c r="X264" i="7"/>
  <c r="W264" i="7"/>
  <c r="V264" i="7"/>
  <c r="U264" i="7"/>
  <c r="T264" i="7"/>
  <c r="S264" i="7"/>
  <c r="Q264" i="7"/>
  <c r="O264" i="7"/>
  <c r="M264" i="7"/>
  <c r="K264" i="7"/>
  <c r="X263" i="7"/>
  <c r="W263" i="7"/>
  <c r="V263" i="7"/>
  <c r="U263" i="7"/>
  <c r="T263" i="7"/>
  <c r="S263" i="7"/>
  <c r="Q263" i="7"/>
  <c r="O263" i="7"/>
  <c r="M263" i="7"/>
  <c r="K263" i="7"/>
  <c r="X262" i="7"/>
  <c r="W262" i="7"/>
  <c r="V262" i="7"/>
  <c r="U262" i="7"/>
  <c r="T262" i="7"/>
  <c r="S262" i="7"/>
  <c r="Q262" i="7"/>
  <c r="O262" i="7"/>
  <c r="M262" i="7"/>
  <c r="K262" i="7"/>
  <c r="X261" i="7"/>
  <c r="W261" i="7"/>
  <c r="V261" i="7"/>
  <c r="U261" i="7"/>
  <c r="T261" i="7"/>
  <c r="S261" i="7"/>
  <c r="Q261" i="7"/>
  <c r="O261" i="7"/>
  <c r="M261" i="7"/>
  <c r="K261" i="7"/>
  <c r="X260" i="7"/>
  <c r="W260" i="7"/>
  <c r="V260" i="7"/>
  <c r="U260" i="7"/>
  <c r="T260" i="7"/>
  <c r="S260" i="7"/>
  <c r="Q260" i="7"/>
  <c r="O260" i="7"/>
  <c r="M260" i="7"/>
  <c r="K260" i="7"/>
  <c r="X259" i="7"/>
  <c r="W259" i="7"/>
  <c r="V259" i="7"/>
  <c r="U259" i="7"/>
  <c r="T259" i="7"/>
  <c r="S259" i="7"/>
  <c r="Q259" i="7"/>
  <c r="O259" i="7"/>
  <c r="M259" i="7"/>
  <c r="K259" i="7"/>
  <c r="X258" i="7"/>
  <c r="W258" i="7"/>
  <c r="V258" i="7"/>
  <c r="U258" i="7"/>
  <c r="T258" i="7"/>
  <c r="S258" i="7"/>
  <c r="Q258" i="7"/>
  <c r="O258" i="7"/>
  <c r="M258" i="7"/>
  <c r="K258" i="7"/>
  <c r="X257" i="7"/>
  <c r="W257" i="7"/>
  <c r="V257" i="7"/>
  <c r="U257" i="7"/>
  <c r="T257" i="7"/>
  <c r="S257" i="7"/>
  <c r="Q257" i="7"/>
  <c r="O257" i="7"/>
  <c r="M257" i="7"/>
  <c r="K257" i="7"/>
  <c r="X256" i="7"/>
  <c r="W256" i="7"/>
  <c r="V256" i="7"/>
  <c r="U256" i="7"/>
  <c r="T256" i="7"/>
  <c r="S256" i="7"/>
  <c r="Q256" i="7"/>
  <c r="O256" i="7"/>
  <c r="M256" i="7"/>
  <c r="K256" i="7"/>
  <c r="X255" i="7"/>
  <c r="W255" i="7"/>
  <c r="V255" i="7"/>
  <c r="U255" i="7"/>
  <c r="T255" i="7"/>
  <c r="S255" i="7"/>
  <c r="Q255" i="7"/>
  <c r="O255" i="7"/>
  <c r="M255" i="7"/>
  <c r="K255" i="7"/>
  <c r="X254" i="7"/>
  <c r="W254" i="7"/>
  <c r="V254" i="7"/>
  <c r="U254" i="7"/>
  <c r="T254" i="7"/>
  <c r="S254" i="7"/>
  <c r="Q254" i="7"/>
  <c r="O254" i="7"/>
  <c r="M254" i="7"/>
  <c r="K254" i="7"/>
  <c r="X253" i="7"/>
  <c r="W253" i="7"/>
  <c r="V253" i="7"/>
  <c r="U253" i="7"/>
  <c r="T253" i="7"/>
  <c r="S253" i="7"/>
  <c r="Q253" i="7"/>
  <c r="O253" i="7"/>
  <c r="M253" i="7"/>
  <c r="K253" i="7"/>
  <c r="X252" i="7"/>
  <c r="W252" i="7"/>
  <c r="V252" i="7"/>
  <c r="U252" i="7"/>
  <c r="T252" i="7"/>
  <c r="S252" i="7"/>
  <c r="Q252" i="7"/>
  <c r="O252" i="7"/>
  <c r="M252" i="7"/>
  <c r="K252" i="7"/>
  <c r="X251" i="7"/>
  <c r="W251" i="7"/>
  <c r="V251" i="7"/>
  <c r="U251" i="7"/>
  <c r="T251" i="7"/>
  <c r="S251" i="7"/>
  <c r="Q251" i="7"/>
  <c r="O251" i="7"/>
  <c r="M251" i="7"/>
  <c r="K251" i="7"/>
  <c r="X250" i="7"/>
  <c r="W250" i="7"/>
  <c r="V250" i="7"/>
  <c r="U250" i="7"/>
  <c r="T250" i="7"/>
  <c r="S250" i="7"/>
  <c r="Q250" i="7"/>
  <c r="O250" i="7"/>
  <c r="M250" i="7"/>
  <c r="K250" i="7"/>
  <c r="X249" i="7"/>
  <c r="W249" i="7"/>
  <c r="V249" i="7"/>
  <c r="U249" i="7"/>
  <c r="T249" i="7"/>
  <c r="S249" i="7"/>
  <c r="Q249" i="7"/>
  <c r="O249" i="7"/>
  <c r="M249" i="7"/>
  <c r="K249" i="7"/>
  <c r="X248" i="7"/>
  <c r="W248" i="7"/>
  <c r="V248" i="7"/>
  <c r="U248" i="7"/>
  <c r="T248" i="7"/>
  <c r="S248" i="7"/>
  <c r="Q248" i="7"/>
  <c r="O248" i="7"/>
  <c r="M248" i="7"/>
  <c r="K248" i="7"/>
  <c r="X247" i="7"/>
  <c r="W247" i="7"/>
  <c r="V247" i="7"/>
  <c r="U247" i="7"/>
  <c r="T247" i="7"/>
  <c r="S247" i="7"/>
  <c r="Q247" i="7"/>
  <c r="O247" i="7"/>
  <c r="M247" i="7"/>
  <c r="K247" i="7"/>
  <c r="X246" i="7"/>
  <c r="W246" i="7"/>
  <c r="V246" i="7"/>
  <c r="U246" i="7"/>
  <c r="T246" i="7"/>
  <c r="S246" i="7"/>
  <c r="Q246" i="7"/>
  <c r="O246" i="7"/>
  <c r="M246" i="7"/>
  <c r="K246" i="7"/>
  <c r="X245" i="7"/>
  <c r="W245" i="7"/>
  <c r="V245" i="7"/>
  <c r="U245" i="7"/>
  <c r="T245" i="7"/>
  <c r="S245" i="7"/>
  <c r="Q245" i="7"/>
  <c r="O245" i="7"/>
  <c r="M245" i="7"/>
  <c r="K245" i="7"/>
  <c r="X244" i="7"/>
  <c r="W244" i="7"/>
  <c r="V244" i="7"/>
  <c r="U244" i="7"/>
  <c r="T244" i="7"/>
  <c r="S244" i="7"/>
  <c r="Q244" i="7"/>
  <c r="O244" i="7"/>
  <c r="M244" i="7"/>
  <c r="K244" i="7"/>
  <c r="X243" i="7"/>
  <c r="W243" i="7"/>
  <c r="V243" i="7"/>
  <c r="U243" i="7"/>
  <c r="T243" i="7"/>
  <c r="S243" i="7"/>
  <c r="Q243" i="7"/>
  <c r="O243" i="7"/>
  <c r="M243" i="7"/>
  <c r="K243" i="7"/>
  <c r="X242" i="7"/>
  <c r="W242" i="7"/>
  <c r="V242" i="7"/>
  <c r="U242" i="7"/>
  <c r="T242" i="7"/>
  <c r="S242" i="7"/>
  <c r="Q242" i="7"/>
  <c r="O242" i="7"/>
  <c r="M242" i="7"/>
  <c r="K242" i="7"/>
  <c r="X241" i="7"/>
  <c r="W241" i="7"/>
  <c r="V241" i="7"/>
  <c r="U241" i="7"/>
  <c r="T241" i="7"/>
  <c r="S241" i="7"/>
  <c r="Q241" i="7"/>
  <c r="O241" i="7"/>
  <c r="M241" i="7"/>
  <c r="K241" i="7"/>
  <c r="X240" i="7"/>
  <c r="W240" i="7"/>
  <c r="V240" i="7"/>
  <c r="U240" i="7"/>
  <c r="T240" i="7"/>
  <c r="S240" i="7"/>
  <c r="Q240" i="7"/>
  <c r="O240" i="7"/>
  <c r="M240" i="7"/>
  <c r="K240" i="7"/>
  <c r="X239" i="7"/>
  <c r="W239" i="7"/>
  <c r="V239" i="7"/>
  <c r="U239" i="7"/>
  <c r="T239" i="7"/>
  <c r="S239" i="7"/>
  <c r="Q239" i="7"/>
  <c r="O239" i="7"/>
  <c r="M239" i="7"/>
  <c r="K239" i="7"/>
  <c r="X238" i="7"/>
  <c r="W238" i="7"/>
  <c r="V238" i="7"/>
  <c r="U238" i="7"/>
  <c r="T238" i="7"/>
  <c r="S238" i="7"/>
  <c r="Q238" i="7"/>
  <c r="O238" i="7"/>
  <c r="M238" i="7"/>
  <c r="K238" i="7"/>
  <c r="X237" i="7"/>
  <c r="W237" i="7"/>
  <c r="V237" i="7"/>
  <c r="U237" i="7"/>
  <c r="T237" i="7"/>
  <c r="S237" i="7"/>
  <c r="Q237" i="7"/>
  <c r="O237" i="7"/>
  <c r="M237" i="7"/>
  <c r="K237" i="7"/>
  <c r="X236" i="7"/>
  <c r="W236" i="7"/>
  <c r="V236" i="7"/>
  <c r="U236" i="7"/>
  <c r="T236" i="7"/>
  <c r="S236" i="7"/>
  <c r="Q236" i="7"/>
  <c r="O236" i="7"/>
  <c r="M236" i="7"/>
  <c r="K236" i="7"/>
  <c r="X235" i="7"/>
  <c r="W235" i="7"/>
  <c r="V235" i="7"/>
  <c r="U235" i="7"/>
  <c r="T235" i="7"/>
  <c r="S235" i="7"/>
  <c r="Q235" i="7"/>
  <c r="O235" i="7"/>
  <c r="M235" i="7"/>
  <c r="K235" i="7"/>
  <c r="X234" i="7"/>
  <c r="W234" i="7"/>
  <c r="V234" i="7"/>
  <c r="U234" i="7"/>
  <c r="T234" i="7"/>
  <c r="S234" i="7"/>
  <c r="Q234" i="7"/>
  <c r="O234" i="7"/>
  <c r="M234" i="7"/>
  <c r="K234" i="7"/>
  <c r="X233" i="7"/>
  <c r="W233" i="7"/>
  <c r="V233" i="7"/>
  <c r="U233" i="7"/>
  <c r="T233" i="7"/>
  <c r="S233" i="7"/>
  <c r="Q233" i="7"/>
  <c r="O233" i="7"/>
  <c r="M233" i="7"/>
  <c r="K233" i="7"/>
  <c r="X232" i="7"/>
  <c r="W232" i="7"/>
  <c r="V232" i="7"/>
  <c r="U232" i="7"/>
  <c r="T232" i="7"/>
  <c r="S232" i="7"/>
  <c r="Q232" i="7"/>
  <c r="O232" i="7"/>
  <c r="M232" i="7"/>
  <c r="K232" i="7"/>
  <c r="X231" i="7"/>
  <c r="W231" i="7"/>
  <c r="V231" i="7"/>
  <c r="U231" i="7"/>
  <c r="T231" i="7"/>
  <c r="S231" i="7"/>
  <c r="Q231" i="7"/>
  <c r="O231" i="7"/>
  <c r="M231" i="7"/>
  <c r="K231" i="7"/>
  <c r="X230" i="7"/>
  <c r="W230" i="7"/>
  <c r="V230" i="7"/>
  <c r="U230" i="7"/>
  <c r="T230" i="7"/>
  <c r="S230" i="7"/>
  <c r="Q230" i="7"/>
  <c r="O230" i="7"/>
  <c r="M230" i="7"/>
  <c r="K230" i="7"/>
  <c r="X229" i="7"/>
  <c r="W229" i="7"/>
  <c r="V229" i="7"/>
  <c r="U229" i="7"/>
  <c r="T229" i="7"/>
  <c r="S229" i="7"/>
  <c r="Q229" i="7"/>
  <c r="O229" i="7"/>
  <c r="M229" i="7"/>
  <c r="K229" i="7"/>
  <c r="X228" i="7"/>
  <c r="W228" i="7"/>
  <c r="V228" i="7"/>
  <c r="U228" i="7"/>
  <c r="T228" i="7"/>
  <c r="S228" i="7"/>
  <c r="Q228" i="7"/>
  <c r="O228" i="7"/>
  <c r="M228" i="7"/>
  <c r="K228" i="7"/>
  <c r="X227" i="7"/>
  <c r="W227" i="7"/>
  <c r="V227" i="7"/>
  <c r="U227" i="7"/>
  <c r="T227" i="7"/>
  <c r="S227" i="7"/>
  <c r="Q227" i="7"/>
  <c r="O227" i="7"/>
  <c r="M227" i="7"/>
  <c r="K227" i="7"/>
  <c r="X226" i="7"/>
  <c r="W226" i="7"/>
  <c r="V226" i="7"/>
  <c r="U226" i="7"/>
  <c r="T226" i="7"/>
  <c r="S226" i="7"/>
  <c r="Q226" i="7"/>
  <c r="O226" i="7"/>
  <c r="M226" i="7"/>
  <c r="K226" i="7"/>
  <c r="X225" i="7"/>
  <c r="W225" i="7"/>
  <c r="V225" i="7"/>
  <c r="U225" i="7"/>
  <c r="T225" i="7"/>
  <c r="S225" i="7"/>
  <c r="Q225" i="7"/>
  <c r="O225" i="7"/>
  <c r="M225" i="7"/>
  <c r="K225" i="7"/>
  <c r="X224" i="7"/>
  <c r="W224" i="7"/>
  <c r="V224" i="7"/>
  <c r="U224" i="7"/>
  <c r="T224" i="7"/>
  <c r="S224" i="7"/>
  <c r="Q224" i="7"/>
  <c r="O224" i="7"/>
  <c r="M224" i="7"/>
  <c r="K224" i="7"/>
  <c r="X223" i="7"/>
  <c r="W223" i="7"/>
  <c r="V223" i="7"/>
  <c r="U223" i="7"/>
  <c r="T223" i="7"/>
  <c r="S223" i="7"/>
  <c r="Q223" i="7"/>
  <c r="O223" i="7"/>
  <c r="M223" i="7"/>
  <c r="K223" i="7"/>
  <c r="X222" i="7"/>
  <c r="W222" i="7"/>
  <c r="V222" i="7"/>
  <c r="U222" i="7"/>
  <c r="T222" i="7"/>
  <c r="S222" i="7"/>
  <c r="Q222" i="7"/>
  <c r="O222" i="7"/>
  <c r="M222" i="7"/>
  <c r="K222" i="7"/>
  <c r="X221" i="7"/>
  <c r="W221" i="7"/>
  <c r="V221" i="7"/>
  <c r="U221" i="7"/>
  <c r="T221" i="7"/>
  <c r="S221" i="7"/>
  <c r="Q221" i="7"/>
  <c r="O221" i="7"/>
  <c r="M221" i="7"/>
  <c r="K221" i="7"/>
  <c r="X220" i="7"/>
  <c r="W220" i="7"/>
  <c r="V220" i="7"/>
  <c r="U220" i="7"/>
  <c r="T220" i="7"/>
  <c r="S220" i="7"/>
  <c r="Q220" i="7"/>
  <c r="O220" i="7"/>
  <c r="M220" i="7"/>
  <c r="K220" i="7"/>
  <c r="X219" i="7"/>
  <c r="W219" i="7"/>
  <c r="V219" i="7"/>
  <c r="U219" i="7"/>
  <c r="T219" i="7"/>
  <c r="S219" i="7"/>
  <c r="Q219" i="7"/>
  <c r="O219" i="7"/>
  <c r="M219" i="7"/>
  <c r="K219" i="7"/>
  <c r="X218" i="7"/>
  <c r="W218" i="7"/>
  <c r="V218" i="7"/>
  <c r="U218" i="7"/>
  <c r="T218" i="7"/>
  <c r="S218" i="7"/>
  <c r="Q218" i="7"/>
  <c r="O218" i="7"/>
  <c r="M218" i="7"/>
  <c r="K218" i="7"/>
  <c r="X217" i="7"/>
  <c r="W217" i="7"/>
  <c r="V217" i="7"/>
  <c r="U217" i="7"/>
  <c r="T217" i="7"/>
  <c r="S217" i="7"/>
  <c r="Q217" i="7"/>
  <c r="O217" i="7"/>
  <c r="M217" i="7"/>
  <c r="K217" i="7"/>
  <c r="X216" i="7"/>
  <c r="W216" i="7"/>
  <c r="V216" i="7"/>
  <c r="U216" i="7"/>
  <c r="T216" i="7"/>
  <c r="S216" i="7"/>
  <c r="Q216" i="7"/>
  <c r="O216" i="7"/>
  <c r="M216" i="7"/>
  <c r="K216" i="7"/>
  <c r="X215" i="7"/>
  <c r="W215" i="7"/>
  <c r="V215" i="7"/>
  <c r="U215" i="7"/>
  <c r="T215" i="7"/>
  <c r="S215" i="7"/>
  <c r="Q215" i="7"/>
  <c r="O215" i="7"/>
  <c r="M215" i="7"/>
  <c r="K215" i="7"/>
  <c r="X214" i="7"/>
  <c r="W214" i="7"/>
  <c r="V214" i="7"/>
  <c r="U214" i="7"/>
  <c r="T214" i="7"/>
  <c r="S214" i="7"/>
  <c r="Q214" i="7"/>
  <c r="O214" i="7"/>
  <c r="M214" i="7"/>
  <c r="K214" i="7"/>
  <c r="X213" i="7"/>
  <c r="W213" i="7"/>
  <c r="V213" i="7"/>
  <c r="U213" i="7"/>
  <c r="T213" i="7"/>
  <c r="S213" i="7"/>
  <c r="Q213" i="7"/>
  <c r="O213" i="7"/>
  <c r="M213" i="7"/>
  <c r="K213" i="7"/>
  <c r="X212" i="7"/>
  <c r="W212" i="7"/>
  <c r="V212" i="7"/>
  <c r="U212" i="7"/>
  <c r="T212" i="7"/>
  <c r="S212" i="7"/>
  <c r="Q212" i="7"/>
  <c r="O212" i="7"/>
  <c r="M212" i="7"/>
  <c r="K212" i="7"/>
  <c r="X211" i="7"/>
  <c r="W211" i="7"/>
  <c r="V211" i="7"/>
  <c r="U211" i="7"/>
  <c r="T211" i="7"/>
  <c r="S211" i="7"/>
  <c r="Q211" i="7"/>
  <c r="O211" i="7"/>
  <c r="M211" i="7"/>
  <c r="K211" i="7"/>
  <c r="X210" i="7"/>
  <c r="W210" i="7"/>
  <c r="V210" i="7"/>
  <c r="U210" i="7"/>
  <c r="T210" i="7"/>
  <c r="S210" i="7"/>
  <c r="Q210" i="7"/>
  <c r="O210" i="7"/>
  <c r="M210" i="7"/>
  <c r="K210" i="7"/>
  <c r="X209" i="7"/>
  <c r="W209" i="7"/>
  <c r="V209" i="7"/>
  <c r="U209" i="7"/>
  <c r="T209" i="7"/>
  <c r="S209" i="7"/>
  <c r="Q209" i="7"/>
  <c r="O209" i="7"/>
  <c r="M209" i="7"/>
  <c r="K209" i="7"/>
  <c r="X208" i="7"/>
  <c r="W208" i="7"/>
  <c r="V208" i="7"/>
  <c r="U208" i="7"/>
  <c r="T208" i="7"/>
  <c r="S208" i="7"/>
  <c r="Q208" i="7"/>
  <c r="O208" i="7"/>
  <c r="M208" i="7"/>
  <c r="K208" i="7"/>
  <c r="X207" i="7"/>
  <c r="W207" i="7"/>
  <c r="V207" i="7"/>
  <c r="U207" i="7"/>
  <c r="T207" i="7"/>
  <c r="S207" i="7"/>
  <c r="Q207" i="7"/>
  <c r="O207" i="7"/>
  <c r="M207" i="7"/>
  <c r="K207" i="7"/>
  <c r="X206" i="7"/>
  <c r="W206" i="7"/>
  <c r="V206" i="7"/>
  <c r="U206" i="7"/>
  <c r="T206" i="7"/>
  <c r="S206" i="7"/>
  <c r="Q206" i="7"/>
  <c r="O206" i="7"/>
  <c r="M206" i="7"/>
  <c r="K206" i="7"/>
  <c r="X205" i="7"/>
  <c r="W205" i="7"/>
  <c r="V205" i="7"/>
  <c r="U205" i="7"/>
  <c r="T205" i="7"/>
  <c r="S205" i="7"/>
  <c r="Q205" i="7"/>
  <c r="O205" i="7"/>
  <c r="M205" i="7"/>
  <c r="K205" i="7"/>
  <c r="X204" i="7"/>
  <c r="W204" i="7"/>
  <c r="V204" i="7"/>
  <c r="U204" i="7"/>
  <c r="T204" i="7"/>
  <c r="S204" i="7"/>
  <c r="Q204" i="7"/>
  <c r="O204" i="7"/>
  <c r="M204" i="7"/>
  <c r="K204" i="7"/>
  <c r="X203" i="7"/>
  <c r="W203" i="7"/>
  <c r="V203" i="7"/>
  <c r="U203" i="7"/>
  <c r="T203" i="7"/>
  <c r="S203" i="7"/>
  <c r="Q203" i="7"/>
  <c r="O203" i="7"/>
  <c r="M203" i="7"/>
  <c r="K203" i="7"/>
  <c r="X202" i="7"/>
  <c r="W202" i="7"/>
  <c r="V202" i="7"/>
  <c r="U202" i="7"/>
  <c r="T202" i="7"/>
  <c r="S202" i="7"/>
  <c r="Q202" i="7"/>
  <c r="O202" i="7"/>
  <c r="M202" i="7"/>
  <c r="K202" i="7"/>
  <c r="X201" i="7"/>
  <c r="W201" i="7"/>
  <c r="V201" i="7"/>
  <c r="U201" i="7"/>
  <c r="T201" i="7"/>
  <c r="S201" i="7"/>
  <c r="Q201" i="7"/>
  <c r="O201" i="7"/>
  <c r="M201" i="7"/>
  <c r="K201" i="7"/>
  <c r="X200" i="7"/>
  <c r="W200" i="7"/>
  <c r="V200" i="7"/>
  <c r="U200" i="7"/>
  <c r="T200" i="7"/>
  <c r="S200" i="7"/>
  <c r="Q200" i="7"/>
  <c r="O200" i="7"/>
  <c r="M200" i="7"/>
  <c r="K200" i="7"/>
  <c r="X199" i="7"/>
  <c r="W199" i="7"/>
  <c r="V199" i="7"/>
  <c r="U199" i="7"/>
  <c r="T199" i="7"/>
  <c r="S199" i="7"/>
  <c r="Q199" i="7"/>
  <c r="O199" i="7"/>
  <c r="M199" i="7"/>
  <c r="K199" i="7"/>
  <c r="X198" i="7"/>
  <c r="W198" i="7"/>
  <c r="V198" i="7"/>
  <c r="U198" i="7"/>
  <c r="T198" i="7"/>
  <c r="S198" i="7"/>
  <c r="Q198" i="7"/>
  <c r="O198" i="7"/>
  <c r="M198" i="7"/>
  <c r="K198" i="7"/>
  <c r="X197" i="7"/>
  <c r="W197" i="7"/>
  <c r="V197" i="7"/>
  <c r="U197" i="7"/>
  <c r="T197" i="7"/>
  <c r="S197" i="7"/>
  <c r="Q197" i="7"/>
  <c r="O197" i="7"/>
  <c r="M197" i="7"/>
  <c r="K197" i="7"/>
  <c r="X196" i="7"/>
  <c r="W196" i="7"/>
  <c r="V196" i="7"/>
  <c r="U196" i="7"/>
  <c r="T196" i="7"/>
  <c r="S196" i="7"/>
  <c r="Q196" i="7"/>
  <c r="O196" i="7"/>
  <c r="M196" i="7"/>
  <c r="K196" i="7"/>
  <c r="X195" i="7"/>
  <c r="W195" i="7"/>
  <c r="V195" i="7"/>
  <c r="U195" i="7"/>
  <c r="T195" i="7"/>
  <c r="S195" i="7"/>
  <c r="Q195" i="7"/>
  <c r="O195" i="7"/>
  <c r="M195" i="7"/>
  <c r="K195" i="7"/>
  <c r="X194" i="7"/>
  <c r="W194" i="7"/>
  <c r="V194" i="7"/>
  <c r="U194" i="7"/>
  <c r="T194" i="7"/>
  <c r="S194" i="7"/>
  <c r="Q194" i="7"/>
  <c r="O194" i="7"/>
  <c r="M194" i="7"/>
  <c r="K194" i="7"/>
  <c r="X193" i="7"/>
  <c r="W193" i="7"/>
  <c r="V193" i="7"/>
  <c r="U193" i="7"/>
  <c r="T193" i="7"/>
  <c r="S193" i="7"/>
  <c r="Q193" i="7"/>
  <c r="O193" i="7"/>
  <c r="M193" i="7"/>
  <c r="K193" i="7"/>
  <c r="X192" i="7"/>
  <c r="W192" i="7"/>
  <c r="V192" i="7"/>
  <c r="U192" i="7"/>
  <c r="T192" i="7"/>
  <c r="S192" i="7"/>
  <c r="Q192" i="7"/>
  <c r="O192" i="7"/>
  <c r="M192" i="7"/>
  <c r="K192" i="7"/>
  <c r="X191" i="7"/>
  <c r="W191" i="7"/>
  <c r="V191" i="7"/>
  <c r="U191" i="7"/>
  <c r="T191" i="7"/>
  <c r="S191" i="7"/>
  <c r="Q191" i="7"/>
  <c r="O191" i="7"/>
  <c r="M191" i="7"/>
  <c r="K191" i="7"/>
  <c r="X190" i="7"/>
  <c r="W190" i="7"/>
  <c r="V190" i="7"/>
  <c r="U190" i="7"/>
  <c r="T190" i="7"/>
  <c r="S190" i="7"/>
  <c r="Q190" i="7"/>
  <c r="O190" i="7"/>
  <c r="M190" i="7"/>
  <c r="K190" i="7"/>
  <c r="X189" i="7"/>
  <c r="W189" i="7"/>
  <c r="V189" i="7"/>
  <c r="U189" i="7"/>
  <c r="T189" i="7"/>
  <c r="S189" i="7"/>
  <c r="Q189" i="7"/>
  <c r="O189" i="7"/>
  <c r="M189" i="7"/>
  <c r="K189" i="7"/>
  <c r="X188" i="7"/>
  <c r="W188" i="7"/>
  <c r="V188" i="7"/>
  <c r="U188" i="7"/>
  <c r="T188" i="7"/>
  <c r="S188" i="7"/>
  <c r="Q188" i="7"/>
  <c r="O188" i="7"/>
  <c r="M188" i="7"/>
  <c r="K188" i="7"/>
  <c r="X187" i="7"/>
  <c r="W187" i="7"/>
  <c r="V187" i="7"/>
  <c r="U187" i="7"/>
  <c r="T187" i="7"/>
  <c r="S187" i="7"/>
  <c r="Q187" i="7"/>
  <c r="O187" i="7"/>
  <c r="M187" i="7"/>
  <c r="K187" i="7"/>
  <c r="X186" i="7"/>
  <c r="W186" i="7"/>
  <c r="V186" i="7"/>
  <c r="U186" i="7"/>
  <c r="T186" i="7"/>
  <c r="S186" i="7"/>
  <c r="Q186" i="7"/>
  <c r="O186" i="7"/>
  <c r="M186" i="7"/>
  <c r="K186" i="7"/>
  <c r="X185" i="7"/>
  <c r="W185" i="7"/>
  <c r="V185" i="7"/>
  <c r="U185" i="7"/>
  <c r="T185" i="7"/>
  <c r="S185" i="7"/>
  <c r="Q185" i="7"/>
  <c r="O185" i="7"/>
  <c r="M185" i="7"/>
  <c r="K185" i="7"/>
  <c r="X184" i="7"/>
  <c r="W184" i="7"/>
  <c r="V184" i="7"/>
  <c r="U184" i="7"/>
  <c r="T184" i="7"/>
  <c r="S184" i="7"/>
  <c r="Q184" i="7"/>
  <c r="O184" i="7"/>
  <c r="M184" i="7"/>
  <c r="K184" i="7"/>
  <c r="X183" i="7"/>
  <c r="W183" i="7"/>
  <c r="V183" i="7"/>
  <c r="U183" i="7"/>
  <c r="T183" i="7"/>
  <c r="S183" i="7"/>
  <c r="Q183" i="7"/>
  <c r="O183" i="7"/>
  <c r="M183" i="7"/>
  <c r="K183" i="7"/>
  <c r="X182" i="7"/>
  <c r="W182" i="7"/>
  <c r="V182" i="7"/>
  <c r="U182" i="7"/>
  <c r="T182" i="7"/>
  <c r="S182" i="7"/>
  <c r="Q182" i="7"/>
  <c r="O182" i="7"/>
  <c r="M182" i="7"/>
  <c r="K182" i="7"/>
  <c r="X181" i="7"/>
  <c r="W181" i="7"/>
  <c r="V181" i="7"/>
  <c r="U181" i="7"/>
  <c r="T181" i="7"/>
  <c r="S181" i="7"/>
  <c r="Q181" i="7"/>
  <c r="O181" i="7"/>
  <c r="M181" i="7"/>
  <c r="K181" i="7"/>
  <c r="X180" i="7"/>
  <c r="W180" i="7"/>
  <c r="V180" i="7"/>
  <c r="U180" i="7"/>
  <c r="T180" i="7"/>
  <c r="S180" i="7"/>
  <c r="Q180" i="7"/>
  <c r="O180" i="7"/>
  <c r="M180" i="7"/>
  <c r="K180" i="7"/>
  <c r="X179" i="7"/>
  <c r="W179" i="7"/>
  <c r="V179" i="7"/>
  <c r="U179" i="7"/>
  <c r="T179" i="7"/>
  <c r="S179" i="7"/>
  <c r="Q179" i="7"/>
  <c r="O179" i="7"/>
  <c r="M179" i="7"/>
  <c r="K179" i="7"/>
  <c r="X178" i="7"/>
  <c r="W178" i="7"/>
  <c r="V178" i="7"/>
  <c r="U178" i="7"/>
  <c r="T178" i="7"/>
  <c r="S178" i="7"/>
  <c r="Q178" i="7"/>
  <c r="O178" i="7"/>
  <c r="M178" i="7"/>
  <c r="K178" i="7"/>
  <c r="X177" i="7"/>
  <c r="W177" i="7"/>
  <c r="V177" i="7"/>
  <c r="U177" i="7"/>
  <c r="T177" i="7"/>
  <c r="S177" i="7"/>
  <c r="Q177" i="7"/>
  <c r="O177" i="7"/>
  <c r="M177" i="7"/>
  <c r="K177" i="7"/>
  <c r="X176" i="7"/>
  <c r="W176" i="7"/>
  <c r="V176" i="7"/>
  <c r="U176" i="7"/>
  <c r="T176" i="7"/>
  <c r="S176" i="7"/>
  <c r="Q176" i="7"/>
  <c r="O176" i="7"/>
  <c r="M176" i="7"/>
  <c r="K176" i="7"/>
  <c r="X175" i="7"/>
  <c r="W175" i="7"/>
  <c r="V175" i="7"/>
  <c r="U175" i="7"/>
  <c r="T175" i="7"/>
  <c r="S175" i="7"/>
  <c r="Q175" i="7"/>
  <c r="O175" i="7"/>
  <c r="M175" i="7"/>
  <c r="K175" i="7"/>
  <c r="X174" i="7"/>
  <c r="W174" i="7"/>
  <c r="V174" i="7"/>
  <c r="U174" i="7"/>
  <c r="T174" i="7"/>
  <c r="S174" i="7"/>
  <c r="Q174" i="7"/>
  <c r="O174" i="7"/>
  <c r="M174" i="7"/>
  <c r="K174" i="7"/>
  <c r="X173" i="7"/>
  <c r="W173" i="7"/>
  <c r="V173" i="7"/>
  <c r="U173" i="7"/>
  <c r="T173" i="7"/>
  <c r="S173" i="7"/>
  <c r="Q173" i="7"/>
  <c r="O173" i="7"/>
  <c r="M173" i="7"/>
  <c r="K173" i="7"/>
  <c r="X172" i="7"/>
  <c r="W172" i="7"/>
  <c r="V172" i="7"/>
  <c r="U172" i="7"/>
  <c r="T172" i="7"/>
  <c r="S172" i="7"/>
  <c r="Q172" i="7"/>
  <c r="O172" i="7"/>
  <c r="M172" i="7"/>
  <c r="K172" i="7"/>
  <c r="X171" i="7"/>
  <c r="W171" i="7"/>
  <c r="V171" i="7"/>
  <c r="U171" i="7"/>
  <c r="T171" i="7"/>
  <c r="S171" i="7"/>
  <c r="Q171" i="7"/>
  <c r="O171" i="7"/>
  <c r="M171" i="7"/>
  <c r="K171" i="7"/>
  <c r="X170" i="7"/>
  <c r="W170" i="7"/>
  <c r="V170" i="7"/>
  <c r="U170" i="7"/>
  <c r="T170" i="7"/>
  <c r="S170" i="7"/>
  <c r="Q170" i="7"/>
  <c r="O170" i="7"/>
  <c r="M170" i="7"/>
  <c r="K170" i="7"/>
  <c r="X169" i="7"/>
  <c r="W169" i="7"/>
  <c r="V169" i="7"/>
  <c r="U169" i="7"/>
  <c r="T169" i="7"/>
  <c r="S169" i="7"/>
  <c r="Q169" i="7"/>
  <c r="O169" i="7"/>
  <c r="M169" i="7"/>
  <c r="K169" i="7"/>
  <c r="X168" i="7"/>
  <c r="W168" i="7"/>
  <c r="V168" i="7"/>
  <c r="U168" i="7"/>
  <c r="T168" i="7"/>
  <c r="S168" i="7"/>
  <c r="Q168" i="7"/>
  <c r="O168" i="7"/>
  <c r="M168" i="7"/>
  <c r="K168" i="7"/>
  <c r="X167" i="7"/>
  <c r="W167" i="7"/>
  <c r="V167" i="7"/>
  <c r="U167" i="7"/>
  <c r="T167" i="7"/>
  <c r="S167" i="7"/>
  <c r="Q167" i="7"/>
  <c r="O167" i="7"/>
  <c r="M167" i="7"/>
  <c r="K167" i="7"/>
  <c r="X166" i="7"/>
  <c r="W166" i="7"/>
  <c r="V166" i="7"/>
  <c r="U166" i="7"/>
  <c r="T166" i="7"/>
  <c r="S166" i="7"/>
  <c r="Q166" i="7"/>
  <c r="O166" i="7"/>
  <c r="M166" i="7"/>
  <c r="K166" i="7"/>
  <c r="X165" i="7"/>
  <c r="W165" i="7"/>
  <c r="V165" i="7"/>
  <c r="U165" i="7"/>
  <c r="T165" i="7"/>
  <c r="S165" i="7"/>
  <c r="Q165" i="7"/>
  <c r="O165" i="7"/>
  <c r="M165" i="7"/>
  <c r="K165" i="7"/>
  <c r="X164" i="7"/>
  <c r="W164" i="7"/>
  <c r="V164" i="7"/>
  <c r="U164" i="7"/>
  <c r="T164" i="7"/>
  <c r="S164" i="7"/>
  <c r="Q164" i="7"/>
  <c r="O164" i="7"/>
  <c r="M164" i="7"/>
  <c r="K164" i="7"/>
  <c r="X163" i="7"/>
  <c r="W163" i="7"/>
  <c r="V163" i="7"/>
  <c r="U163" i="7"/>
  <c r="T163" i="7"/>
  <c r="S163" i="7"/>
  <c r="Q163" i="7"/>
  <c r="O163" i="7"/>
  <c r="M163" i="7"/>
  <c r="K163" i="7"/>
  <c r="X162" i="7"/>
  <c r="W162" i="7"/>
  <c r="V162" i="7"/>
  <c r="U162" i="7"/>
  <c r="T162" i="7"/>
  <c r="S162" i="7"/>
  <c r="Q162" i="7"/>
  <c r="O162" i="7"/>
  <c r="M162" i="7"/>
  <c r="K162" i="7"/>
  <c r="X161" i="7"/>
  <c r="W161" i="7"/>
  <c r="V161" i="7"/>
  <c r="U161" i="7"/>
  <c r="T161" i="7"/>
  <c r="S161" i="7"/>
  <c r="Q161" i="7"/>
  <c r="O161" i="7"/>
  <c r="M161" i="7"/>
  <c r="K161" i="7"/>
  <c r="X160" i="7"/>
  <c r="W160" i="7"/>
  <c r="V160" i="7"/>
  <c r="U160" i="7"/>
  <c r="T160" i="7"/>
  <c r="S160" i="7"/>
  <c r="Q160" i="7"/>
  <c r="O160" i="7"/>
  <c r="M160" i="7"/>
  <c r="K160" i="7"/>
  <c r="X159" i="7"/>
  <c r="W159" i="7"/>
  <c r="V159" i="7"/>
  <c r="U159" i="7"/>
  <c r="T159" i="7"/>
  <c r="S159" i="7"/>
  <c r="Q159" i="7"/>
  <c r="O159" i="7"/>
  <c r="M159" i="7"/>
  <c r="K159" i="7"/>
  <c r="X158" i="7"/>
  <c r="W158" i="7"/>
  <c r="V158" i="7"/>
  <c r="U158" i="7"/>
  <c r="T158" i="7"/>
  <c r="S158" i="7"/>
  <c r="Q158" i="7"/>
  <c r="O158" i="7"/>
  <c r="M158" i="7"/>
  <c r="K158" i="7"/>
  <c r="X157" i="7"/>
  <c r="W157" i="7"/>
  <c r="V157" i="7"/>
  <c r="U157" i="7"/>
  <c r="T157" i="7"/>
  <c r="S157" i="7"/>
  <c r="Q157" i="7"/>
  <c r="O157" i="7"/>
  <c r="M157" i="7"/>
  <c r="K157" i="7"/>
  <c r="X156" i="7"/>
  <c r="W156" i="7"/>
  <c r="V156" i="7"/>
  <c r="U156" i="7"/>
  <c r="T156" i="7"/>
  <c r="S156" i="7"/>
  <c r="Q156" i="7"/>
  <c r="O156" i="7"/>
  <c r="M156" i="7"/>
  <c r="K156" i="7"/>
  <c r="X155" i="7"/>
  <c r="W155" i="7"/>
  <c r="V155" i="7"/>
  <c r="U155" i="7"/>
  <c r="T155" i="7"/>
  <c r="S155" i="7"/>
  <c r="Q155" i="7"/>
  <c r="O155" i="7"/>
  <c r="M155" i="7"/>
  <c r="K155" i="7"/>
  <c r="X154" i="7"/>
  <c r="W154" i="7"/>
  <c r="V154" i="7"/>
  <c r="U154" i="7"/>
  <c r="T154" i="7"/>
  <c r="S154" i="7"/>
  <c r="Q154" i="7"/>
  <c r="O154" i="7"/>
  <c r="M154" i="7"/>
  <c r="K154" i="7"/>
  <c r="X153" i="7"/>
  <c r="W153" i="7"/>
  <c r="V153" i="7"/>
  <c r="U153" i="7"/>
  <c r="T153" i="7"/>
  <c r="S153" i="7"/>
  <c r="Q153" i="7"/>
  <c r="O153" i="7"/>
  <c r="M153" i="7"/>
  <c r="K153" i="7"/>
  <c r="X152" i="7"/>
  <c r="W152" i="7"/>
  <c r="V152" i="7"/>
  <c r="U152" i="7"/>
  <c r="T152" i="7"/>
  <c r="S152" i="7"/>
  <c r="Q152" i="7"/>
  <c r="O152" i="7"/>
  <c r="M152" i="7"/>
  <c r="K152" i="7"/>
  <c r="X151" i="7"/>
  <c r="W151" i="7"/>
  <c r="V151" i="7"/>
  <c r="U151" i="7"/>
  <c r="T151" i="7"/>
  <c r="S151" i="7"/>
  <c r="Q151" i="7"/>
  <c r="O151" i="7"/>
  <c r="M151" i="7"/>
  <c r="K151" i="7"/>
  <c r="X150" i="7"/>
  <c r="W150" i="7"/>
  <c r="V150" i="7"/>
  <c r="U150" i="7"/>
  <c r="T150" i="7"/>
  <c r="S150" i="7"/>
  <c r="Q150" i="7"/>
  <c r="O150" i="7"/>
  <c r="M150" i="7"/>
  <c r="K150" i="7"/>
  <c r="X149" i="7"/>
  <c r="W149" i="7"/>
  <c r="V149" i="7"/>
  <c r="U149" i="7"/>
  <c r="T149" i="7"/>
  <c r="S149" i="7"/>
  <c r="Q149" i="7"/>
  <c r="O149" i="7"/>
  <c r="M149" i="7"/>
  <c r="K149" i="7"/>
  <c r="X148" i="7"/>
  <c r="W148" i="7"/>
  <c r="V148" i="7"/>
  <c r="U148" i="7"/>
  <c r="T148" i="7"/>
  <c r="S148" i="7"/>
  <c r="Q148" i="7"/>
  <c r="O148" i="7"/>
  <c r="M148" i="7"/>
  <c r="K148" i="7"/>
  <c r="X147" i="7"/>
  <c r="W147" i="7"/>
  <c r="V147" i="7"/>
  <c r="U147" i="7"/>
  <c r="T147" i="7"/>
  <c r="S147" i="7"/>
  <c r="Q147" i="7"/>
  <c r="O147" i="7"/>
  <c r="M147" i="7"/>
  <c r="K147" i="7"/>
  <c r="X146" i="7"/>
  <c r="W146" i="7"/>
  <c r="V146" i="7"/>
  <c r="U146" i="7"/>
  <c r="T146" i="7"/>
  <c r="S146" i="7"/>
  <c r="Q146" i="7"/>
  <c r="O146" i="7"/>
  <c r="M146" i="7"/>
  <c r="K146" i="7"/>
  <c r="X145" i="7"/>
  <c r="W145" i="7"/>
  <c r="V145" i="7"/>
  <c r="U145" i="7"/>
  <c r="T145" i="7"/>
  <c r="S145" i="7"/>
  <c r="Q145" i="7"/>
  <c r="O145" i="7"/>
  <c r="M145" i="7"/>
  <c r="K145" i="7"/>
  <c r="X144" i="7"/>
  <c r="W144" i="7"/>
  <c r="V144" i="7"/>
  <c r="U144" i="7"/>
  <c r="T144" i="7"/>
  <c r="S144" i="7"/>
  <c r="Q144" i="7"/>
  <c r="O144" i="7"/>
  <c r="M144" i="7"/>
  <c r="K144" i="7"/>
  <c r="X143" i="7"/>
  <c r="W143" i="7"/>
  <c r="V143" i="7"/>
  <c r="U143" i="7"/>
  <c r="T143" i="7"/>
  <c r="S143" i="7"/>
  <c r="Q143" i="7"/>
  <c r="O143" i="7"/>
  <c r="M143" i="7"/>
  <c r="K143" i="7"/>
  <c r="X142" i="7"/>
  <c r="W142" i="7"/>
  <c r="V142" i="7"/>
  <c r="U142" i="7"/>
  <c r="T142" i="7"/>
  <c r="S142" i="7"/>
  <c r="Q142" i="7"/>
  <c r="O142" i="7"/>
  <c r="M142" i="7"/>
  <c r="K142" i="7"/>
  <c r="X141" i="7"/>
  <c r="W141" i="7"/>
  <c r="V141" i="7"/>
  <c r="U141" i="7"/>
  <c r="T141" i="7"/>
  <c r="S141" i="7"/>
  <c r="Q141" i="7"/>
  <c r="O141" i="7"/>
  <c r="M141" i="7"/>
  <c r="K141" i="7"/>
  <c r="X140" i="7"/>
  <c r="W140" i="7"/>
  <c r="V140" i="7"/>
  <c r="U140" i="7"/>
  <c r="T140" i="7"/>
  <c r="S140" i="7"/>
  <c r="Q140" i="7"/>
  <c r="O140" i="7"/>
  <c r="M140" i="7"/>
  <c r="K140" i="7"/>
  <c r="X139" i="7"/>
  <c r="W139" i="7"/>
  <c r="V139" i="7"/>
  <c r="U139" i="7"/>
  <c r="T139" i="7"/>
  <c r="S139" i="7"/>
  <c r="Q139" i="7"/>
  <c r="O139" i="7"/>
  <c r="M139" i="7"/>
  <c r="K139" i="7"/>
  <c r="X138" i="7"/>
  <c r="W138" i="7"/>
  <c r="V138" i="7"/>
  <c r="U138" i="7"/>
  <c r="T138" i="7"/>
  <c r="S138" i="7"/>
  <c r="Q138" i="7"/>
  <c r="O138" i="7"/>
  <c r="M138" i="7"/>
  <c r="K138" i="7"/>
  <c r="X137" i="7"/>
  <c r="W137" i="7"/>
  <c r="V137" i="7"/>
  <c r="U137" i="7"/>
  <c r="T137" i="7"/>
  <c r="S137" i="7"/>
  <c r="Q137" i="7"/>
  <c r="O137" i="7"/>
  <c r="M137" i="7"/>
  <c r="K137" i="7"/>
  <c r="X136" i="7"/>
  <c r="W136" i="7"/>
  <c r="V136" i="7"/>
  <c r="U136" i="7"/>
  <c r="T136" i="7"/>
  <c r="S136" i="7"/>
  <c r="Q136" i="7"/>
  <c r="O136" i="7"/>
  <c r="M136" i="7"/>
  <c r="K136" i="7"/>
  <c r="X135" i="7"/>
  <c r="W135" i="7"/>
  <c r="V135" i="7"/>
  <c r="U135" i="7"/>
  <c r="T135" i="7"/>
  <c r="S135" i="7"/>
  <c r="Q135" i="7"/>
  <c r="O135" i="7"/>
  <c r="M135" i="7"/>
  <c r="K135" i="7"/>
  <c r="X134" i="7"/>
  <c r="W134" i="7"/>
  <c r="V134" i="7"/>
  <c r="U134" i="7"/>
  <c r="T134" i="7"/>
  <c r="S134" i="7"/>
  <c r="Q134" i="7"/>
  <c r="O134" i="7"/>
  <c r="M134" i="7"/>
  <c r="K134" i="7"/>
  <c r="X133" i="7"/>
  <c r="W133" i="7"/>
  <c r="V133" i="7"/>
  <c r="U133" i="7"/>
  <c r="T133" i="7"/>
  <c r="S133" i="7"/>
  <c r="Q133" i="7"/>
  <c r="O133" i="7"/>
  <c r="M133" i="7"/>
  <c r="K133" i="7"/>
  <c r="X132" i="7"/>
  <c r="W132" i="7"/>
  <c r="V132" i="7"/>
  <c r="U132" i="7"/>
  <c r="T132" i="7"/>
  <c r="S132" i="7"/>
  <c r="Q132" i="7"/>
  <c r="O132" i="7"/>
  <c r="M132" i="7"/>
  <c r="K132" i="7"/>
  <c r="X131" i="7"/>
  <c r="W131" i="7"/>
  <c r="V131" i="7"/>
  <c r="U131" i="7"/>
  <c r="T131" i="7"/>
  <c r="S131" i="7"/>
  <c r="Q131" i="7"/>
  <c r="O131" i="7"/>
  <c r="M131" i="7"/>
  <c r="K131" i="7"/>
  <c r="X130" i="7"/>
  <c r="W130" i="7"/>
  <c r="V130" i="7"/>
  <c r="U130" i="7"/>
  <c r="T130" i="7"/>
  <c r="S130" i="7"/>
  <c r="Q130" i="7"/>
  <c r="O130" i="7"/>
  <c r="M130" i="7"/>
  <c r="K130" i="7"/>
  <c r="X129" i="7"/>
  <c r="W129" i="7"/>
  <c r="V129" i="7"/>
  <c r="U129" i="7"/>
  <c r="T129" i="7"/>
  <c r="S129" i="7"/>
  <c r="Q129" i="7"/>
  <c r="O129" i="7"/>
  <c r="M129" i="7"/>
  <c r="K129" i="7"/>
  <c r="X128" i="7"/>
  <c r="W128" i="7"/>
  <c r="V128" i="7"/>
  <c r="U128" i="7"/>
  <c r="T128" i="7"/>
  <c r="S128" i="7"/>
  <c r="Q128" i="7"/>
  <c r="O128" i="7"/>
  <c r="M128" i="7"/>
  <c r="K128" i="7"/>
  <c r="X127" i="7"/>
  <c r="W127" i="7"/>
  <c r="V127" i="7"/>
  <c r="U127" i="7"/>
  <c r="T127" i="7"/>
  <c r="S127" i="7"/>
  <c r="Q127" i="7"/>
  <c r="O127" i="7"/>
  <c r="M127" i="7"/>
  <c r="K127" i="7"/>
  <c r="X126" i="7"/>
  <c r="W126" i="7"/>
  <c r="V126" i="7"/>
  <c r="U126" i="7"/>
  <c r="T126" i="7"/>
  <c r="S126" i="7"/>
  <c r="Q126" i="7"/>
  <c r="O126" i="7"/>
  <c r="M126" i="7"/>
  <c r="K126" i="7"/>
  <c r="X125" i="7"/>
  <c r="W125" i="7"/>
  <c r="V125" i="7"/>
  <c r="U125" i="7"/>
  <c r="T125" i="7"/>
  <c r="S125" i="7"/>
  <c r="Q125" i="7"/>
  <c r="O125" i="7"/>
  <c r="M125" i="7"/>
  <c r="K125" i="7"/>
  <c r="X124" i="7"/>
  <c r="W124" i="7"/>
  <c r="V124" i="7"/>
  <c r="U124" i="7"/>
  <c r="T124" i="7"/>
  <c r="S124" i="7"/>
  <c r="Q124" i="7"/>
  <c r="O124" i="7"/>
  <c r="M124" i="7"/>
  <c r="K124" i="7"/>
  <c r="X123" i="7"/>
  <c r="W123" i="7"/>
  <c r="V123" i="7"/>
  <c r="U123" i="7"/>
  <c r="T123" i="7"/>
  <c r="S123" i="7"/>
  <c r="Q123" i="7"/>
  <c r="O123" i="7"/>
  <c r="M123" i="7"/>
  <c r="K123" i="7"/>
  <c r="X122" i="7"/>
  <c r="W122" i="7"/>
  <c r="V122" i="7"/>
  <c r="U122" i="7"/>
  <c r="T122" i="7"/>
  <c r="S122" i="7"/>
  <c r="Q122" i="7"/>
  <c r="O122" i="7"/>
  <c r="M122" i="7"/>
  <c r="K122" i="7"/>
  <c r="X121" i="7"/>
  <c r="W121" i="7"/>
  <c r="V121" i="7"/>
  <c r="U121" i="7"/>
  <c r="T121" i="7"/>
  <c r="S121" i="7"/>
  <c r="Q121" i="7"/>
  <c r="O121" i="7"/>
  <c r="M121" i="7"/>
  <c r="K121" i="7"/>
  <c r="X120" i="7"/>
  <c r="W120" i="7"/>
  <c r="V120" i="7"/>
  <c r="U120" i="7"/>
  <c r="T120" i="7"/>
  <c r="S120" i="7"/>
  <c r="Q120" i="7"/>
  <c r="O120" i="7"/>
  <c r="M120" i="7"/>
  <c r="K120" i="7"/>
  <c r="X119" i="7"/>
  <c r="W119" i="7"/>
  <c r="V119" i="7"/>
  <c r="U119" i="7"/>
  <c r="T119" i="7"/>
  <c r="S119" i="7"/>
  <c r="Q119" i="7"/>
  <c r="O119" i="7"/>
  <c r="M119" i="7"/>
  <c r="K119" i="7"/>
  <c r="X118" i="7"/>
  <c r="W118" i="7"/>
  <c r="V118" i="7"/>
  <c r="U118" i="7"/>
  <c r="T118" i="7"/>
  <c r="S118" i="7"/>
  <c r="Q118" i="7"/>
  <c r="O118" i="7"/>
  <c r="M118" i="7"/>
  <c r="K118" i="7"/>
  <c r="X117" i="7"/>
  <c r="W117" i="7"/>
  <c r="V117" i="7"/>
  <c r="U117" i="7"/>
  <c r="T117" i="7"/>
  <c r="S117" i="7"/>
  <c r="Q117" i="7"/>
  <c r="O117" i="7"/>
  <c r="M117" i="7"/>
  <c r="K117" i="7"/>
  <c r="X116" i="7"/>
  <c r="W116" i="7"/>
  <c r="V116" i="7"/>
  <c r="U116" i="7"/>
  <c r="T116" i="7"/>
  <c r="S116" i="7"/>
  <c r="Q116" i="7"/>
  <c r="O116" i="7"/>
  <c r="M116" i="7"/>
  <c r="K116" i="7"/>
  <c r="X115" i="7"/>
  <c r="W115" i="7"/>
  <c r="V115" i="7"/>
  <c r="U115" i="7"/>
  <c r="T115" i="7"/>
  <c r="S115" i="7"/>
  <c r="Q115" i="7"/>
  <c r="O115" i="7"/>
  <c r="M115" i="7"/>
  <c r="K115" i="7"/>
  <c r="X114" i="7"/>
  <c r="W114" i="7"/>
  <c r="V114" i="7"/>
  <c r="U114" i="7"/>
  <c r="T114" i="7"/>
  <c r="S114" i="7"/>
  <c r="Q114" i="7"/>
  <c r="O114" i="7"/>
  <c r="M114" i="7"/>
  <c r="K114" i="7"/>
  <c r="X113" i="7"/>
  <c r="W113" i="7"/>
  <c r="V113" i="7"/>
  <c r="U113" i="7"/>
  <c r="T113" i="7"/>
  <c r="S113" i="7"/>
  <c r="Q113" i="7"/>
  <c r="O113" i="7"/>
  <c r="M113" i="7"/>
  <c r="K113" i="7"/>
  <c r="X112" i="7"/>
  <c r="W112" i="7"/>
  <c r="V112" i="7"/>
  <c r="U112" i="7"/>
  <c r="T112" i="7"/>
  <c r="S112" i="7"/>
  <c r="Q112" i="7"/>
  <c r="O112" i="7"/>
  <c r="M112" i="7"/>
  <c r="K112" i="7"/>
  <c r="X111" i="7"/>
  <c r="W111" i="7"/>
  <c r="V111" i="7"/>
  <c r="U111" i="7"/>
  <c r="T111" i="7"/>
  <c r="S111" i="7"/>
  <c r="Q111" i="7"/>
  <c r="O111" i="7"/>
  <c r="M111" i="7"/>
  <c r="K111" i="7"/>
  <c r="X110" i="7"/>
  <c r="W110" i="7"/>
  <c r="V110" i="7"/>
  <c r="U110" i="7"/>
  <c r="T110" i="7"/>
  <c r="S110" i="7"/>
  <c r="Q110" i="7"/>
  <c r="O110" i="7"/>
  <c r="M110" i="7"/>
  <c r="K110" i="7"/>
  <c r="X109" i="7"/>
  <c r="W109" i="7"/>
  <c r="V109" i="7"/>
  <c r="U109" i="7"/>
  <c r="T109" i="7"/>
  <c r="S109" i="7"/>
  <c r="Q109" i="7"/>
  <c r="O109" i="7"/>
  <c r="M109" i="7"/>
  <c r="K109" i="7"/>
  <c r="X108" i="7"/>
  <c r="W108" i="7"/>
  <c r="V108" i="7"/>
  <c r="U108" i="7"/>
  <c r="T108" i="7"/>
  <c r="S108" i="7"/>
  <c r="Q108" i="7"/>
  <c r="O108" i="7"/>
  <c r="M108" i="7"/>
  <c r="K108" i="7"/>
  <c r="X107" i="7"/>
  <c r="W107" i="7"/>
  <c r="V107" i="7"/>
  <c r="U107" i="7"/>
  <c r="T107" i="7"/>
  <c r="S107" i="7"/>
  <c r="Q107" i="7"/>
  <c r="O107" i="7"/>
  <c r="M107" i="7"/>
  <c r="K107" i="7"/>
  <c r="X106" i="7"/>
  <c r="W106" i="7"/>
  <c r="V106" i="7"/>
  <c r="U106" i="7"/>
  <c r="T106" i="7"/>
  <c r="S106" i="7"/>
  <c r="Q106" i="7"/>
  <c r="O106" i="7"/>
  <c r="M106" i="7"/>
  <c r="K106" i="7"/>
  <c r="X105" i="7"/>
  <c r="W105" i="7"/>
  <c r="V105" i="7"/>
  <c r="U105" i="7"/>
  <c r="T105" i="7"/>
  <c r="S105" i="7"/>
  <c r="Q105" i="7"/>
  <c r="O105" i="7"/>
  <c r="M105" i="7"/>
  <c r="K105" i="7"/>
  <c r="X104" i="7"/>
  <c r="W104" i="7"/>
  <c r="V104" i="7"/>
  <c r="U104" i="7"/>
  <c r="T104" i="7"/>
  <c r="S104" i="7"/>
  <c r="Q104" i="7"/>
  <c r="O104" i="7"/>
  <c r="M104" i="7"/>
  <c r="K104" i="7"/>
  <c r="X103" i="7"/>
  <c r="W103" i="7"/>
  <c r="V103" i="7"/>
  <c r="U103" i="7"/>
  <c r="T103" i="7"/>
  <c r="S103" i="7"/>
  <c r="Q103" i="7"/>
  <c r="O103" i="7"/>
  <c r="M103" i="7"/>
  <c r="K103" i="7"/>
  <c r="X102" i="7"/>
  <c r="W102" i="7"/>
  <c r="V102" i="7"/>
  <c r="U102" i="7"/>
  <c r="T102" i="7"/>
  <c r="S102" i="7"/>
  <c r="Q102" i="7"/>
  <c r="O102" i="7"/>
  <c r="M102" i="7"/>
  <c r="K102" i="7"/>
  <c r="X101" i="7"/>
  <c r="W101" i="7"/>
  <c r="V101" i="7"/>
  <c r="U101" i="7"/>
  <c r="T101" i="7"/>
  <c r="S101" i="7"/>
  <c r="Q101" i="7"/>
  <c r="O101" i="7"/>
  <c r="M101" i="7"/>
  <c r="K101" i="7"/>
  <c r="X100" i="7"/>
  <c r="W100" i="7"/>
  <c r="V100" i="7"/>
  <c r="U100" i="7"/>
  <c r="T100" i="7"/>
  <c r="S100" i="7"/>
  <c r="Q100" i="7"/>
  <c r="O100" i="7"/>
  <c r="M100" i="7"/>
  <c r="K100" i="7"/>
  <c r="X99" i="7"/>
  <c r="W99" i="7"/>
  <c r="V99" i="7"/>
  <c r="U99" i="7"/>
  <c r="T99" i="7"/>
  <c r="S99" i="7"/>
  <c r="Q99" i="7"/>
  <c r="O99" i="7"/>
  <c r="M99" i="7"/>
  <c r="K99" i="7"/>
  <c r="X98" i="7"/>
  <c r="W98" i="7"/>
  <c r="V98" i="7"/>
  <c r="U98" i="7"/>
  <c r="T98" i="7"/>
  <c r="S98" i="7"/>
  <c r="Q98" i="7"/>
  <c r="O98" i="7"/>
  <c r="M98" i="7"/>
  <c r="K98" i="7"/>
  <c r="X97" i="7"/>
  <c r="W97" i="7"/>
  <c r="V97" i="7"/>
  <c r="U97" i="7"/>
  <c r="T97" i="7"/>
  <c r="S97" i="7"/>
  <c r="Q97" i="7"/>
  <c r="O97" i="7"/>
  <c r="M97" i="7"/>
  <c r="K97" i="7"/>
  <c r="X96" i="7"/>
  <c r="W96" i="7"/>
  <c r="V96" i="7"/>
  <c r="U96" i="7"/>
  <c r="T96" i="7"/>
  <c r="S96" i="7"/>
  <c r="Q96" i="7"/>
  <c r="O96" i="7"/>
  <c r="M96" i="7"/>
  <c r="K96" i="7"/>
  <c r="X95" i="7"/>
  <c r="W95" i="7"/>
  <c r="V95" i="7"/>
  <c r="U95" i="7"/>
  <c r="T95" i="7"/>
  <c r="S95" i="7"/>
  <c r="Q95" i="7"/>
  <c r="O95" i="7"/>
  <c r="M95" i="7"/>
  <c r="K95" i="7"/>
  <c r="X94" i="7"/>
  <c r="W94" i="7"/>
  <c r="V94" i="7"/>
  <c r="U94" i="7"/>
  <c r="T94" i="7"/>
  <c r="S94" i="7"/>
  <c r="Q94" i="7"/>
  <c r="O94" i="7"/>
  <c r="M94" i="7"/>
  <c r="K94" i="7"/>
  <c r="X93" i="7"/>
  <c r="W93" i="7"/>
  <c r="V93" i="7"/>
  <c r="U93" i="7"/>
  <c r="T93" i="7"/>
  <c r="S93" i="7"/>
  <c r="Q93" i="7"/>
  <c r="O93" i="7"/>
  <c r="M93" i="7"/>
  <c r="K93" i="7"/>
  <c r="X92" i="7"/>
  <c r="W92" i="7"/>
  <c r="V92" i="7"/>
  <c r="U92" i="7"/>
  <c r="T92" i="7"/>
  <c r="S92" i="7"/>
  <c r="Q92" i="7"/>
  <c r="O92" i="7"/>
  <c r="M92" i="7"/>
  <c r="K92" i="7"/>
  <c r="X91" i="7"/>
  <c r="W91" i="7"/>
  <c r="V91" i="7"/>
  <c r="U91" i="7"/>
  <c r="T91" i="7"/>
  <c r="S91" i="7"/>
  <c r="Q91" i="7"/>
  <c r="O91" i="7"/>
  <c r="M91" i="7"/>
  <c r="K91" i="7"/>
  <c r="X90" i="7"/>
  <c r="W90" i="7"/>
  <c r="V90" i="7"/>
  <c r="U90" i="7"/>
  <c r="T90" i="7"/>
  <c r="S90" i="7"/>
  <c r="Q90" i="7"/>
  <c r="O90" i="7"/>
  <c r="M90" i="7"/>
  <c r="K90" i="7"/>
  <c r="X89" i="7"/>
  <c r="W89" i="7"/>
  <c r="V89" i="7"/>
  <c r="U89" i="7"/>
  <c r="T89" i="7"/>
  <c r="S89" i="7"/>
  <c r="Q89" i="7"/>
  <c r="O89" i="7"/>
  <c r="M89" i="7"/>
  <c r="K89" i="7"/>
  <c r="X88" i="7"/>
  <c r="W88" i="7"/>
  <c r="V88" i="7"/>
  <c r="U88" i="7"/>
  <c r="T88" i="7"/>
  <c r="S88" i="7"/>
  <c r="Q88" i="7"/>
  <c r="O88" i="7"/>
  <c r="M88" i="7"/>
  <c r="K88" i="7"/>
  <c r="X87" i="7"/>
  <c r="W87" i="7"/>
  <c r="V87" i="7"/>
  <c r="U87" i="7"/>
  <c r="T87" i="7"/>
  <c r="S87" i="7"/>
  <c r="Q87" i="7"/>
  <c r="O87" i="7"/>
  <c r="M87" i="7"/>
  <c r="K87" i="7"/>
  <c r="X86" i="7"/>
  <c r="W86" i="7"/>
  <c r="V86" i="7"/>
  <c r="U86" i="7"/>
  <c r="T86" i="7"/>
  <c r="S86" i="7"/>
  <c r="Q86" i="7"/>
  <c r="O86" i="7"/>
  <c r="M86" i="7"/>
  <c r="K86" i="7"/>
  <c r="X85" i="7"/>
  <c r="W85" i="7"/>
  <c r="V85" i="7"/>
  <c r="U85" i="7"/>
  <c r="T85" i="7"/>
  <c r="S85" i="7"/>
  <c r="Q85" i="7"/>
  <c r="O85" i="7"/>
  <c r="M85" i="7"/>
  <c r="K85" i="7"/>
  <c r="X84" i="7"/>
  <c r="W84" i="7"/>
  <c r="V84" i="7"/>
  <c r="U84" i="7"/>
  <c r="T84" i="7"/>
  <c r="S84" i="7"/>
  <c r="Q84" i="7"/>
  <c r="O84" i="7"/>
  <c r="M84" i="7"/>
  <c r="K84" i="7"/>
  <c r="X83" i="7"/>
  <c r="W83" i="7"/>
  <c r="V83" i="7"/>
  <c r="U83" i="7"/>
  <c r="T83" i="7"/>
  <c r="S83" i="7"/>
  <c r="Q83" i="7"/>
  <c r="O83" i="7"/>
  <c r="M83" i="7"/>
  <c r="K83" i="7"/>
  <c r="X82" i="7"/>
  <c r="W82" i="7"/>
  <c r="V82" i="7"/>
  <c r="U82" i="7"/>
  <c r="T82" i="7"/>
  <c r="S82" i="7"/>
  <c r="Q82" i="7"/>
  <c r="O82" i="7"/>
  <c r="M82" i="7"/>
  <c r="K82" i="7"/>
  <c r="X81" i="7"/>
  <c r="W81" i="7"/>
  <c r="V81" i="7"/>
  <c r="U81" i="7"/>
  <c r="T81" i="7"/>
  <c r="S81" i="7"/>
  <c r="Q81" i="7"/>
  <c r="O81" i="7"/>
  <c r="M81" i="7"/>
  <c r="K81" i="7"/>
  <c r="X80" i="7"/>
  <c r="W80" i="7"/>
  <c r="V80" i="7"/>
  <c r="U80" i="7"/>
  <c r="T80" i="7"/>
  <c r="S80" i="7"/>
  <c r="Q80" i="7"/>
  <c r="O80" i="7"/>
  <c r="M80" i="7"/>
  <c r="K80" i="7"/>
  <c r="X79" i="7"/>
  <c r="W79" i="7"/>
  <c r="V79" i="7"/>
  <c r="U79" i="7"/>
  <c r="T79" i="7"/>
  <c r="S79" i="7"/>
  <c r="Q79" i="7"/>
  <c r="O79" i="7"/>
  <c r="M79" i="7"/>
  <c r="K79" i="7"/>
  <c r="X78" i="7"/>
  <c r="W78" i="7"/>
  <c r="V78" i="7"/>
  <c r="U78" i="7"/>
  <c r="T78" i="7"/>
  <c r="S78" i="7"/>
  <c r="Q78" i="7"/>
  <c r="O78" i="7"/>
  <c r="M78" i="7"/>
  <c r="K78" i="7"/>
  <c r="X77" i="7"/>
  <c r="W77" i="7"/>
  <c r="V77" i="7"/>
  <c r="U77" i="7"/>
  <c r="T77" i="7"/>
  <c r="S77" i="7"/>
  <c r="Q77" i="7"/>
  <c r="O77" i="7"/>
  <c r="M77" i="7"/>
  <c r="K77" i="7"/>
  <c r="X76" i="7"/>
  <c r="W76" i="7"/>
  <c r="V76" i="7"/>
  <c r="U76" i="7"/>
  <c r="T76" i="7"/>
  <c r="S76" i="7"/>
  <c r="Q76" i="7"/>
  <c r="O76" i="7"/>
  <c r="M76" i="7"/>
  <c r="K76" i="7"/>
  <c r="X75" i="7"/>
  <c r="W75" i="7"/>
  <c r="V75" i="7"/>
  <c r="U75" i="7"/>
  <c r="T75" i="7"/>
  <c r="S75" i="7"/>
  <c r="Q75" i="7"/>
  <c r="O75" i="7"/>
  <c r="M75" i="7"/>
  <c r="K75" i="7"/>
  <c r="X74" i="7"/>
  <c r="W74" i="7"/>
  <c r="V74" i="7"/>
  <c r="U74" i="7"/>
  <c r="T74" i="7"/>
  <c r="S74" i="7"/>
  <c r="Q74" i="7"/>
  <c r="O74" i="7"/>
  <c r="M74" i="7"/>
  <c r="K74" i="7"/>
  <c r="X73" i="7"/>
  <c r="W73" i="7"/>
  <c r="V73" i="7"/>
  <c r="U73" i="7"/>
  <c r="T73" i="7"/>
  <c r="S73" i="7"/>
  <c r="Q73" i="7"/>
  <c r="O73" i="7"/>
  <c r="M73" i="7"/>
  <c r="K73" i="7"/>
  <c r="X72" i="7"/>
  <c r="W72" i="7"/>
  <c r="V72" i="7"/>
  <c r="U72" i="7"/>
  <c r="T72" i="7"/>
  <c r="S72" i="7"/>
  <c r="Q72" i="7"/>
  <c r="O72" i="7"/>
  <c r="M72" i="7"/>
  <c r="K72" i="7"/>
  <c r="X71" i="7"/>
  <c r="W71" i="7"/>
  <c r="V71" i="7"/>
  <c r="U71" i="7"/>
  <c r="T71" i="7"/>
  <c r="S71" i="7"/>
  <c r="Q71" i="7"/>
  <c r="O71" i="7"/>
  <c r="M71" i="7"/>
  <c r="K71" i="7"/>
  <c r="X70" i="7"/>
  <c r="W70" i="7"/>
  <c r="V70" i="7"/>
  <c r="U70" i="7"/>
  <c r="T70" i="7"/>
  <c r="S70" i="7"/>
  <c r="Q70" i="7"/>
  <c r="O70" i="7"/>
  <c r="M70" i="7"/>
  <c r="K70" i="7"/>
  <c r="X69" i="7"/>
  <c r="W69" i="7"/>
  <c r="V69" i="7"/>
  <c r="U69" i="7"/>
  <c r="T69" i="7"/>
  <c r="S69" i="7"/>
  <c r="Q69" i="7"/>
  <c r="O69" i="7"/>
  <c r="M69" i="7"/>
  <c r="K69" i="7"/>
  <c r="X68" i="7"/>
  <c r="W68" i="7"/>
  <c r="V68" i="7"/>
  <c r="U68" i="7"/>
  <c r="T68" i="7"/>
  <c r="S68" i="7"/>
  <c r="Q68" i="7"/>
  <c r="O68" i="7"/>
  <c r="M68" i="7"/>
  <c r="K68" i="7"/>
  <c r="X67" i="7"/>
  <c r="W67" i="7"/>
  <c r="V67" i="7"/>
  <c r="U67" i="7"/>
  <c r="T67" i="7"/>
  <c r="S67" i="7"/>
  <c r="Q67" i="7"/>
  <c r="O67" i="7"/>
  <c r="M67" i="7"/>
  <c r="K67" i="7"/>
  <c r="X66" i="7"/>
  <c r="W66" i="7"/>
  <c r="V66" i="7"/>
  <c r="U66" i="7"/>
  <c r="T66" i="7"/>
  <c r="S66" i="7"/>
  <c r="Q66" i="7"/>
  <c r="O66" i="7"/>
  <c r="M66" i="7"/>
  <c r="K66" i="7"/>
  <c r="X65" i="7"/>
  <c r="W65" i="7"/>
  <c r="V65" i="7"/>
  <c r="U65" i="7"/>
  <c r="T65" i="7"/>
  <c r="S65" i="7"/>
  <c r="Q65" i="7"/>
  <c r="O65" i="7"/>
  <c r="M65" i="7"/>
  <c r="K65" i="7"/>
  <c r="X64" i="7"/>
  <c r="W64" i="7"/>
  <c r="V64" i="7"/>
  <c r="U64" i="7"/>
  <c r="T64" i="7"/>
  <c r="S64" i="7"/>
  <c r="Q64" i="7"/>
  <c r="O64" i="7"/>
  <c r="M64" i="7"/>
  <c r="K64" i="7"/>
  <c r="X63" i="7"/>
  <c r="W63" i="7"/>
  <c r="V63" i="7"/>
  <c r="U63" i="7"/>
  <c r="T63" i="7"/>
  <c r="S63" i="7"/>
  <c r="Q63" i="7"/>
  <c r="O63" i="7"/>
  <c r="M63" i="7"/>
  <c r="K63" i="7"/>
  <c r="X62" i="7"/>
  <c r="W62" i="7"/>
  <c r="V62" i="7"/>
  <c r="U62" i="7"/>
  <c r="T62" i="7"/>
  <c r="S62" i="7"/>
  <c r="Q62" i="7"/>
  <c r="O62" i="7"/>
  <c r="M62" i="7"/>
  <c r="K62" i="7"/>
  <c r="X61" i="7"/>
  <c r="W61" i="7"/>
  <c r="V61" i="7"/>
  <c r="U61" i="7"/>
  <c r="T61" i="7"/>
  <c r="S61" i="7"/>
  <c r="Q61" i="7"/>
  <c r="O61" i="7"/>
  <c r="M61" i="7"/>
  <c r="K61" i="7"/>
  <c r="X60" i="7"/>
  <c r="W60" i="7"/>
  <c r="V60" i="7"/>
  <c r="U60" i="7"/>
  <c r="T60" i="7"/>
  <c r="S60" i="7"/>
  <c r="Q60" i="7"/>
  <c r="O60" i="7"/>
  <c r="M60" i="7"/>
  <c r="K60" i="7"/>
  <c r="X59" i="7"/>
  <c r="W59" i="7"/>
  <c r="V59" i="7"/>
  <c r="U59" i="7"/>
  <c r="T59" i="7"/>
  <c r="S59" i="7"/>
  <c r="Q59" i="7"/>
  <c r="O59" i="7"/>
  <c r="M59" i="7"/>
  <c r="K59" i="7"/>
  <c r="X58" i="7"/>
  <c r="W58" i="7"/>
  <c r="V58" i="7"/>
  <c r="U58" i="7"/>
  <c r="T58" i="7"/>
  <c r="S58" i="7"/>
  <c r="Q58" i="7"/>
  <c r="O58" i="7"/>
  <c r="M58" i="7"/>
  <c r="K58" i="7"/>
  <c r="X57" i="7"/>
  <c r="W57" i="7"/>
  <c r="V57" i="7"/>
  <c r="U57" i="7"/>
  <c r="T57" i="7"/>
  <c r="S57" i="7"/>
  <c r="Q57" i="7"/>
  <c r="O57" i="7"/>
  <c r="M57" i="7"/>
  <c r="K57" i="7"/>
  <c r="X56" i="7"/>
  <c r="W56" i="7"/>
  <c r="V56" i="7"/>
  <c r="U56" i="7"/>
  <c r="T56" i="7"/>
  <c r="S56" i="7"/>
  <c r="Q56" i="7"/>
  <c r="O56" i="7"/>
  <c r="M56" i="7"/>
  <c r="K56" i="7"/>
  <c r="X55" i="7"/>
  <c r="W55" i="7"/>
  <c r="V55" i="7"/>
  <c r="U55" i="7"/>
  <c r="T55" i="7"/>
  <c r="S55" i="7"/>
  <c r="Q55" i="7"/>
  <c r="O55" i="7"/>
  <c r="M55" i="7"/>
  <c r="K55" i="7"/>
  <c r="X54" i="7"/>
  <c r="W54" i="7"/>
  <c r="V54" i="7"/>
  <c r="U54" i="7"/>
  <c r="T54" i="7"/>
  <c r="S54" i="7"/>
  <c r="Q54" i="7"/>
  <c r="O54" i="7"/>
  <c r="M54" i="7"/>
  <c r="K54" i="7"/>
  <c r="X53" i="7"/>
  <c r="W53" i="7"/>
  <c r="V53" i="7"/>
  <c r="U53" i="7"/>
  <c r="T53" i="7"/>
  <c r="S53" i="7"/>
  <c r="Q53" i="7"/>
  <c r="O53" i="7"/>
  <c r="M53" i="7"/>
  <c r="K53" i="7"/>
  <c r="X52" i="7"/>
  <c r="W52" i="7"/>
  <c r="V52" i="7"/>
  <c r="U52" i="7"/>
  <c r="T52" i="7"/>
  <c r="S52" i="7"/>
  <c r="Q52" i="7"/>
  <c r="O52" i="7"/>
  <c r="M52" i="7"/>
  <c r="K52" i="7"/>
  <c r="X51" i="7"/>
  <c r="W51" i="7"/>
  <c r="V51" i="7"/>
  <c r="U51" i="7"/>
  <c r="T51" i="7"/>
  <c r="S51" i="7"/>
  <c r="Q51" i="7"/>
  <c r="O51" i="7"/>
  <c r="M51" i="7"/>
  <c r="K51" i="7"/>
  <c r="X50" i="7"/>
  <c r="W50" i="7"/>
  <c r="V50" i="7"/>
  <c r="U50" i="7"/>
  <c r="T50" i="7"/>
  <c r="S50" i="7"/>
  <c r="Q50" i="7"/>
  <c r="O50" i="7"/>
  <c r="M50" i="7"/>
  <c r="K50" i="7"/>
  <c r="X49" i="7"/>
  <c r="W49" i="7"/>
  <c r="V49" i="7"/>
  <c r="U49" i="7"/>
  <c r="T49" i="7"/>
  <c r="S49" i="7"/>
  <c r="Q49" i="7"/>
  <c r="O49" i="7"/>
  <c r="M49" i="7"/>
  <c r="K49" i="7"/>
  <c r="X48" i="7"/>
  <c r="W48" i="7"/>
  <c r="V48" i="7"/>
  <c r="U48" i="7"/>
  <c r="T48" i="7"/>
  <c r="S48" i="7"/>
  <c r="Q48" i="7"/>
  <c r="O48" i="7"/>
  <c r="M48" i="7"/>
  <c r="K48" i="7"/>
  <c r="X47" i="7"/>
  <c r="W47" i="7"/>
  <c r="V47" i="7"/>
  <c r="U47" i="7"/>
  <c r="T47" i="7"/>
  <c r="S47" i="7"/>
  <c r="Q47" i="7"/>
  <c r="O47" i="7"/>
  <c r="M47" i="7"/>
  <c r="K47" i="7"/>
  <c r="X46" i="7"/>
  <c r="W46" i="7"/>
  <c r="V46" i="7"/>
  <c r="U46" i="7"/>
  <c r="T46" i="7"/>
  <c r="S46" i="7"/>
  <c r="Q46" i="7"/>
  <c r="O46" i="7"/>
  <c r="M46" i="7"/>
  <c r="K46" i="7"/>
  <c r="X45" i="7"/>
  <c r="W45" i="7"/>
  <c r="V45" i="7"/>
  <c r="U45" i="7"/>
  <c r="T45" i="7"/>
  <c r="S45" i="7"/>
  <c r="Q45" i="7"/>
  <c r="O45" i="7"/>
  <c r="M45" i="7"/>
  <c r="K45" i="7"/>
  <c r="X44" i="7"/>
  <c r="W44" i="7"/>
  <c r="V44" i="7"/>
  <c r="U44" i="7"/>
  <c r="T44" i="7"/>
  <c r="S44" i="7"/>
  <c r="Q44" i="7"/>
  <c r="O44" i="7"/>
  <c r="M44" i="7"/>
  <c r="K44" i="7"/>
  <c r="X43" i="7"/>
  <c r="W43" i="7"/>
  <c r="V43" i="7"/>
  <c r="U43" i="7"/>
  <c r="T43" i="7"/>
  <c r="S43" i="7"/>
  <c r="Q43" i="7"/>
  <c r="O43" i="7"/>
  <c r="M43" i="7"/>
  <c r="K43" i="7"/>
  <c r="X42" i="7"/>
  <c r="W42" i="7"/>
  <c r="V42" i="7"/>
  <c r="U42" i="7"/>
  <c r="T42" i="7"/>
  <c r="S42" i="7"/>
  <c r="Q42" i="7"/>
  <c r="O42" i="7"/>
  <c r="M42" i="7"/>
  <c r="K42" i="7"/>
  <c r="X41" i="7"/>
  <c r="W41" i="7"/>
  <c r="V41" i="7"/>
  <c r="U41" i="7"/>
  <c r="T41" i="7"/>
  <c r="S41" i="7"/>
  <c r="Q41" i="7"/>
  <c r="O41" i="7"/>
  <c r="M41" i="7"/>
  <c r="K41" i="7"/>
  <c r="X40" i="7"/>
  <c r="W40" i="7"/>
  <c r="V40" i="7"/>
  <c r="U40" i="7"/>
  <c r="T40" i="7"/>
  <c r="S40" i="7"/>
  <c r="Q40" i="7"/>
  <c r="O40" i="7"/>
  <c r="M40" i="7"/>
  <c r="K40" i="7"/>
  <c r="X39" i="7"/>
  <c r="W39" i="7"/>
  <c r="V39" i="7"/>
  <c r="U39" i="7"/>
  <c r="T39" i="7"/>
  <c r="S39" i="7"/>
  <c r="Q39" i="7"/>
  <c r="O39" i="7"/>
  <c r="M39" i="7"/>
  <c r="K39" i="7"/>
  <c r="X38" i="7"/>
  <c r="W38" i="7"/>
  <c r="V38" i="7"/>
  <c r="U38" i="7"/>
  <c r="T38" i="7"/>
  <c r="S38" i="7"/>
  <c r="Q38" i="7"/>
  <c r="O38" i="7"/>
  <c r="M38" i="7"/>
  <c r="K38" i="7"/>
  <c r="X37" i="7"/>
  <c r="W37" i="7"/>
  <c r="V37" i="7"/>
  <c r="U37" i="7"/>
  <c r="T37" i="7"/>
  <c r="S37" i="7"/>
  <c r="Q37" i="7"/>
  <c r="O37" i="7"/>
  <c r="M37" i="7"/>
  <c r="K37" i="7"/>
  <c r="X36" i="7"/>
  <c r="W36" i="7"/>
  <c r="V36" i="7"/>
  <c r="U36" i="7"/>
  <c r="T36" i="7"/>
  <c r="S36" i="7"/>
  <c r="Q36" i="7"/>
  <c r="O36" i="7"/>
  <c r="M36" i="7"/>
  <c r="K36" i="7"/>
  <c r="X35" i="7"/>
  <c r="W35" i="7"/>
  <c r="V35" i="7"/>
  <c r="U35" i="7"/>
  <c r="T35" i="7"/>
  <c r="S35" i="7"/>
  <c r="Q35" i="7"/>
  <c r="O35" i="7"/>
  <c r="M35" i="7"/>
  <c r="K35" i="7"/>
  <c r="X34" i="7"/>
  <c r="W34" i="7"/>
  <c r="V34" i="7"/>
  <c r="U34" i="7"/>
  <c r="T34" i="7"/>
  <c r="S34" i="7"/>
  <c r="Q34" i="7"/>
  <c r="O34" i="7"/>
  <c r="M34" i="7"/>
  <c r="K34" i="7"/>
  <c r="X33" i="7"/>
  <c r="W33" i="7"/>
  <c r="V33" i="7"/>
  <c r="U33" i="7"/>
  <c r="T33" i="7"/>
  <c r="S33" i="7"/>
  <c r="Q33" i="7"/>
  <c r="O33" i="7"/>
  <c r="M33" i="7"/>
  <c r="K33" i="7"/>
  <c r="X32" i="7"/>
  <c r="W32" i="7"/>
  <c r="V32" i="7"/>
  <c r="U32" i="7"/>
  <c r="T32" i="7"/>
  <c r="S32" i="7"/>
  <c r="Q32" i="7"/>
  <c r="O32" i="7"/>
  <c r="M32" i="7"/>
  <c r="K32" i="7"/>
  <c r="X31" i="7"/>
  <c r="W31" i="7"/>
  <c r="V31" i="7"/>
  <c r="U31" i="7"/>
  <c r="T31" i="7"/>
  <c r="S31" i="7"/>
  <c r="Q31" i="7"/>
  <c r="O31" i="7"/>
  <c r="M31" i="7"/>
  <c r="K31" i="7"/>
  <c r="X30" i="7"/>
  <c r="W30" i="7"/>
  <c r="V30" i="7"/>
  <c r="U30" i="7"/>
  <c r="T30" i="7"/>
  <c r="S30" i="7"/>
  <c r="Q30" i="7"/>
  <c r="O30" i="7"/>
  <c r="M30" i="7"/>
  <c r="K30" i="7"/>
  <c r="X29" i="7"/>
  <c r="W29" i="7"/>
  <c r="V29" i="7"/>
  <c r="U29" i="7"/>
  <c r="T29" i="7"/>
  <c r="S29" i="7"/>
  <c r="Q29" i="7"/>
  <c r="O29" i="7"/>
  <c r="M29" i="7"/>
  <c r="K29" i="7"/>
  <c r="X28" i="7"/>
  <c r="W28" i="7"/>
  <c r="V28" i="7"/>
  <c r="U28" i="7"/>
  <c r="T28" i="7"/>
  <c r="S28" i="7"/>
  <c r="Q28" i="7"/>
  <c r="O28" i="7"/>
  <c r="M28" i="7"/>
  <c r="K28" i="7"/>
  <c r="X27" i="7"/>
  <c r="W27" i="7"/>
  <c r="V27" i="7"/>
  <c r="U27" i="7"/>
  <c r="T27" i="7"/>
  <c r="S27" i="7"/>
  <c r="Q27" i="7"/>
  <c r="O27" i="7"/>
  <c r="M27" i="7"/>
  <c r="K27" i="7"/>
  <c r="X26" i="7"/>
  <c r="W26" i="7"/>
  <c r="V26" i="7"/>
  <c r="U26" i="7"/>
  <c r="T26" i="7"/>
  <c r="S26" i="7"/>
  <c r="Q26" i="7"/>
  <c r="O26" i="7"/>
  <c r="M26" i="7"/>
  <c r="K26" i="7"/>
  <c r="X25" i="7"/>
  <c r="W25" i="7"/>
  <c r="V25" i="7"/>
  <c r="U25" i="7"/>
  <c r="T25" i="7"/>
  <c r="S25" i="7"/>
  <c r="Q25" i="7"/>
  <c r="O25" i="7"/>
  <c r="M25" i="7"/>
  <c r="K25" i="7"/>
  <c r="X24" i="7"/>
  <c r="W24" i="7"/>
  <c r="V24" i="7"/>
  <c r="U24" i="7"/>
  <c r="T24" i="7"/>
  <c r="S24" i="7"/>
  <c r="Q24" i="7"/>
  <c r="O24" i="7"/>
  <c r="M24" i="7"/>
  <c r="K24" i="7"/>
  <c r="X23" i="7"/>
  <c r="W23" i="7"/>
  <c r="V23" i="7"/>
  <c r="U23" i="7"/>
  <c r="T23" i="7"/>
  <c r="S23" i="7"/>
  <c r="Q23" i="7"/>
  <c r="O23" i="7"/>
  <c r="M23" i="7"/>
  <c r="K23" i="7"/>
  <c r="X22" i="7"/>
  <c r="W22" i="7"/>
  <c r="V22" i="7"/>
  <c r="U22" i="7"/>
  <c r="T22" i="7"/>
  <c r="S22" i="7"/>
  <c r="Q22" i="7"/>
  <c r="O22" i="7"/>
  <c r="M22" i="7"/>
  <c r="K22" i="7"/>
  <c r="X21" i="7"/>
  <c r="W21" i="7"/>
  <c r="V21" i="7"/>
  <c r="U21" i="7"/>
  <c r="T21" i="7"/>
  <c r="S21" i="7"/>
  <c r="Q21" i="7"/>
  <c r="O21" i="7"/>
  <c r="M21" i="7"/>
  <c r="K21" i="7"/>
  <c r="X20" i="7"/>
  <c r="W20" i="7"/>
  <c r="V20" i="7"/>
  <c r="U20" i="7"/>
  <c r="T20" i="7"/>
  <c r="S20" i="7"/>
  <c r="Q20" i="7"/>
  <c r="O20" i="7"/>
  <c r="M20" i="7"/>
  <c r="K20" i="7"/>
  <c r="X19" i="7"/>
  <c r="W19" i="7"/>
  <c r="V19" i="7"/>
  <c r="U19" i="7"/>
  <c r="T19" i="7"/>
  <c r="S19" i="7"/>
  <c r="Q19" i="7"/>
  <c r="O19" i="7"/>
  <c r="M19" i="7"/>
  <c r="K19" i="7"/>
  <c r="X18" i="7"/>
  <c r="W18" i="7"/>
  <c r="V18" i="7"/>
  <c r="U18" i="7"/>
  <c r="T18" i="7"/>
  <c r="S18" i="7"/>
  <c r="Q18" i="7"/>
  <c r="O18" i="7"/>
  <c r="M18" i="7"/>
  <c r="K18" i="7"/>
  <c r="X17" i="7"/>
  <c r="W17" i="7"/>
  <c r="V17" i="7"/>
  <c r="U17" i="7"/>
  <c r="T17" i="7"/>
  <c r="S17" i="7"/>
  <c r="Q17" i="7"/>
  <c r="O17" i="7"/>
  <c r="M17" i="7"/>
  <c r="K17" i="7"/>
  <c r="X16" i="7"/>
  <c r="W16" i="7"/>
  <c r="V16" i="7"/>
  <c r="U16" i="7"/>
  <c r="T16" i="7"/>
  <c r="S16" i="7"/>
  <c r="Q16" i="7"/>
  <c r="O16" i="7"/>
  <c r="M16" i="7"/>
  <c r="K16" i="7"/>
  <c r="X15" i="7"/>
  <c r="W15" i="7"/>
  <c r="V15" i="7"/>
  <c r="U15" i="7"/>
  <c r="T15" i="7"/>
  <c r="S15" i="7"/>
  <c r="Q15" i="7"/>
  <c r="O15" i="7"/>
  <c r="M15" i="7"/>
  <c r="K15" i="7"/>
  <c r="X14" i="7"/>
  <c r="W14" i="7"/>
  <c r="V14" i="7"/>
  <c r="U14" i="7"/>
  <c r="T14" i="7"/>
  <c r="S14" i="7"/>
  <c r="Q14" i="7"/>
  <c r="O14" i="7"/>
  <c r="M14" i="7"/>
  <c r="K14" i="7"/>
  <c r="X13" i="7"/>
  <c r="W13" i="7"/>
  <c r="V13" i="7"/>
  <c r="U13" i="7"/>
  <c r="T13" i="7"/>
  <c r="S13" i="7"/>
  <c r="Q13" i="7"/>
  <c r="O13" i="7"/>
  <c r="M13" i="7"/>
  <c r="K13" i="7"/>
  <c r="X12" i="7"/>
  <c r="W12" i="7"/>
  <c r="V12" i="7"/>
  <c r="U12" i="7"/>
  <c r="T12" i="7"/>
  <c r="S12" i="7"/>
  <c r="Q12" i="7"/>
  <c r="O12" i="7"/>
  <c r="M12" i="7"/>
  <c r="K12" i="7"/>
  <c r="X11" i="7"/>
  <c r="W11" i="7"/>
  <c r="V11" i="7"/>
  <c r="U11" i="7"/>
  <c r="T11" i="7"/>
  <c r="S11" i="7"/>
  <c r="Q11" i="7"/>
  <c r="O11" i="7"/>
  <c r="M11" i="7"/>
  <c r="K11" i="7"/>
  <c r="X10" i="7"/>
  <c r="W10" i="7"/>
  <c r="V10" i="7"/>
  <c r="U10" i="7"/>
  <c r="T10" i="7"/>
  <c r="S10" i="7"/>
  <c r="Q10" i="7"/>
  <c r="O10" i="7"/>
  <c r="M10" i="7"/>
  <c r="K10" i="7"/>
  <c r="X9" i="7"/>
  <c r="W9" i="7"/>
  <c r="V9" i="7"/>
  <c r="U9" i="7"/>
  <c r="T9" i="7"/>
  <c r="S9" i="7"/>
  <c r="Q9" i="7"/>
  <c r="O9" i="7"/>
  <c r="M9" i="7"/>
  <c r="K9" i="7"/>
  <c r="X8" i="7"/>
  <c r="W8" i="7"/>
  <c r="V8" i="7"/>
  <c r="U8" i="7"/>
  <c r="T8" i="7"/>
  <c r="S8" i="7"/>
  <c r="Q8" i="7"/>
  <c r="O8" i="7"/>
  <c r="M8" i="7"/>
  <c r="K8" i="7"/>
  <c r="X7" i="7"/>
  <c r="W7" i="7"/>
  <c r="V7" i="7"/>
  <c r="U7" i="7"/>
  <c r="T7" i="7"/>
  <c r="S7" i="7"/>
  <c r="Q7" i="7"/>
  <c r="O7" i="7"/>
  <c r="M7" i="7"/>
  <c r="K7" i="7"/>
  <c r="X276" i="6" l="1"/>
  <c r="W276" i="6"/>
  <c r="V276" i="6"/>
  <c r="U276" i="6"/>
  <c r="T276" i="6"/>
  <c r="S276" i="6"/>
  <c r="Q276" i="6"/>
  <c r="O276" i="6"/>
  <c r="M276" i="6"/>
  <c r="K276" i="6"/>
  <c r="X275" i="6"/>
  <c r="W275" i="6"/>
  <c r="V275" i="6"/>
  <c r="U275" i="6"/>
  <c r="T275" i="6"/>
  <c r="S275" i="6"/>
  <c r="Q275" i="6"/>
  <c r="O275" i="6"/>
  <c r="M275" i="6"/>
  <c r="K275" i="6"/>
  <c r="X274" i="6"/>
  <c r="W274" i="6"/>
  <c r="V274" i="6"/>
  <c r="U274" i="6"/>
  <c r="T274" i="6"/>
  <c r="S274" i="6"/>
  <c r="Q274" i="6"/>
  <c r="O274" i="6"/>
  <c r="M274" i="6"/>
  <c r="K274" i="6"/>
  <c r="X273" i="6"/>
  <c r="W273" i="6"/>
  <c r="V273" i="6"/>
  <c r="U273" i="6"/>
  <c r="T273" i="6"/>
  <c r="S273" i="6"/>
  <c r="Q273" i="6"/>
  <c r="O273" i="6"/>
  <c r="M273" i="6"/>
  <c r="K273" i="6"/>
  <c r="X272" i="6"/>
  <c r="W272" i="6"/>
  <c r="V272" i="6"/>
  <c r="U272" i="6"/>
  <c r="T272" i="6"/>
  <c r="S272" i="6"/>
  <c r="Q272" i="6"/>
  <c r="O272" i="6"/>
  <c r="M272" i="6"/>
  <c r="K272" i="6"/>
  <c r="X271" i="6"/>
  <c r="W271" i="6"/>
  <c r="V271" i="6"/>
  <c r="U271" i="6"/>
  <c r="T271" i="6"/>
  <c r="S271" i="6"/>
  <c r="Q271" i="6"/>
  <c r="O271" i="6"/>
  <c r="M271" i="6"/>
  <c r="K271" i="6"/>
  <c r="X270" i="6"/>
  <c r="W270" i="6"/>
  <c r="V270" i="6"/>
  <c r="U270" i="6"/>
  <c r="T270" i="6"/>
  <c r="S270" i="6"/>
  <c r="Q270" i="6"/>
  <c r="O270" i="6"/>
  <c r="M270" i="6"/>
  <c r="K270" i="6"/>
  <c r="X269" i="6"/>
  <c r="W269" i="6"/>
  <c r="V269" i="6"/>
  <c r="U269" i="6"/>
  <c r="T269" i="6"/>
  <c r="S269" i="6"/>
  <c r="Q269" i="6"/>
  <c r="O269" i="6"/>
  <c r="M269" i="6"/>
  <c r="K269" i="6"/>
  <c r="X268" i="6"/>
  <c r="W268" i="6"/>
  <c r="V268" i="6"/>
  <c r="U268" i="6"/>
  <c r="T268" i="6"/>
  <c r="S268" i="6"/>
  <c r="Q268" i="6"/>
  <c r="O268" i="6"/>
  <c r="M268" i="6"/>
  <c r="K268" i="6"/>
  <c r="X267" i="6"/>
  <c r="W267" i="6"/>
  <c r="V267" i="6"/>
  <c r="U267" i="6"/>
  <c r="T267" i="6"/>
  <c r="S267" i="6"/>
  <c r="Q267" i="6"/>
  <c r="O267" i="6"/>
  <c r="M267" i="6"/>
  <c r="K267" i="6"/>
  <c r="X266" i="6"/>
  <c r="W266" i="6"/>
  <c r="V266" i="6"/>
  <c r="U266" i="6"/>
  <c r="T266" i="6"/>
  <c r="S266" i="6"/>
  <c r="Q266" i="6"/>
  <c r="O266" i="6"/>
  <c r="M266" i="6"/>
  <c r="K266" i="6"/>
  <c r="X265" i="6"/>
  <c r="W265" i="6"/>
  <c r="V265" i="6"/>
  <c r="U265" i="6"/>
  <c r="T265" i="6"/>
  <c r="S265" i="6"/>
  <c r="Q265" i="6"/>
  <c r="O265" i="6"/>
  <c r="M265" i="6"/>
  <c r="K265" i="6"/>
  <c r="X264" i="6"/>
  <c r="W264" i="6"/>
  <c r="V264" i="6"/>
  <c r="U264" i="6"/>
  <c r="T264" i="6"/>
  <c r="S264" i="6"/>
  <c r="Q264" i="6"/>
  <c r="O264" i="6"/>
  <c r="M264" i="6"/>
  <c r="K264" i="6"/>
  <c r="X263" i="6"/>
  <c r="W263" i="6"/>
  <c r="V263" i="6"/>
  <c r="U263" i="6"/>
  <c r="T263" i="6"/>
  <c r="S263" i="6"/>
  <c r="Q263" i="6"/>
  <c r="O263" i="6"/>
  <c r="M263" i="6"/>
  <c r="K263" i="6"/>
  <c r="X262" i="6"/>
  <c r="W262" i="6"/>
  <c r="V262" i="6"/>
  <c r="U262" i="6"/>
  <c r="T262" i="6"/>
  <c r="S262" i="6"/>
  <c r="Q262" i="6"/>
  <c r="O262" i="6"/>
  <c r="M262" i="6"/>
  <c r="K262" i="6"/>
  <c r="X261" i="6"/>
  <c r="W261" i="6"/>
  <c r="V261" i="6"/>
  <c r="U261" i="6"/>
  <c r="T261" i="6"/>
  <c r="S261" i="6"/>
  <c r="Q261" i="6"/>
  <c r="O261" i="6"/>
  <c r="M261" i="6"/>
  <c r="K261" i="6"/>
  <c r="X260" i="6"/>
  <c r="W260" i="6"/>
  <c r="V260" i="6"/>
  <c r="U260" i="6"/>
  <c r="T260" i="6"/>
  <c r="S260" i="6"/>
  <c r="Q260" i="6"/>
  <c r="O260" i="6"/>
  <c r="M260" i="6"/>
  <c r="K260" i="6"/>
  <c r="X259" i="6"/>
  <c r="W259" i="6"/>
  <c r="V259" i="6"/>
  <c r="U259" i="6"/>
  <c r="T259" i="6"/>
  <c r="S259" i="6"/>
  <c r="Q259" i="6"/>
  <c r="O259" i="6"/>
  <c r="M259" i="6"/>
  <c r="K259" i="6"/>
  <c r="X258" i="6"/>
  <c r="W258" i="6"/>
  <c r="V258" i="6"/>
  <c r="U258" i="6"/>
  <c r="T258" i="6"/>
  <c r="S258" i="6"/>
  <c r="Q258" i="6"/>
  <c r="O258" i="6"/>
  <c r="M258" i="6"/>
  <c r="K258" i="6"/>
  <c r="X257" i="6"/>
  <c r="W257" i="6"/>
  <c r="V257" i="6"/>
  <c r="U257" i="6"/>
  <c r="T257" i="6"/>
  <c r="S257" i="6"/>
  <c r="Q257" i="6"/>
  <c r="O257" i="6"/>
  <c r="M257" i="6"/>
  <c r="K257" i="6"/>
  <c r="X256" i="6"/>
  <c r="W256" i="6"/>
  <c r="V256" i="6"/>
  <c r="U256" i="6"/>
  <c r="T256" i="6"/>
  <c r="S256" i="6"/>
  <c r="Q256" i="6"/>
  <c r="O256" i="6"/>
  <c r="M256" i="6"/>
  <c r="K256" i="6"/>
  <c r="X255" i="6"/>
  <c r="W255" i="6"/>
  <c r="V255" i="6"/>
  <c r="U255" i="6"/>
  <c r="T255" i="6"/>
  <c r="S255" i="6"/>
  <c r="Q255" i="6"/>
  <c r="O255" i="6"/>
  <c r="M255" i="6"/>
  <c r="K255" i="6"/>
  <c r="X254" i="6"/>
  <c r="W254" i="6"/>
  <c r="V254" i="6"/>
  <c r="U254" i="6"/>
  <c r="T254" i="6"/>
  <c r="S254" i="6"/>
  <c r="Q254" i="6"/>
  <c r="O254" i="6"/>
  <c r="M254" i="6"/>
  <c r="K254" i="6"/>
  <c r="X253" i="6"/>
  <c r="W253" i="6"/>
  <c r="V253" i="6"/>
  <c r="U253" i="6"/>
  <c r="T253" i="6"/>
  <c r="S253" i="6"/>
  <c r="Q253" i="6"/>
  <c r="O253" i="6"/>
  <c r="M253" i="6"/>
  <c r="K253" i="6"/>
  <c r="X252" i="6"/>
  <c r="W252" i="6"/>
  <c r="V252" i="6"/>
  <c r="U252" i="6"/>
  <c r="T252" i="6"/>
  <c r="S252" i="6"/>
  <c r="Q252" i="6"/>
  <c r="O252" i="6"/>
  <c r="M252" i="6"/>
  <c r="K252" i="6"/>
  <c r="X251" i="6"/>
  <c r="W251" i="6"/>
  <c r="V251" i="6"/>
  <c r="U251" i="6"/>
  <c r="T251" i="6"/>
  <c r="S251" i="6"/>
  <c r="Q251" i="6"/>
  <c r="O251" i="6"/>
  <c r="M251" i="6"/>
  <c r="K251" i="6"/>
  <c r="X250" i="6"/>
  <c r="W250" i="6"/>
  <c r="V250" i="6"/>
  <c r="U250" i="6"/>
  <c r="T250" i="6"/>
  <c r="S250" i="6"/>
  <c r="Q250" i="6"/>
  <c r="O250" i="6"/>
  <c r="M250" i="6"/>
  <c r="K250" i="6"/>
  <c r="X249" i="6"/>
  <c r="W249" i="6"/>
  <c r="V249" i="6"/>
  <c r="U249" i="6"/>
  <c r="T249" i="6"/>
  <c r="S249" i="6"/>
  <c r="Q249" i="6"/>
  <c r="O249" i="6"/>
  <c r="M249" i="6"/>
  <c r="K249" i="6"/>
  <c r="X248" i="6"/>
  <c r="W248" i="6"/>
  <c r="V248" i="6"/>
  <c r="U248" i="6"/>
  <c r="T248" i="6"/>
  <c r="S248" i="6"/>
  <c r="Q248" i="6"/>
  <c r="O248" i="6"/>
  <c r="M248" i="6"/>
  <c r="K248" i="6"/>
  <c r="X247" i="6"/>
  <c r="W247" i="6"/>
  <c r="V247" i="6"/>
  <c r="U247" i="6"/>
  <c r="T247" i="6"/>
  <c r="S247" i="6"/>
  <c r="Q247" i="6"/>
  <c r="O247" i="6"/>
  <c r="M247" i="6"/>
  <c r="K247" i="6"/>
  <c r="X246" i="6"/>
  <c r="W246" i="6"/>
  <c r="V246" i="6"/>
  <c r="U246" i="6"/>
  <c r="T246" i="6"/>
  <c r="S246" i="6"/>
  <c r="Q246" i="6"/>
  <c r="O246" i="6"/>
  <c r="M246" i="6"/>
  <c r="K246" i="6"/>
  <c r="X245" i="6"/>
  <c r="W245" i="6"/>
  <c r="V245" i="6"/>
  <c r="U245" i="6"/>
  <c r="T245" i="6"/>
  <c r="S245" i="6"/>
  <c r="Q245" i="6"/>
  <c r="O245" i="6"/>
  <c r="M245" i="6"/>
  <c r="K245" i="6"/>
  <c r="X244" i="6"/>
  <c r="W244" i="6"/>
  <c r="V244" i="6"/>
  <c r="U244" i="6"/>
  <c r="T244" i="6"/>
  <c r="S244" i="6"/>
  <c r="Q244" i="6"/>
  <c r="O244" i="6"/>
  <c r="M244" i="6"/>
  <c r="K244" i="6"/>
  <c r="X243" i="6"/>
  <c r="W243" i="6"/>
  <c r="V243" i="6"/>
  <c r="U243" i="6"/>
  <c r="T243" i="6"/>
  <c r="S243" i="6"/>
  <c r="Q243" i="6"/>
  <c r="O243" i="6"/>
  <c r="M243" i="6"/>
  <c r="K243" i="6"/>
  <c r="X242" i="6"/>
  <c r="W242" i="6"/>
  <c r="V242" i="6"/>
  <c r="U242" i="6"/>
  <c r="T242" i="6"/>
  <c r="S242" i="6"/>
  <c r="Q242" i="6"/>
  <c r="O242" i="6"/>
  <c r="M242" i="6"/>
  <c r="K242" i="6"/>
  <c r="X241" i="6"/>
  <c r="W241" i="6"/>
  <c r="V241" i="6"/>
  <c r="U241" i="6"/>
  <c r="T241" i="6"/>
  <c r="S241" i="6"/>
  <c r="Q241" i="6"/>
  <c r="O241" i="6"/>
  <c r="M241" i="6"/>
  <c r="K241" i="6"/>
  <c r="X240" i="6"/>
  <c r="W240" i="6"/>
  <c r="V240" i="6"/>
  <c r="U240" i="6"/>
  <c r="T240" i="6"/>
  <c r="S240" i="6"/>
  <c r="Q240" i="6"/>
  <c r="O240" i="6"/>
  <c r="M240" i="6"/>
  <c r="K240" i="6"/>
  <c r="X239" i="6"/>
  <c r="W239" i="6"/>
  <c r="V239" i="6"/>
  <c r="U239" i="6"/>
  <c r="T239" i="6"/>
  <c r="S239" i="6"/>
  <c r="Q239" i="6"/>
  <c r="O239" i="6"/>
  <c r="M239" i="6"/>
  <c r="K239" i="6"/>
  <c r="X238" i="6"/>
  <c r="W238" i="6"/>
  <c r="V238" i="6"/>
  <c r="U238" i="6"/>
  <c r="T238" i="6"/>
  <c r="S238" i="6"/>
  <c r="Q238" i="6"/>
  <c r="O238" i="6"/>
  <c r="M238" i="6"/>
  <c r="K238" i="6"/>
  <c r="X237" i="6"/>
  <c r="W237" i="6"/>
  <c r="V237" i="6"/>
  <c r="U237" i="6"/>
  <c r="T237" i="6"/>
  <c r="S237" i="6"/>
  <c r="Q237" i="6"/>
  <c r="O237" i="6"/>
  <c r="M237" i="6"/>
  <c r="K237" i="6"/>
  <c r="X236" i="6"/>
  <c r="W236" i="6"/>
  <c r="V236" i="6"/>
  <c r="U236" i="6"/>
  <c r="T236" i="6"/>
  <c r="S236" i="6"/>
  <c r="Q236" i="6"/>
  <c r="O236" i="6"/>
  <c r="M236" i="6"/>
  <c r="K236" i="6"/>
  <c r="X235" i="6"/>
  <c r="W235" i="6"/>
  <c r="V235" i="6"/>
  <c r="U235" i="6"/>
  <c r="T235" i="6"/>
  <c r="S235" i="6"/>
  <c r="Q235" i="6"/>
  <c r="O235" i="6"/>
  <c r="M235" i="6"/>
  <c r="K235" i="6"/>
  <c r="X234" i="6"/>
  <c r="W234" i="6"/>
  <c r="V234" i="6"/>
  <c r="U234" i="6"/>
  <c r="T234" i="6"/>
  <c r="S234" i="6"/>
  <c r="Q234" i="6"/>
  <c r="O234" i="6"/>
  <c r="M234" i="6"/>
  <c r="K234" i="6"/>
  <c r="X233" i="6"/>
  <c r="W233" i="6"/>
  <c r="V233" i="6"/>
  <c r="U233" i="6"/>
  <c r="T233" i="6"/>
  <c r="S233" i="6"/>
  <c r="Q233" i="6"/>
  <c r="O233" i="6"/>
  <c r="M233" i="6"/>
  <c r="K233" i="6"/>
  <c r="X232" i="6"/>
  <c r="W232" i="6"/>
  <c r="V232" i="6"/>
  <c r="U232" i="6"/>
  <c r="T232" i="6"/>
  <c r="S232" i="6"/>
  <c r="Q232" i="6"/>
  <c r="O232" i="6"/>
  <c r="M232" i="6"/>
  <c r="K232" i="6"/>
  <c r="X231" i="6"/>
  <c r="W231" i="6"/>
  <c r="V231" i="6"/>
  <c r="U231" i="6"/>
  <c r="T231" i="6"/>
  <c r="S231" i="6"/>
  <c r="Q231" i="6"/>
  <c r="O231" i="6"/>
  <c r="M231" i="6"/>
  <c r="K231" i="6"/>
  <c r="X230" i="6"/>
  <c r="W230" i="6"/>
  <c r="V230" i="6"/>
  <c r="U230" i="6"/>
  <c r="T230" i="6"/>
  <c r="S230" i="6"/>
  <c r="Q230" i="6"/>
  <c r="O230" i="6"/>
  <c r="M230" i="6"/>
  <c r="K230" i="6"/>
  <c r="X229" i="6"/>
  <c r="W229" i="6"/>
  <c r="V229" i="6"/>
  <c r="U229" i="6"/>
  <c r="T229" i="6"/>
  <c r="S229" i="6"/>
  <c r="Q229" i="6"/>
  <c r="O229" i="6"/>
  <c r="M229" i="6"/>
  <c r="K229" i="6"/>
  <c r="X228" i="6"/>
  <c r="W228" i="6"/>
  <c r="V228" i="6"/>
  <c r="U228" i="6"/>
  <c r="T228" i="6"/>
  <c r="S228" i="6"/>
  <c r="Q228" i="6"/>
  <c r="O228" i="6"/>
  <c r="M228" i="6"/>
  <c r="K228" i="6"/>
  <c r="X227" i="6"/>
  <c r="W227" i="6"/>
  <c r="V227" i="6"/>
  <c r="U227" i="6"/>
  <c r="T227" i="6"/>
  <c r="S227" i="6"/>
  <c r="Q227" i="6"/>
  <c r="O227" i="6"/>
  <c r="M227" i="6"/>
  <c r="K227" i="6"/>
  <c r="X226" i="6"/>
  <c r="W226" i="6"/>
  <c r="V226" i="6"/>
  <c r="U226" i="6"/>
  <c r="T226" i="6"/>
  <c r="S226" i="6"/>
  <c r="Q226" i="6"/>
  <c r="O226" i="6"/>
  <c r="M226" i="6"/>
  <c r="K226" i="6"/>
  <c r="X225" i="6"/>
  <c r="W225" i="6"/>
  <c r="V225" i="6"/>
  <c r="U225" i="6"/>
  <c r="T225" i="6"/>
  <c r="S225" i="6"/>
  <c r="Q225" i="6"/>
  <c r="O225" i="6"/>
  <c r="M225" i="6"/>
  <c r="K225" i="6"/>
  <c r="X224" i="6"/>
  <c r="W224" i="6"/>
  <c r="V224" i="6"/>
  <c r="U224" i="6"/>
  <c r="T224" i="6"/>
  <c r="S224" i="6"/>
  <c r="Q224" i="6"/>
  <c r="O224" i="6"/>
  <c r="M224" i="6"/>
  <c r="K224" i="6"/>
  <c r="X223" i="6"/>
  <c r="W223" i="6"/>
  <c r="V223" i="6"/>
  <c r="U223" i="6"/>
  <c r="T223" i="6"/>
  <c r="S223" i="6"/>
  <c r="Q223" i="6"/>
  <c r="O223" i="6"/>
  <c r="M223" i="6"/>
  <c r="K223" i="6"/>
  <c r="X222" i="6"/>
  <c r="W222" i="6"/>
  <c r="V222" i="6"/>
  <c r="U222" i="6"/>
  <c r="T222" i="6"/>
  <c r="S222" i="6"/>
  <c r="Q222" i="6"/>
  <c r="O222" i="6"/>
  <c r="M222" i="6"/>
  <c r="K222" i="6"/>
  <c r="X221" i="6"/>
  <c r="W221" i="6"/>
  <c r="V221" i="6"/>
  <c r="U221" i="6"/>
  <c r="T221" i="6"/>
  <c r="S221" i="6"/>
  <c r="Q221" i="6"/>
  <c r="O221" i="6"/>
  <c r="M221" i="6"/>
  <c r="K221" i="6"/>
  <c r="X220" i="6"/>
  <c r="W220" i="6"/>
  <c r="V220" i="6"/>
  <c r="U220" i="6"/>
  <c r="T220" i="6"/>
  <c r="S220" i="6"/>
  <c r="Q220" i="6"/>
  <c r="O220" i="6"/>
  <c r="M220" i="6"/>
  <c r="K220" i="6"/>
  <c r="X219" i="6"/>
  <c r="W219" i="6"/>
  <c r="V219" i="6"/>
  <c r="U219" i="6"/>
  <c r="T219" i="6"/>
  <c r="S219" i="6"/>
  <c r="Q219" i="6"/>
  <c r="O219" i="6"/>
  <c r="M219" i="6"/>
  <c r="K219" i="6"/>
  <c r="X218" i="6"/>
  <c r="W218" i="6"/>
  <c r="V218" i="6"/>
  <c r="U218" i="6"/>
  <c r="T218" i="6"/>
  <c r="S218" i="6"/>
  <c r="Q218" i="6"/>
  <c r="O218" i="6"/>
  <c r="M218" i="6"/>
  <c r="K218" i="6"/>
  <c r="X217" i="6"/>
  <c r="W217" i="6"/>
  <c r="V217" i="6"/>
  <c r="U217" i="6"/>
  <c r="T217" i="6"/>
  <c r="S217" i="6"/>
  <c r="Q217" i="6"/>
  <c r="O217" i="6"/>
  <c r="M217" i="6"/>
  <c r="K217" i="6"/>
  <c r="X216" i="6"/>
  <c r="W216" i="6"/>
  <c r="V216" i="6"/>
  <c r="U216" i="6"/>
  <c r="T216" i="6"/>
  <c r="S216" i="6"/>
  <c r="Q216" i="6"/>
  <c r="O216" i="6"/>
  <c r="M216" i="6"/>
  <c r="K216" i="6"/>
  <c r="X215" i="6"/>
  <c r="W215" i="6"/>
  <c r="V215" i="6"/>
  <c r="U215" i="6"/>
  <c r="T215" i="6"/>
  <c r="S215" i="6"/>
  <c r="Q215" i="6"/>
  <c r="O215" i="6"/>
  <c r="M215" i="6"/>
  <c r="K215" i="6"/>
  <c r="X214" i="6"/>
  <c r="W214" i="6"/>
  <c r="V214" i="6"/>
  <c r="U214" i="6"/>
  <c r="T214" i="6"/>
  <c r="S214" i="6"/>
  <c r="Q214" i="6"/>
  <c r="O214" i="6"/>
  <c r="M214" i="6"/>
  <c r="K214" i="6"/>
  <c r="X213" i="6"/>
  <c r="W213" i="6"/>
  <c r="V213" i="6"/>
  <c r="U213" i="6"/>
  <c r="T213" i="6"/>
  <c r="S213" i="6"/>
  <c r="Q213" i="6"/>
  <c r="O213" i="6"/>
  <c r="M213" i="6"/>
  <c r="K213" i="6"/>
  <c r="X212" i="6"/>
  <c r="W212" i="6"/>
  <c r="V212" i="6"/>
  <c r="U212" i="6"/>
  <c r="T212" i="6"/>
  <c r="S212" i="6"/>
  <c r="Q212" i="6"/>
  <c r="O212" i="6"/>
  <c r="M212" i="6"/>
  <c r="K212" i="6"/>
  <c r="X211" i="6"/>
  <c r="W211" i="6"/>
  <c r="V211" i="6"/>
  <c r="U211" i="6"/>
  <c r="T211" i="6"/>
  <c r="S211" i="6"/>
  <c r="Q211" i="6"/>
  <c r="O211" i="6"/>
  <c r="M211" i="6"/>
  <c r="K211" i="6"/>
  <c r="X210" i="6"/>
  <c r="W210" i="6"/>
  <c r="V210" i="6"/>
  <c r="U210" i="6"/>
  <c r="T210" i="6"/>
  <c r="S210" i="6"/>
  <c r="Q210" i="6"/>
  <c r="O210" i="6"/>
  <c r="M210" i="6"/>
  <c r="K210" i="6"/>
  <c r="X209" i="6"/>
  <c r="W209" i="6"/>
  <c r="V209" i="6"/>
  <c r="U209" i="6"/>
  <c r="T209" i="6"/>
  <c r="S209" i="6"/>
  <c r="Q209" i="6"/>
  <c r="O209" i="6"/>
  <c r="M209" i="6"/>
  <c r="K209" i="6"/>
  <c r="X208" i="6"/>
  <c r="W208" i="6"/>
  <c r="V208" i="6"/>
  <c r="U208" i="6"/>
  <c r="T208" i="6"/>
  <c r="S208" i="6"/>
  <c r="Q208" i="6"/>
  <c r="O208" i="6"/>
  <c r="M208" i="6"/>
  <c r="K208" i="6"/>
  <c r="X207" i="6"/>
  <c r="W207" i="6"/>
  <c r="V207" i="6"/>
  <c r="U207" i="6"/>
  <c r="T207" i="6"/>
  <c r="S207" i="6"/>
  <c r="Q207" i="6"/>
  <c r="O207" i="6"/>
  <c r="M207" i="6"/>
  <c r="K207" i="6"/>
  <c r="X206" i="6"/>
  <c r="W206" i="6"/>
  <c r="V206" i="6"/>
  <c r="U206" i="6"/>
  <c r="T206" i="6"/>
  <c r="S206" i="6"/>
  <c r="Q206" i="6"/>
  <c r="O206" i="6"/>
  <c r="M206" i="6"/>
  <c r="K206" i="6"/>
  <c r="X205" i="6"/>
  <c r="W205" i="6"/>
  <c r="V205" i="6"/>
  <c r="U205" i="6"/>
  <c r="T205" i="6"/>
  <c r="S205" i="6"/>
  <c r="Q205" i="6"/>
  <c r="O205" i="6"/>
  <c r="M205" i="6"/>
  <c r="K205" i="6"/>
  <c r="X204" i="6"/>
  <c r="W204" i="6"/>
  <c r="V204" i="6"/>
  <c r="U204" i="6"/>
  <c r="T204" i="6"/>
  <c r="S204" i="6"/>
  <c r="Q204" i="6"/>
  <c r="O204" i="6"/>
  <c r="M204" i="6"/>
  <c r="K204" i="6"/>
  <c r="X203" i="6"/>
  <c r="W203" i="6"/>
  <c r="V203" i="6"/>
  <c r="U203" i="6"/>
  <c r="T203" i="6"/>
  <c r="S203" i="6"/>
  <c r="Q203" i="6"/>
  <c r="O203" i="6"/>
  <c r="M203" i="6"/>
  <c r="K203" i="6"/>
  <c r="X202" i="6"/>
  <c r="W202" i="6"/>
  <c r="V202" i="6"/>
  <c r="U202" i="6"/>
  <c r="T202" i="6"/>
  <c r="S202" i="6"/>
  <c r="Q202" i="6"/>
  <c r="O202" i="6"/>
  <c r="M202" i="6"/>
  <c r="K202" i="6"/>
  <c r="X201" i="6"/>
  <c r="W201" i="6"/>
  <c r="V201" i="6"/>
  <c r="U201" i="6"/>
  <c r="T201" i="6"/>
  <c r="S201" i="6"/>
  <c r="Q201" i="6"/>
  <c r="O201" i="6"/>
  <c r="M201" i="6"/>
  <c r="K201" i="6"/>
  <c r="X200" i="6"/>
  <c r="W200" i="6"/>
  <c r="V200" i="6"/>
  <c r="U200" i="6"/>
  <c r="T200" i="6"/>
  <c r="S200" i="6"/>
  <c r="Q200" i="6"/>
  <c r="O200" i="6"/>
  <c r="M200" i="6"/>
  <c r="K200" i="6"/>
  <c r="X199" i="6"/>
  <c r="W199" i="6"/>
  <c r="V199" i="6"/>
  <c r="U199" i="6"/>
  <c r="T199" i="6"/>
  <c r="S199" i="6"/>
  <c r="Q199" i="6"/>
  <c r="O199" i="6"/>
  <c r="M199" i="6"/>
  <c r="K199" i="6"/>
  <c r="X198" i="6"/>
  <c r="W198" i="6"/>
  <c r="V198" i="6"/>
  <c r="U198" i="6"/>
  <c r="T198" i="6"/>
  <c r="S198" i="6"/>
  <c r="Q198" i="6"/>
  <c r="O198" i="6"/>
  <c r="M198" i="6"/>
  <c r="K198" i="6"/>
  <c r="X197" i="6"/>
  <c r="W197" i="6"/>
  <c r="V197" i="6"/>
  <c r="U197" i="6"/>
  <c r="T197" i="6"/>
  <c r="S197" i="6"/>
  <c r="Q197" i="6"/>
  <c r="O197" i="6"/>
  <c r="M197" i="6"/>
  <c r="K197" i="6"/>
  <c r="X196" i="6"/>
  <c r="W196" i="6"/>
  <c r="V196" i="6"/>
  <c r="U196" i="6"/>
  <c r="T196" i="6"/>
  <c r="S196" i="6"/>
  <c r="Q196" i="6"/>
  <c r="O196" i="6"/>
  <c r="M196" i="6"/>
  <c r="K196" i="6"/>
  <c r="X195" i="6"/>
  <c r="W195" i="6"/>
  <c r="V195" i="6"/>
  <c r="U195" i="6"/>
  <c r="T195" i="6"/>
  <c r="S195" i="6"/>
  <c r="Q195" i="6"/>
  <c r="O195" i="6"/>
  <c r="M195" i="6"/>
  <c r="K195" i="6"/>
  <c r="X194" i="6"/>
  <c r="W194" i="6"/>
  <c r="V194" i="6"/>
  <c r="U194" i="6"/>
  <c r="T194" i="6"/>
  <c r="S194" i="6"/>
  <c r="Q194" i="6"/>
  <c r="O194" i="6"/>
  <c r="M194" i="6"/>
  <c r="K194" i="6"/>
  <c r="X193" i="6"/>
  <c r="W193" i="6"/>
  <c r="V193" i="6"/>
  <c r="U193" i="6"/>
  <c r="T193" i="6"/>
  <c r="S193" i="6"/>
  <c r="Q193" i="6"/>
  <c r="O193" i="6"/>
  <c r="M193" i="6"/>
  <c r="K193" i="6"/>
  <c r="X192" i="6"/>
  <c r="W192" i="6"/>
  <c r="V192" i="6"/>
  <c r="U192" i="6"/>
  <c r="T192" i="6"/>
  <c r="S192" i="6"/>
  <c r="Q192" i="6"/>
  <c r="O192" i="6"/>
  <c r="M192" i="6"/>
  <c r="K192" i="6"/>
  <c r="X191" i="6"/>
  <c r="W191" i="6"/>
  <c r="V191" i="6"/>
  <c r="U191" i="6"/>
  <c r="T191" i="6"/>
  <c r="S191" i="6"/>
  <c r="Q191" i="6"/>
  <c r="O191" i="6"/>
  <c r="M191" i="6"/>
  <c r="K191" i="6"/>
  <c r="X190" i="6"/>
  <c r="W190" i="6"/>
  <c r="V190" i="6"/>
  <c r="U190" i="6"/>
  <c r="T190" i="6"/>
  <c r="S190" i="6"/>
  <c r="Q190" i="6"/>
  <c r="O190" i="6"/>
  <c r="M190" i="6"/>
  <c r="K190" i="6"/>
  <c r="X189" i="6"/>
  <c r="W189" i="6"/>
  <c r="V189" i="6"/>
  <c r="U189" i="6"/>
  <c r="T189" i="6"/>
  <c r="S189" i="6"/>
  <c r="Q189" i="6"/>
  <c r="O189" i="6"/>
  <c r="M189" i="6"/>
  <c r="K189" i="6"/>
  <c r="X188" i="6"/>
  <c r="W188" i="6"/>
  <c r="V188" i="6"/>
  <c r="U188" i="6"/>
  <c r="T188" i="6"/>
  <c r="S188" i="6"/>
  <c r="Q188" i="6"/>
  <c r="O188" i="6"/>
  <c r="M188" i="6"/>
  <c r="K188" i="6"/>
  <c r="X187" i="6"/>
  <c r="W187" i="6"/>
  <c r="V187" i="6"/>
  <c r="U187" i="6"/>
  <c r="T187" i="6"/>
  <c r="S187" i="6"/>
  <c r="Q187" i="6"/>
  <c r="O187" i="6"/>
  <c r="M187" i="6"/>
  <c r="K187" i="6"/>
  <c r="X186" i="6"/>
  <c r="W186" i="6"/>
  <c r="V186" i="6"/>
  <c r="U186" i="6"/>
  <c r="T186" i="6"/>
  <c r="S186" i="6"/>
  <c r="Q186" i="6"/>
  <c r="O186" i="6"/>
  <c r="M186" i="6"/>
  <c r="K186" i="6"/>
  <c r="X185" i="6"/>
  <c r="W185" i="6"/>
  <c r="V185" i="6"/>
  <c r="U185" i="6"/>
  <c r="T185" i="6"/>
  <c r="S185" i="6"/>
  <c r="Q185" i="6"/>
  <c r="O185" i="6"/>
  <c r="M185" i="6"/>
  <c r="K185" i="6"/>
  <c r="X184" i="6"/>
  <c r="W184" i="6"/>
  <c r="V184" i="6"/>
  <c r="U184" i="6"/>
  <c r="T184" i="6"/>
  <c r="S184" i="6"/>
  <c r="Q184" i="6"/>
  <c r="O184" i="6"/>
  <c r="M184" i="6"/>
  <c r="K184" i="6"/>
  <c r="X183" i="6"/>
  <c r="W183" i="6"/>
  <c r="V183" i="6"/>
  <c r="U183" i="6"/>
  <c r="T183" i="6"/>
  <c r="S183" i="6"/>
  <c r="Q183" i="6"/>
  <c r="O183" i="6"/>
  <c r="M183" i="6"/>
  <c r="K183" i="6"/>
  <c r="X182" i="6"/>
  <c r="W182" i="6"/>
  <c r="V182" i="6"/>
  <c r="U182" i="6"/>
  <c r="T182" i="6"/>
  <c r="S182" i="6"/>
  <c r="Q182" i="6"/>
  <c r="O182" i="6"/>
  <c r="M182" i="6"/>
  <c r="K182" i="6"/>
  <c r="X181" i="6"/>
  <c r="W181" i="6"/>
  <c r="V181" i="6"/>
  <c r="U181" i="6"/>
  <c r="T181" i="6"/>
  <c r="S181" i="6"/>
  <c r="Q181" i="6"/>
  <c r="O181" i="6"/>
  <c r="M181" i="6"/>
  <c r="K181" i="6"/>
  <c r="X180" i="6"/>
  <c r="W180" i="6"/>
  <c r="V180" i="6"/>
  <c r="U180" i="6"/>
  <c r="T180" i="6"/>
  <c r="S180" i="6"/>
  <c r="Q180" i="6"/>
  <c r="O180" i="6"/>
  <c r="M180" i="6"/>
  <c r="K180" i="6"/>
  <c r="X179" i="6"/>
  <c r="W179" i="6"/>
  <c r="V179" i="6"/>
  <c r="U179" i="6"/>
  <c r="T179" i="6"/>
  <c r="S179" i="6"/>
  <c r="Q179" i="6"/>
  <c r="O179" i="6"/>
  <c r="M179" i="6"/>
  <c r="K179" i="6"/>
  <c r="X178" i="6"/>
  <c r="W178" i="6"/>
  <c r="V178" i="6"/>
  <c r="U178" i="6"/>
  <c r="T178" i="6"/>
  <c r="S178" i="6"/>
  <c r="Q178" i="6"/>
  <c r="O178" i="6"/>
  <c r="M178" i="6"/>
  <c r="K178" i="6"/>
  <c r="X177" i="6"/>
  <c r="W177" i="6"/>
  <c r="V177" i="6"/>
  <c r="U177" i="6"/>
  <c r="T177" i="6"/>
  <c r="S177" i="6"/>
  <c r="Q177" i="6"/>
  <c r="O177" i="6"/>
  <c r="M177" i="6"/>
  <c r="K177" i="6"/>
  <c r="X176" i="6"/>
  <c r="W176" i="6"/>
  <c r="V176" i="6"/>
  <c r="U176" i="6"/>
  <c r="T176" i="6"/>
  <c r="S176" i="6"/>
  <c r="Q176" i="6"/>
  <c r="O176" i="6"/>
  <c r="M176" i="6"/>
  <c r="K176" i="6"/>
  <c r="X175" i="6"/>
  <c r="W175" i="6"/>
  <c r="V175" i="6"/>
  <c r="U175" i="6"/>
  <c r="T175" i="6"/>
  <c r="S175" i="6"/>
  <c r="Q175" i="6"/>
  <c r="O175" i="6"/>
  <c r="M175" i="6"/>
  <c r="K175" i="6"/>
  <c r="X174" i="6"/>
  <c r="W174" i="6"/>
  <c r="V174" i="6"/>
  <c r="U174" i="6"/>
  <c r="T174" i="6"/>
  <c r="S174" i="6"/>
  <c r="Q174" i="6"/>
  <c r="O174" i="6"/>
  <c r="M174" i="6"/>
  <c r="K174" i="6"/>
  <c r="X173" i="6"/>
  <c r="W173" i="6"/>
  <c r="V173" i="6"/>
  <c r="U173" i="6"/>
  <c r="T173" i="6"/>
  <c r="S173" i="6"/>
  <c r="Q173" i="6"/>
  <c r="O173" i="6"/>
  <c r="M173" i="6"/>
  <c r="K173" i="6"/>
  <c r="X172" i="6"/>
  <c r="W172" i="6"/>
  <c r="V172" i="6"/>
  <c r="U172" i="6"/>
  <c r="T172" i="6"/>
  <c r="S172" i="6"/>
  <c r="Q172" i="6"/>
  <c r="O172" i="6"/>
  <c r="M172" i="6"/>
  <c r="K172" i="6"/>
  <c r="X171" i="6"/>
  <c r="W171" i="6"/>
  <c r="V171" i="6"/>
  <c r="U171" i="6"/>
  <c r="T171" i="6"/>
  <c r="S171" i="6"/>
  <c r="Q171" i="6"/>
  <c r="O171" i="6"/>
  <c r="M171" i="6"/>
  <c r="K171" i="6"/>
  <c r="X170" i="6"/>
  <c r="W170" i="6"/>
  <c r="V170" i="6"/>
  <c r="U170" i="6"/>
  <c r="T170" i="6"/>
  <c r="S170" i="6"/>
  <c r="Q170" i="6"/>
  <c r="O170" i="6"/>
  <c r="M170" i="6"/>
  <c r="K170" i="6"/>
  <c r="X169" i="6"/>
  <c r="W169" i="6"/>
  <c r="V169" i="6"/>
  <c r="U169" i="6"/>
  <c r="T169" i="6"/>
  <c r="S169" i="6"/>
  <c r="Q169" i="6"/>
  <c r="O169" i="6"/>
  <c r="M169" i="6"/>
  <c r="K169" i="6"/>
  <c r="X168" i="6"/>
  <c r="W168" i="6"/>
  <c r="V168" i="6"/>
  <c r="U168" i="6"/>
  <c r="T168" i="6"/>
  <c r="S168" i="6"/>
  <c r="Q168" i="6"/>
  <c r="O168" i="6"/>
  <c r="M168" i="6"/>
  <c r="K168" i="6"/>
  <c r="X167" i="6"/>
  <c r="W167" i="6"/>
  <c r="V167" i="6"/>
  <c r="U167" i="6"/>
  <c r="T167" i="6"/>
  <c r="S167" i="6"/>
  <c r="Q167" i="6"/>
  <c r="O167" i="6"/>
  <c r="M167" i="6"/>
  <c r="K167" i="6"/>
  <c r="X166" i="6"/>
  <c r="W166" i="6"/>
  <c r="V166" i="6"/>
  <c r="U166" i="6"/>
  <c r="T166" i="6"/>
  <c r="S166" i="6"/>
  <c r="Q166" i="6"/>
  <c r="O166" i="6"/>
  <c r="M166" i="6"/>
  <c r="K166" i="6"/>
  <c r="X165" i="6"/>
  <c r="W165" i="6"/>
  <c r="V165" i="6"/>
  <c r="U165" i="6"/>
  <c r="T165" i="6"/>
  <c r="S165" i="6"/>
  <c r="Q165" i="6"/>
  <c r="O165" i="6"/>
  <c r="M165" i="6"/>
  <c r="K165" i="6"/>
  <c r="X164" i="6"/>
  <c r="W164" i="6"/>
  <c r="V164" i="6"/>
  <c r="U164" i="6"/>
  <c r="T164" i="6"/>
  <c r="S164" i="6"/>
  <c r="Q164" i="6"/>
  <c r="O164" i="6"/>
  <c r="M164" i="6"/>
  <c r="K164" i="6"/>
  <c r="X163" i="6"/>
  <c r="W163" i="6"/>
  <c r="V163" i="6"/>
  <c r="U163" i="6"/>
  <c r="T163" i="6"/>
  <c r="S163" i="6"/>
  <c r="Q163" i="6"/>
  <c r="O163" i="6"/>
  <c r="M163" i="6"/>
  <c r="K163" i="6"/>
  <c r="X162" i="6"/>
  <c r="W162" i="6"/>
  <c r="V162" i="6"/>
  <c r="U162" i="6"/>
  <c r="T162" i="6"/>
  <c r="S162" i="6"/>
  <c r="Q162" i="6"/>
  <c r="O162" i="6"/>
  <c r="M162" i="6"/>
  <c r="K162" i="6"/>
  <c r="X161" i="6"/>
  <c r="W161" i="6"/>
  <c r="V161" i="6"/>
  <c r="U161" i="6"/>
  <c r="T161" i="6"/>
  <c r="S161" i="6"/>
  <c r="Q161" i="6"/>
  <c r="O161" i="6"/>
  <c r="M161" i="6"/>
  <c r="K161" i="6"/>
  <c r="X160" i="6"/>
  <c r="W160" i="6"/>
  <c r="V160" i="6"/>
  <c r="U160" i="6"/>
  <c r="T160" i="6"/>
  <c r="S160" i="6"/>
  <c r="Q160" i="6"/>
  <c r="O160" i="6"/>
  <c r="M160" i="6"/>
  <c r="K160" i="6"/>
  <c r="X159" i="6"/>
  <c r="W159" i="6"/>
  <c r="V159" i="6"/>
  <c r="U159" i="6"/>
  <c r="T159" i="6"/>
  <c r="S159" i="6"/>
  <c r="Q159" i="6"/>
  <c r="O159" i="6"/>
  <c r="M159" i="6"/>
  <c r="K159" i="6"/>
  <c r="X158" i="6"/>
  <c r="W158" i="6"/>
  <c r="V158" i="6"/>
  <c r="U158" i="6"/>
  <c r="T158" i="6"/>
  <c r="S158" i="6"/>
  <c r="Q158" i="6"/>
  <c r="O158" i="6"/>
  <c r="M158" i="6"/>
  <c r="K158" i="6"/>
  <c r="X157" i="6"/>
  <c r="W157" i="6"/>
  <c r="V157" i="6"/>
  <c r="U157" i="6"/>
  <c r="T157" i="6"/>
  <c r="S157" i="6"/>
  <c r="Q157" i="6"/>
  <c r="O157" i="6"/>
  <c r="M157" i="6"/>
  <c r="K157" i="6"/>
  <c r="X156" i="6"/>
  <c r="W156" i="6"/>
  <c r="V156" i="6"/>
  <c r="U156" i="6"/>
  <c r="T156" i="6"/>
  <c r="S156" i="6"/>
  <c r="Q156" i="6"/>
  <c r="O156" i="6"/>
  <c r="M156" i="6"/>
  <c r="K156" i="6"/>
  <c r="X155" i="6"/>
  <c r="W155" i="6"/>
  <c r="V155" i="6"/>
  <c r="U155" i="6"/>
  <c r="T155" i="6"/>
  <c r="S155" i="6"/>
  <c r="Q155" i="6"/>
  <c r="O155" i="6"/>
  <c r="M155" i="6"/>
  <c r="K155" i="6"/>
  <c r="X154" i="6"/>
  <c r="W154" i="6"/>
  <c r="V154" i="6"/>
  <c r="U154" i="6"/>
  <c r="T154" i="6"/>
  <c r="S154" i="6"/>
  <c r="Q154" i="6"/>
  <c r="O154" i="6"/>
  <c r="M154" i="6"/>
  <c r="K154" i="6"/>
  <c r="X153" i="6"/>
  <c r="W153" i="6"/>
  <c r="V153" i="6"/>
  <c r="U153" i="6"/>
  <c r="T153" i="6"/>
  <c r="S153" i="6"/>
  <c r="Q153" i="6"/>
  <c r="O153" i="6"/>
  <c r="M153" i="6"/>
  <c r="K153" i="6"/>
  <c r="X152" i="6"/>
  <c r="W152" i="6"/>
  <c r="V152" i="6"/>
  <c r="U152" i="6"/>
  <c r="T152" i="6"/>
  <c r="S152" i="6"/>
  <c r="Q152" i="6"/>
  <c r="O152" i="6"/>
  <c r="M152" i="6"/>
  <c r="K152" i="6"/>
  <c r="X151" i="6"/>
  <c r="W151" i="6"/>
  <c r="V151" i="6"/>
  <c r="U151" i="6"/>
  <c r="T151" i="6"/>
  <c r="S151" i="6"/>
  <c r="Q151" i="6"/>
  <c r="O151" i="6"/>
  <c r="M151" i="6"/>
  <c r="K151" i="6"/>
  <c r="X150" i="6"/>
  <c r="W150" i="6"/>
  <c r="V150" i="6"/>
  <c r="U150" i="6"/>
  <c r="T150" i="6"/>
  <c r="S150" i="6"/>
  <c r="Q150" i="6"/>
  <c r="O150" i="6"/>
  <c r="M150" i="6"/>
  <c r="K150" i="6"/>
  <c r="X149" i="6"/>
  <c r="W149" i="6"/>
  <c r="V149" i="6"/>
  <c r="U149" i="6"/>
  <c r="T149" i="6"/>
  <c r="S149" i="6"/>
  <c r="Q149" i="6"/>
  <c r="O149" i="6"/>
  <c r="M149" i="6"/>
  <c r="K149" i="6"/>
  <c r="X148" i="6"/>
  <c r="W148" i="6"/>
  <c r="V148" i="6"/>
  <c r="U148" i="6"/>
  <c r="T148" i="6"/>
  <c r="S148" i="6"/>
  <c r="Q148" i="6"/>
  <c r="O148" i="6"/>
  <c r="M148" i="6"/>
  <c r="K148" i="6"/>
  <c r="X147" i="6"/>
  <c r="W147" i="6"/>
  <c r="V147" i="6"/>
  <c r="U147" i="6"/>
  <c r="T147" i="6"/>
  <c r="S147" i="6"/>
  <c r="Q147" i="6"/>
  <c r="O147" i="6"/>
  <c r="M147" i="6"/>
  <c r="K147" i="6"/>
  <c r="X146" i="6"/>
  <c r="W146" i="6"/>
  <c r="V146" i="6"/>
  <c r="U146" i="6"/>
  <c r="T146" i="6"/>
  <c r="S146" i="6"/>
  <c r="Q146" i="6"/>
  <c r="O146" i="6"/>
  <c r="M146" i="6"/>
  <c r="K146" i="6"/>
  <c r="X145" i="6"/>
  <c r="W145" i="6"/>
  <c r="V145" i="6"/>
  <c r="U145" i="6"/>
  <c r="T145" i="6"/>
  <c r="S145" i="6"/>
  <c r="Q145" i="6"/>
  <c r="O145" i="6"/>
  <c r="M145" i="6"/>
  <c r="K145" i="6"/>
  <c r="X144" i="6"/>
  <c r="W144" i="6"/>
  <c r="V144" i="6"/>
  <c r="U144" i="6"/>
  <c r="T144" i="6"/>
  <c r="S144" i="6"/>
  <c r="Q144" i="6"/>
  <c r="O144" i="6"/>
  <c r="M144" i="6"/>
  <c r="K144" i="6"/>
  <c r="X143" i="6"/>
  <c r="W143" i="6"/>
  <c r="V143" i="6"/>
  <c r="U143" i="6"/>
  <c r="T143" i="6"/>
  <c r="S143" i="6"/>
  <c r="Q143" i="6"/>
  <c r="O143" i="6"/>
  <c r="M143" i="6"/>
  <c r="K143" i="6"/>
  <c r="X142" i="6"/>
  <c r="W142" i="6"/>
  <c r="V142" i="6"/>
  <c r="U142" i="6"/>
  <c r="T142" i="6"/>
  <c r="S142" i="6"/>
  <c r="Q142" i="6"/>
  <c r="O142" i="6"/>
  <c r="M142" i="6"/>
  <c r="K142" i="6"/>
  <c r="X141" i="6"/>
  <c r="W141" i="6"/>
  <c r="V141" i="6"/>
  <c r="U141" i="6"/>
  <c r="T141" i="6"/>
  <c r="S141" i="6"/>
  <c r="Q141" i="6"/>
  <c r="O141" i="6"/>
  <c r="M141" i="6"/>
  <c r="K141" i="6"/>
  <c r="X140" i="6"/>
  <c r="W140" i="6"/>
  <c r="V140" i="6"/>
  <c r="U140" i="6"/>
  <c r="T140" i="6"/>
  <c r="S140" i="6"/>
  <c r="Q140" i="6"/>
  <c r="O140" i="6"/>
  <c r="M140" i="6"/>
  <c r="K140" i="6"/>
  <c r="X139" i="6"/>
  <c r="W139" i="6"/>
  <c r="V139" i="6"/>
  <c r="U139" i="6"/>
  <c r="T139" i="6"/>
  <c r="S139" i="6"/>
  <c r="Q139" i="6"/>
  <c r="O139" i="6"/>
  <c r="M139" i="6"/>
  <c r="K139" i="6"/>
  <c r="X138" i="6"/>
  <c r="W138" i="6"/>
  <c r="V138" i="6"/>
  <c r="U138" i="6"/>
  <c r="T138" i="6"/>
  <c r="S138" i="6"/>
  <c r="Q138" i="6"/>
  <c r="O138" i="6"/>
  <c r="M138" i="6"/>
  <c r="K138" i="6"/>
  <c r="X137" i="6"/>
  <c r="W137" i="6"/>
  <c r="V137" i="6"/>
  <c r="U137" i="6"/>
  <c r="T137" i="6"/>
  <c r="S137" i="6"/>
  <c r="Q137" i="6"/>
  <c r="O137" i="6"/>
  <c r="M137" i="6"/>
  <c r="K137" i="6"/>
  <c r="X136" i="6"/>
  <c r="W136" i="6"/>
  <c r="V136" i="6"/>
  <c r="U136" i="6"/>
  <c r="T136" i="6"/>
  <c r="S136" i="6"/>
  <c r="Q136" i="6"/>
  <c r="O136" i="6"/>
  <c r="M136" i="6"/>
  <c r="K136" i="6"/>
  <c r="X135" i="6"/>
  <c r="W135" i="6"/>
  <c r="V135" i="6"/>
  <c r="U135" i="6"/>
  <c r="T135" i="6"/>
  <c r="S135" i="6"/>
  <c r="Q135" i="6"/>
  <c r="O135" i="6"/>
  <c r="M135" i="6"/>
  <c r="K135" i="6"/>
  <c r="X134" i="6"/>
  <c r="W134" i="6"/>
  <c r="V134" i="6"/>
  <c r="U134" i="6"/>
  <c r="T134" i="6"/>
  <c r="S134" i="6"/>
  <c r="Q134" i="6"/>
  <c r="O134" i="6"/>
  <c r="M134" i="6"/>
  <c r="K134" i="6"/>
  <c r="X133" i="6"/>
  <c r="W133" i="6"/>
  <c r="V133" i="6"/>
  <c r="U133" i="6"/>
  <c r="T133" i="6"/>
  <c r="S133" i="6"/>
  <c r="Q133" i="6"/>
  <c r="O133" i="6"/>
  <c r="M133" i="6"/>
  <c r="K133" i="6"/>
  <c r="X132" i="6"/>
  <c r="W132" i="6"/>
  <c r="V132" i="6"/>
  <c r="U132" i="6"/>
  <c r="T132" i="6"/>
  <c r="S132" i="6"/>
  <c r="Q132" i="6"/>
  <c r="O132" i="6"/>
  <c r="M132" i="6"/>
  <c r="K132" i="6"/>
  <c r="X131" i="6"/>
  <c r="W131" i="6"/>
  <c r="V131" i="6"/>
  <c r="U131" i="6"/>
  <c r="T131" i="6"/>
  <c r="S131" i="6"/>
  <c r="Q131" i="6"/>
  <c r="O131" i="6"/>
  <c r="M131" i="6"/>
  <c r="K131" i="6"/>
  <c r="X130" i="6"/>
  <c r="W130" i="6"/>
  <c r="V130" i="6"/>
  <c r="U130" i="6"/>
  <c r="T130" i="6"/>
  <c r="S130" i="6"/>
  <c r="Q130" i="6"/>
  <c r="O130" i="6"/>
  <c r="M130" i="6"/>
  <c r="K130" i="6"/>
  <c r="X129" i="6"/>
  <c r="W129" i="6"/>
  <c r="V129" i="6"/>
  <c r="U129" i="6"/>
  <c r="T129" i="6"/>
  <c r="S129" i="6"/>
  <c r="Q129" i="6"/>
  <c r="O129" i="6"/>
  <c r="M129" i="6"/>
  <c r="K129" i="6"/>
  <c r="X128" i="6"/>
  <c r="W128" i="6"/>
  <c r="V128" i="6"/>
  <c r="U128" i="6"/>
  <c r="T128" i="6"/>
  <c r="S128" i="6"/>
  <c r="Q128" i="6"/>
  <c r="O128" i="6"/>
  <c r="M128" i="6"/>
  <c r="K128" i="6"/>
  <c r="X127" i="6"/>
  <c r="W127" i="6"/>
  <c r="V127" i="6"/>
  <c r="U127" i="6"/>
  <c r="T127" i="6"/>
  <c r="S127" i="6"/>
  <c r="Q127" i="6"/>
  <c r="O127" i="6"/>
  <c r="M127" i="6"/>
  <c r="K127" i="6"/>
  <c r="X126" i="6"/>
  <c r="W126" i="6"/>
  <c r="V126" i="6"/>
  <c r="U126" i="6"/>
  <c r="T126" i="6"/>
  <c r="S126" i="6"/>
  <c r="Q126" i="6"/>
  <c r="O126" i="6"/>
  <c r="M126" i="6"/>
  <c r="K126" i="6"/>
  <c r="X125" i="6"/>
  <c r="W125" i="6"/>
  <c r="V125" i="6"/>
  <c r="U125" i="6"/>
  <c r="T125" i="6"/>
  <c r="S125" i="6"/>
  <c r="Q125" i="6"/>
  <c r="O125" i="6"/>
  <c r="M125" i="6"/>
  <c r="K125" i="6"/>
  <c r="X124" i="6"/>
  <c r="W124" i="6"/>
  <c r="V124" i="6"/>
  <c r="U124" i="6"/>
  <c r="T124" i="6"/>
  <c r="S124" i="6"/>
  <c r="Q124" i="6"/>
  <c r="O124" i="6"/>
  <c r="M124" i="6"/>
  <c r="K124" i="6"/>
  <c r="X123" i="6"/>
  <c r="W123" i="6"/>
  <c r="V123" i="6"/>
  <c r="U123" i="6"/>
  <c r="T123" i="6"/>
  <c r="S123" i="6"/>
  <c r="Q123" i="6"/>
  <c r="O123" i="6"/>
  <c r="M123" i="6"/>
  <c r="K123" i="6"/>
  <c r="X122" i="6"/>
  <c r="W122" i="6"/>
  <c r="V122" i="6"/>
  <c r="U122" i="6"/>
  <c r="T122" i="6"/>
  <c r="S122" i="6"/>
  <c r="Q122" i="6"/>
  <c r="O122" i="6"/>
  <c r="M122" i="6"/>
  <c r="K122" i="6"/>
  <c r="X121" i="6"/>
  <c r="W121" i="6"/>
  <c r="V121" i="6"/>
  <c r="U121" i="6"/>
  <c r="T121" i="6"/>
  <c r="S121" i="6"/>
  <c r="Q121" i="6"/>
  <c r="O121" i="6"/>
  <c r="M121" i="6"/>
  <c r="K121" i="6"/>
  <c r="X120" i="6"/>
  <c r="W120" i="6"/>
  <c r="V120" i="6"/>
  <c r="U120" i="6"/>
  <c r="T120" i="6"/>
  <c r="S120" i="6"/>
  <c r="Q120" i="6"/>
  <c r="O120" i="6"/>
  <c r="M120" i="6"/>
  <c r="K120" i="6"/>
  <c r="X119" i="6"/>
  <c r="W119" i="6"/>
  <c r="V119" i="6"/>
  <c r="U119" i="6"/>
  <c r="T119" i="6"/>
  <c r="S119" i="6"/>
  <c r="Q119" i="6"/>
  <c r="O119" i="6"/>
  <c r="M119" i="6"/>
  <c r="K119" i="6"/>
  <c r="X118" i="6"/>
  <c r="W118" i="6"/>
  <c r="V118" i="6"/>
  <c r="U118" i="6"/>
  <c r="T118" i="6"/>
  <c r="S118" i="6"/>
  <c r="Q118" i="6"/>
  <c r="O118" i="6"/>
  <c r="M118" i="6"/>
  <c r="K118" i="6"/>
  <c r="X117" i="6"/>
  <c r="W117" i="6"/>
  <c r="V117" i="6"/>
  <c r="U117" i="6"/>
  <c r="T117" i="6"/>
  <c r="S117" i="6"/>
  <c r="Q117" i="6"/>
  <c r="O117" i="6"/>
  <c r="M117" i="6"/>
  <c r="K117" i="6"/>
  <c r="X116" i="6"/>
  <c r="W116" i="6"/>
  <c r="V116" i="6"/>
  <c r="U116" i="6"/>
  <c r="T116" i="6"/>
  <c r="S116" i="6"/>
  <c r="Q116" i="6"/>
  <c r="O116" i="6"/>
  <c r="M116" i="6"/>
  <c r="K116" i="6"/>
  <c r="X115" i="6"/>
  <c r="W115" i="6"/>
  <c r="V115" i="6"/>
  <c r="U115" i="6"/>
  <c r="T115" i="6"/>
  <c r="S115" i="6"/>
  <c r="Q115" i="6"/>
  <c r="O115" i="6"/>
  <c r="M115" i="6"/>
  <c r="K115" i="6"/>
  <c r="X114" i="6"/>
  <c r="W114" i="6"/>
  <c r="V114" i="6"/>
  <c r="U114" i="6"/>
  <c r="T114" i="6"/>
  <c r="S114" i="6"/>
  <c r="Q114" i="6"/>
  <c r="O114" i="6"/>
  <c r="M114" i="6"/>
  <c r="K114" i="6"/>
  <c r="X113" i="6"/>
  <c r="W113" i="6"/>
  <c r="V113" i="6"/>
  <c r="U113" i="6"/>
  <c r="T113" i="6"/>
  <c r="S113" i="6"/>
  <c r="Q113" i="6"/>
  <c r="O113" i="6"/>
  <c r="M113" i="6"/>
  <c r="K113" i="6"/>
  <c r="X112" i="6"/>
  <c r="W112" i="6"/>
  <c r="V112" i="6"/>
  <c r="U112" i="6"/>
  <c r="T112" i="6"/>
  <c r="S112" i="6"/>
  <c r="Q112" i="6"/>
  <c r="O112" i="6"/>
  <c r="M112" i="6"/>
  <c r="K112" i="6"/>
  <c r="X111" i="6"/>
  <c r="W111" i="6"/>
  <c r="V111" i="6"/>
  <c r="U111" i="6"/>
  <c r="T111" i="6"/>
  <c r="S111" i="6"/>
  <c r="Q111" i="6"/>
  <c r="O111" i="6"/>
  <c r="M111" i="6"/>
  <c r="K111" i="6"/>
  <c r="X110" i="6"/>
  <c r="W110" i="6"/>
  <c r="V110" i="6"/>
  <c r="U110" i="6"/>
  <c r="T110" i="6"/>
  <c r="S110" i="6"/>
  <c r="Q110" i="6"/>
  <c r="O110" i="6"/>
  <c r="M110" i="6"/>
  <c r="K110" i="6"/>
  <c r="X109" i="6"/>
  <c r="W109" i="6"/>
  <c r="V109" i="6"/>
  <c r="U109" i="6"/>
  <c r="T109" i="6"/>
  <c r="S109" i="6"/>
  <c r="Q109" i="6"/>
  <c r="O109" i="6"/>
  <c r="M109" i="6"/>
  <c r="K109" i="6"/>
  <c r="X108" i="6"/>
  <c r="W108" i="6"/>
  <c r="V108" i="6"/>
  <c r="U108" i="6"/>
  <c r="T108" i="6"/>
  <c r="S108" i="6"/>
  <c r="Q108" i="6"/>
  <c r="O108" i="6"/>
  <c r="M108" i="6"/>
  <c r="K108" i="6"/>
  <c r="X107" i="6"/>
  <c r="W107" i="6"/>
  <c r="V107" i="6"/>
  <c r="U107" i="6"/>
  <c r="T107" i="6"/>
  <c r="S107" i="6"/>
  <c r="Q107" i="6"/>
  <c r="O107" i="6"/>
  <c r="M107" i="6"/>
  <c r="K107" i="6"/>
  <c r="X106" i="6"/>
  <c r="W106" i="6"/>
  <c r="V106" i="6"/>
  <c r="U106" i="6"/>
  <c r="T106" i="6"/>
  <c r="S106" i="6"/>
  <c r="Q106" i="6"/>
  <c r="O106" i="6"/>
  <c r="M106" i="6"/>
  <c r="K106" i="6"/>
  <c r="X105" i="6"/>
  <c r="W105" i="6"/>
  <c r="V105" i="6"/>
  <c r="U105" i="6"/>
  <c r="T105" i="6"/>
  <c r="S105" i="6"/>
  <c r="Q105" i="6"/>
  <c r="O105" i="6"/>
  <c r="M105" i="6"/>
  <c r="K105" i="6"/>
  <c r="X104" i="6"/>
  <c r="W104" i="6"/>
  <c r="V104" i="6"/>
  <c r="U104" i="6"/>
  <c r="T104" i="6"/>
  <c r="S104" i="6"/>
  <c r="Q104" i="6"/>
  <c r="O104" i="6"/>
  <c r="M104" i="6"/>
  <c r="K104" i="6"/>
  <c r="X103" i="6"/>
  <c r="W103" i="6"/>
  <c r="V103" i="6"/>
  <c r="U103" i="6"/>
  <c r="T103" i="6"/>
  <c r="S103" i="6"/>
  <c r="Q103" i="6"/>
  <c r="O103" i="6"/>
  <c r="M103" i="6"/>
  <c r="K103" i="6"/>
  <c r="X102" i="6"/>
  <c r="W102" i="6"/>
  <c r="V102" i="6"/>
  <c r="U102" i="6"/>
  <c r="T102" i="6"/>
  <c r="S102" i="6"/>
  <c r="Q102" i="6"/>
  <c r="O102" i="6"/>
  <c r="M102" i="6"/>
  <c r="K102" i="6"/>
  <c r="X101" i="6"/>
  <c r="W101" i="6"/>
  <c r="V101" i="6"/>
  <c r="U101" i="6"/>
  <c r="T101" i="6"/>
  <c r="S101" i="6"/>
  <c r="Q101" i="6"/>
  <c r="O101" i="6"/>
  <c r="M101" i="6"/>
  <c r="K101" i="6"/>
  <c r="X100" i="6"/>
  <c r="W100" i="6"/>
  <c r="V100" i="6"/>
  <c r="U100" i="6"/>
  <c r="T100" i="6"/>
  <c r="S100" i="6"/>
  <c r="Q100" i="6"/>
  <c r="O100" i="6"/>
  <c r="M100" i="6"/>
  <c r="K100" i="6"/>
  <c r="X99" i="6"/>
  <c r="W99" i="6"/>
  <c r="V99" i="6"/>
  <c r="U99" i="6"/>
  <c r="T99" i="6"/>
  <c r="S99" i="6"/>
  <c r="Q99" i="6"/>
  <c r="O99" i="6"/>
  <c r="M99" i="6"/>
  <c r="K99" i="6"/>
  <c r="X98" i="6"/>
  <c r="W98" i="6"/>
  <c r="V98" i="6"/>
  <c r="U98" i="6"/>
  <c r="T98" i="6"/>
  <c r="S98" i="6"/>
  <c r="Q98" i="6"/>
  <c r="O98" i="6"/>
  <c r="M98" i="6"/>
  <c r="K98" i="6"/>
  <c r="X97" i="6"/>
  <c r="W97" i="6"/>
  <c r="V97" i="6"/>
  <c r="U97" i="6"/>
  <c r="T97" i="6"/>
  <c r="S97" i="6"/>
  <c r="Q97" i="6"/>
  <c r="O97" i="6"/>
  <c r="M97" i="6"/>
  <c r="K97" i="6"/>
  <c r="X96" i="6"/>
  <c r="W96" i="6"/>
  <c r="V96" i="6"/>
  <c r="U96" i="6"/>
  <c r="T96" i="6"/>
  <c r="S96" i="6"/>
  <c r="Q96" i="6"/>
  <c r="O96" i="6"/>
  <c r="M96" i="6"/>
  <c r="K96" i="6"/>
  <c r="X95" i="6"/>
  <c r="W95" i="6"/>
  <c r="V95" i="6"/>
  <c r="U95" i="6"/>
  <c r="T95" i="6"/>
  <c r="S95" i="6"/>
  <c r="Q95" i="6"/>
  <c r="O95" i="6"/>
  <c r="M95" i="6"/>
  <c r="K95" i="6"/>
  <c r="X94" i="6"/>
  <c r="W94" i="6"/>
  <c r="V94" i="6"/>
  <c r="U94" i="6"/>
  <c r="T94" i="6"/>
  <c r="S94" i="6"/>
  <c r="Q94" i="6"/>
  <c r="O94" i="6"/>
  <c r="M94" i="6"/>
  <c r="K94" i="6"/>
  <c r="X93" i="6"/>
  <c r="W93" i="6"/>
  <c r="V93" i="6"/>
  <c r="U93" i="6"/>
  <c r="T93" i="6"/>
  <c r="S93" i="6"/>
  <c r="Q93" i="6"/>
  <c r="O93" i="6"/>
  <c r="M93" i="6"/>
  <c r="K93" i="6"/>
  <c r="X92" i="6"/>
  <c r="W92" i="6"/>
  <c r="V92" i="6"/>
  <c r="U92" i="6"/>
  <c r="T92" i="6"/>
  <c r="S92" i="6"/>
  <c r="Q92" i="6"/>
  <c r="O92" i="6"/>
  <c r="M92" i="6"/>
  <c r="K92" i="6"/>
  <c r="X91" i="6"/>
  <c r="W91" i="6"/>
  <c r="V91" i="6"/>
  <c r="U91" i="6"/>
  <c r="T91" i="6"/>
  <c r="S91" i="6"/>
  <c r="Q91" i="6"/>
  <c r="O91" i="6"/>
  <c r="M91" i="6"/>
  <c r="K91" i="6"/>
  <c r="X90" i="6"/>
  <c r="W90" i="6"/>
  <c r="V90" i="6"/>
  <c r="U90" i="6"/>
  <c r="T90" i="6"/>
  <c r="S90" i="6"/>
  <c r="Q90" i="6"/>
  <c r="O90" i="6"/>
  <c r="M90" i="6"/>
  <c r="K90" i="6"/>
  <c r="X89" i="6"/>
  <c r="W89" i="6"/>
  <c r="V89" i="6"/>
  <c r="U89" i="6"/>
  <c r="T89" i="6"/>
  <c r="S89" i="6"/>
  <c r="Q89" i="6"/>
  <c r="O89" i="6"/>
  <c r="M89" i="6"/>
  <c r="K89" i="6"/>
  <c r="X88" i="6"/>
  <c r="W88" i="6"/>
  <c r="V88" i="6"/>
  <c r="U88" i="6"/>
  <c r="T88" i="6"/>
  <c r="S88" i="6"/>
  <c r="Q88" i="6"/>
  <c r="O88" i="6"/>
  <c r="M88" i="6"/>
  <c r="K88" i="6"/>
  <c r="X87" i="6"/>
  <c r="W87" i="6"/>
  <c r="V87" i="6"/>
  <c r="U87" i="6"/>
  <c r="T87" i="6"/>
  <c r="S87" i="6"/>
  <c r="Q87" i="6"/>
  <c r="O87" i="6"/>
  <c r="M87" i="6"/>
  <c r="K87" i="6"/>
  <c r="X86" i="6"/>
  <c r="W86" i="6"/>
  <c r="V86" i="6"/>
  <c r="U86" i="6"/>
  <c r="T86" i="6"/>
  <c r="S86" i="6"/>
  <c r="Q86" i="6"/>
  <c r="O86" i="6"/>
  <c r="M86" i="6"/>
  <c r="K86" i="6"/>
  <c r="X85" i="6"/>
  <c r="W85" i="6"/>
  <c r="V85" i="6"/>
  <c r="U85" i="6"/>
  <c r="T85" i="6"/>
  <c r="S85" i="6"/>
  <c r="Q85" i="6"/>
  <c r="O85" i="6"/>
  <c r="M85" i="6"/>
  <c r="K85" i="6"/>
  <c r="X84" i="6"/>
  <c r="W84" i="6"/>
  <c r="V84" i="6"/>
  <c r="U84" i="6"/>
  <c r="T84" i="6"/>
  <c r="S84" i="6"/>
  <c r="Q84" i="6"/>
  <c r="O84" i="6"/>
  <c r="M84" i="6"/>
  <c r="K84" i="6"/>
  <c r="X83" i="6"/>
  <c r="W83" i="6"/>
  <c r="V83" i="6"/>
  <c r="U83" i="6"/>
  <c r="T83" i="6"/>
  <c r="S83" i="6"/>
  <c r="Q83" i="6"/>
  <c r="O83" i="6"/>
  <c r="M83" i="6"/>
  <c r="K83" i="6"/>
  <c r="X82" i="6"/>
  <c r="W82" i="6"/>
  <c r="V82" i="6"/>
  <c r="U82" i="6"/>
  <c r="T82" i="6"/>
  <c r="S82" i="6"/>
  <c r="Q82" i="6"/>
  <c r="O82" i="6"/>
  <c r="M82" i="6"/>
  <c r="K82" i="6"/>
  <c r="X81" i="6"/>
  <c r="W81" i="6"/>
  <c r="V81" i="6"/>
  <c r="U81" i="6"/>
  <c r="T81" i="6"/>
  <c r="S81" i="6"/>
  <c r="Q81" i="6"/>
  <c r="O81" i="6"/>
  <c r="M81" i="6"/>
  <c r="K81" i="6"/>
  <c r="X80" i="6"/>
  <c r="W80" i="6"/>
  <c r="V80" i="6"/>
  <c r="U80" i="6"/>
  <c r="T80" i="6"/>
  <c r="S80" i="6"/>
  <c r="Q80" i="6"/>
  <c r="O80" i="6"/>
  <c r="M80" i="6"/>
  <c r="K80" i="6"/>
  <c r="X79" i="6"/>
  <c r="W79" i="6"/>
  <c r="V79" i="6"/>
  <c r="U79" i="6"/>
  <c r="T79" i="6"/>
  <c r="S79" i="6"/>
  <c r="Q79" i="6"/>
  <c r="O79" i="6"/>
  <c r="M79" i="6"/>
  <c r="K79" i="6"/>
  <c r="X78" i="6"/>
  <c r="W78" i="6"/>
  <c r="V78" i="6"/>
  <c r="U78" i="6"/>
  <c r="T78" i="6"/>
  <c r="S78" i="6"/>
  <c r="Q78" i="6"/>
  <c r="O78" i="6"/>
  <c r="M78" i="6"/>
  <c r="K78" i="6"/>
  <c r="X77" i="6"/>
  <c r="W77" i="6"/>
  <c r="V77" i="6"/>
  <c r="U77" i="6"/>
  <c r="T77" i="6"/>
  <c r="S77" i="6"/>
  <c r="Q77" i="6"/>
  <c r="O77" i="6"/>
  <c r="M77" i="6"/>
  <c r="K77" i="6"/>
  <c r="X76" i="6"/>
  <c r="W76" i="6"/>
  <c r="V76" i="6"/>
  <c r="U76" i="6"/>
  <c r="T76" i="6"/>
  <c r="S76" i="6"/>
  <c r="Q76" i="6"/>
  <c r="O76" i="6"/>
  <c r="M76" i="6"/>
  <c r="K76" i="6"/>
  <c r="X75" i="6"/>
  <c r="W75" i="6"/>
  <c r="V75" i="6"/>
  <c r="U75" i="6"/>
  <c r="T75" i="6"/>
  <c r="S75" i="6"/>
  <c r="Q75" i="6"/>
  <c r="O75" i="6"/>
  <c r="M75" i="6"/>
  <c r="K75" i="6"/>
  <c r="X74" i="6"/>
  <c r="W74" i="6"/>
  <c r="V74" i="6"/>
  <c r="U74" i="6"/>
  <c r="T74" i="6"/>
  <c r="S74" i="6"/>
  <c r="Q74" i="6"/>
  <c r="O74" i="6"/>
  <c r="M74" i="6"/>
  <c r="K74" i="6"/>
  <c r="X73" i="6"/>
  <c r="W73" i="6"/>
  <c r="V73" i="6"/>
  <c r="U73" i="6"/>
  <c r="T73" i="6"/>
  <c r="S73" i="6"/>
  <c r="Q73" i="6"/>
  <c r="O73" i="6"/>
  <c r="M73" i="6"/>
  <c r="K73" i="6"/>
  <c r="X72" i="6"/>
  <c r="W72" i="6"/>
  <c r="V72" i="6"/>
  <c r="U72" i="6"/>
  <c r="T72" i="6"/>
  <c r="S72" i="6"/>
  <c r="Q72" i="6"/>
  <c r="O72" i="6"/>
  <c r="M72" i="6"/>
  <c r="K72" i="6"/>
  <c r="X71" i="6"/>
  <c r="W71" i="6"/>
  <c r="V71" i="6"/>
  <c r="U71" i="6"/>
  <c r="T71" i="6"/>
  <c r="S71" i="6"/>
  <c r="Q71" i="6"/>
  <c r="O71" i="6"/>
  <c r="M71" i="6"/>
  <c r="K71" i="6"/>
  <c r="X70" i="6"/>
  <c r="W70" i="6"/>
  <c r="V70" i="6"/>
  <c r="U70" i="6"/>
  <c r="T70" i="6"/>
  <c r="S70" i="6"/>
  <c r="Q70" i="6"/>
  <c r="O70" i="6"/>
  <c r="M70" i="6"/>
  <c r="K70" i="6"/>
  <c r="X69" i="6"/>
  <c r="W69" i="6"/>
  <c r="V69" i="6"/>
  <c r="U69" i="6"/>
  <c r="T69" i="6"/>
  <c r="S69" i="6"/>
  <c r="Q69" i="6"/>
  <c r="O69" i="6"/>
  <c r="M69" i="6"/>
  <c r="K69" i="6"/>
  <c r="X68" i="6"/>
  <c r="W68" i="6"/>
  <c r="V68" i="6"/>
  <c r="U68" i="6"/>
  <c r="T68" i="6"/>
  <c r="S68" i="6"/>
  <c r="Q68" i="6"/>
  <c r="O68" i="6"/>
  <c r="M68" i="6"/>
  <c r="K68" i="6"/>
  <c r="X67" i="6"/>
  <c r="W67" i="6"/>
  <c r="V67" i="6"/>
  <c r="U67" i="6"/>
  <c r="T67" i="6"/>
  <c r="S67" i="6"/>
  <c r="Q67" i="6"/>
  <c r="O67" i="6"/>
  <c r="M67" i="6"/>
  <c r="K67" i="6"/>
  <c r="X66" i="6"/>
  <c r="W66" i="6"/>
  <c r="V66" i="6"/>
  <c r="U66" i="6"/>
  <c r="T66" i="6"/>
  <c r="S66" i="6"/>
  <c r="Q66" i="6"/>
  <c r="O66" i="6"/>
  <c r="M66" i="6"/>
  <c r="K66" i="6"/>
  <c r="X65" i="6"/>
  <c r="W65" i="6"/>
  <c r="V65" i="6"/>
  <c r="U65" i="6"/>
  <c r="T65" i="6"/>
  <c r="S65" i="6"/>
  <c r="Q65" i="6"/>
  <c r="O65" i="6"/>
  <c r="M65" i="6"/>
  <c r="K65" i="6"/>
  <c r="X64" i="6"/>
  <c r="W64" i="6"/>
  <c r="V64" i="6"/>
  <c r="U64" i="6"/>
  <c r="T64" i="6"/>
  <c r="S64" i="6"/>
  <c r="Q64" i="6"/>
  <c r="O64" i="6"/>
  <c r="M64" i="6"/>
  <c r="K64" i="6"/>
  <c r="X63" i="6"/>
  <c r="W63" i="6"/>
  <c r="V63" i="6"/>
  <c r="U63" i="6"/>
  <c r="T63" i="6"/>
  <c r="S63" i="6"/>
  <c r="Q63" i="6"/>
  <c r="O63" i="6"/>
  <c r="M63" i="6"/>
  <c r="K63" i="6"/>
  <c r="X62" i="6"/>
  <c r="W62" i="6"/>
  <c r="V62" i="6"/>
  <c r="U62" i="6"/>
  <c r="T62" i="6"/>
  <c r="S62" i="6"/>
  <c r="Q62" i="6"/>
  <c r="O62" i="6"/>
  <c r="M62" i="6"/>
  <c r="K62" i="6"/>
  <c r="X61" i="6"/>
  <c r="W61" i="6"/>
  <c r="V61" i="6"/>
  <c r="U61" i="6"/>
  <c r="T61" i="6"/>
  <c r="S61" i="6"/>
  <c r="Q61" i="6"/>
  <c r="O61" i="6"/>
  <c r="M61" i="6"/>
  <c r="K61" i="6"/>
  <c r="X60" i="6"/>
  <c r="W60" i="6"/>
  <c r="V60" i="6"/>
  <c r="U60" i="6"/>
  <c r="T60" i="6"/>
  <c r="S60" i="6"/>
  <c r="Q60" i="6"/>
  <c r="O60" i="6"/>
  <c r="M60" i="6"/>
  <c r="K60" i="6"/>
  <c r="X59" i="6"/>
  <c r="W59" i="6"/>
  <c r="V59" i="6"/>
  <c r="U59" i="6"/>
  <c r="T59" i="6"/>
  <c r="S59" i="6"/>
  <c r="Q59" i="6"/>
  <c r="O59" i="6"/>
  <c r="M59" i="6"/>
  <c r="K59" i="6"/>
  <c r="X58" i="6"/>
  <c r="W58" i="6"/>
  <c r="V58" i="6"/>
  <c r="U58" i="6"/>
  <c r="T58" i="6"/>
  <c r="S58" i="6"/>
  <c r="Q58" i="6"/>
  <c r="O58" i="6"/>
  <c r="M58" i="6"/>
  <c r="K58" i="6"/>
  <c r="X57" i="6"/>
  <c r="W57" i="6"/>
  <c r="V57" i="6"/>
  <c r="U57" i="6"/>
  <c r="T57" i="6"/>
  <c r="S57" i="6"/>
  <c r="Q57" i="6"/>
  <c r="O57" i="6"/>
  <c r="M57" i="6"/>
  <c r="K57" i="6"/>
  <c r="X56" i="6"/>
  <c r="W56" i="6"/>
  <c r="V56" i="6"/>
  <c r="U56" i="6"/>
  <c r="T56" i="6"/>
  <c r="S56" i="6"/>
  <c r="Q56" i="6"/>
  <c r="O56" i="6"/>
  <c r="M56" i="6"/>
  <c r="K56" i="6"/>
  <c r="X55" i="6"/>
  <c r="W55" i="6"/>
  <c r="V55" i="6"/>
  <c r="U55" i="6"/>
  <c r="T55" i="6"/>
  <c r="S55" i="6"/>
  <c r="Q55" i="6"/>
  <c r="O55" i="6"/>
  <c r="M55" i="6"/>
  <c r="K55" i="6"/>
  <c r="X54" i="6"/>
  <c r="W54" i="6"/>
  <c r="V54" i="6"/>
  <c r="U54" i="6"/>
  <c r="T54" i="6"/>
  <c r="S54" i="6"/>
  <c r="Q54" i="6"/>
  <c r="O54" i="6"/>
  <c r="M54" i="6"/>
  <c r="K54" i="6"/>
  <c r="X53" i="6"/>
  <c r="W53" i="6"/>
  <c r="V53" i="6"/>
  <c r="U53" i="6"/>
  <c r="T53" i="6"/>
  <c r="S53" i="6"/>
  <c r="Q53" i="6"/>
  <c r="O53" i="6"/>
  <c r="M53" i="6"/>
  <c r="K53" i="6"/>
  <c r="X52" i="6"/>
  <c r="W52" i="6"/>
  <c r="V52" i="6"/>
  <c r="U52" i="6"/>
  <c r="T52" i="6"/>
  <c r="S52" i="6"/>
  <c r="Q52" i="6"/>
  <c r="O52" i="6"/>
  <c r="M52" i="6"/>
  <c r="K52" i="6"/>
  <c r="X51" i="6"/>
  <c r="W51" i="6"/>
  <c r="V51" i="6"/>
  <c r="U51" i="6"/>
  <c r="T51" i="6"/>
  <c r="S51" i="6"/>
  <c r="Q51" i="6"/>
  <c r="O51" i="6"/>
  <c r="M51" i="6"/>
  <c r="K51" i="6"/>
  <c r="X50" i="6"/>
  <c r="W50" i="6"/>
  <c r="V50" i="6"/>
  <c r="U50" i="6"/>
  <c r="T50" i="6"/>
  <c r="S50" i="6"/>
  <c r="Q50" i="6"/>
  <c r="O50" i="6"/>
  <c r="M50" i="6"/>
  <c r="K50" i="6"/>
  <c r="X49" i="6"/>
  <c r="W49" i="6"/>
  <c r="V49" i="6"/>
  <c r="U49" i="6"/>
  <c r="T49" i="6"/>
  <c r="S49" i="6"/>
  <c r="Q49" i="6"/>
  <c r="O49" i="6"/>
  <c r="M49" i="6"/>
  <c r="K49" i="6"/>
  <c r="X48" i="6"/>
  <c r="W48" i="6"/>
  <c r="V48" i="6"/>
  <c r="U48" i="6"/>
  <c r="T48" i="6"/>
  <c r="S48" i="6"/>
  <c r="Q48" i="6"/>
  <c r="O48" i="6"/>
  <c r="M48" i="6"/>
  <c r="K48" i="6"/>
  <c r="X47" i="6"/>
  <c r="W47" i="6"/>
  <c r="V47" i="6"/>
  <c r="U47" i="6"/>
  <c r="T47" i="6"/>
  <c r="S47" i="6"/>
  <c r="Q47" i="6"/>
  <c r="O47" i="6"/>
  <c r="M47" i="6"/>
  <c r="K47" i="6"/>
  <c r="X46" i="6"/>
  <c r="W46" i="6"/>
  <c r="V46" i="6"/>
  <c r="U46" i="6"/>
  <c r="T46" i="6"/>
  <c r="S46" i="6"/>
  <c r="Q46" i="6"/>
  <c r="O46" i="6"/>
  <c r="M46" i="6"/>
  <c r="K46" i="6"/>
  <c r="X45" i="6"/>
  <c r="W45" i="6"/>
  <c r="V45" i="6"/>
  <c r="U45" i="6"/>
  <c r="T45" i="6"/>
  <c r="S45" i="6"/>
  <c r="Q45" i="6"/>
  <c r="O45" i="6"/>
  <c r="M45" i="6"/>
  <c r="K45" i="6"/>
  <c r="X44" i="6"/>
  <c r="W44" i="6"/>
  <c r="V44" i="6"/>
  <c r="U44" i="6"/>
  <c r="T44" i="6"/>
  <c r="S44" i="6"/>
  <c r="Q44" i="6"/>
  <c r="O44" i="6"/>
  <c r="M44" i="6"/>
  <c r="K44" i="6"/>
  <c r="X43" i="6"/>
  <c r="W43" i="6"/>
  <c r="V43" i="6"/>
  <c r="U43" i="6"/>
  <c r="T43" i="6"/>
  <c r="S43" i="6"/>
  <c r="Q43" i="6"/>
  <c r="O43" i="6"/>
  <c r="M43" i="6"/>
  <c r="K43" i="6"/>
  <c r="X42" i="6"/>
  <c r="W42" i="6"/>
  <c r="V42" i="6"/>
  <c r="U42" i="6"/>
  <c r="T42" i="6"/>
  <c r="S42" i="6"/>
  <c r="Q42" i="6"/>
  <c r="O42" i="6"/>
  <c r="M42" i="6"/>
  <c r="K42" i="6"/>
  <c r="X41" i="6"/>
  <c r="W41" i="6"/>
  <c r="V41" i="6"/>
  <c r="U41" i="6"/>
  <c r="T41" i="6"/>
  <c r="S41" i="6"/>
  <c r="Q41" i="6"/>
  <c r="O41" i="6"/>
  <c r="M41" i="6"/>
  <c r="K41" i="6"/>
  <c r="X40" i="6"/>
  <c r="W40" i="6"/>
  <c r="V40" i="6"/>
  <c r="U40" i="6"/>
  <c r="T40" i="6"/>
  <c r="S40" i="6"/>
  <c r="Q40" i="6"/>
  <c r="O40" i="6"/>
  <c r="M40" i="6"/>
  <c r="K40" i="6"/>
  <c r="X39" i="6"/>
  <c r="W39" i="6"/>
  <c r="V39" i="6"/>
  <c r="U39" i="6"/>
  <c r="T39" i="6"/>
  <c r="S39" i="6"/>
  <c r="Q39" i="6"/>
  <c r="O39" i="6"/>
  <c r="M39" i="6"/>
  <c r="K39" i="6"/>
  <c r="X38" i="6"/>
  <c r="W38" i="6"/>
  <c r="V38" i="6"/>
  <c r="U38" i="6"/>
  <c r="T38" i="6"/>
  <c r="S38" i="6"/>
  <c r="Q38" i="6"/>
  <c r="O38" i="6"/>
  <c r="M38" i="6"/>
  <c r="K38" i="6"/>
  <c r="X37" i="6"/>
  <c r="W37" i="6"/>
  <c r="V37" i="6"/>
  <c r="U37" i="6"/>
  <c r="T37" i="6"/>
  <c r="S37" i="6"/>
  <c r="Q37" i="6"/>
  <c r="O37" i="6"/>
  <c r="M37" i="6"/>
  <c r="K37" i="6"/>
  <c r="X36" i="6"/>
  <c r="W36" i="6"/>
  <c r="V36" i="6"/>
  <c r="U36" i="6"/>
  <c r="T36" i="6"/>
  <c r="S36" i="6"/>
  <c r="Q36" i="6"/>
  <c r="O36" i="6"/>
  <c r="M36" i="6"/>
  <c r="K36" i="6"/>
  <c r="X35" i="6"/>
  <c r="W35" i="6"/>
  <c r="V35" i="6"/>
  <c r="U35" i="6"/>
  <c r="T35" i="6"/>
  <c r="S35" i="6"/>
  <c r="Q35" i="6"/>
  <c r="O35" i="6"/>
  <c r="M35" i="6"/>
  <c r="K35" i="6"/>
  <c r="X34" i="6"/>
  <c r="W34" i="6"/>
  <c r="V34" i="6"/>
  <c r="U34" i="6"/>
  <c r="T34" i="6"/>
  <c r="S34" i="6"/>
  <c r="Q34" i="6"/>
  <c r="O34" i="6"/>
  <c r="M34" i="6"/>
  <c r="K34" i="6"/>
  <c r="X33" i="6"/>
  <c r="W33" i="6"/>
  <c r="V33" i="6"/>
  <c r="U33" i="6"/>
  <c r="T33" i="6"/>
  <c r="S33" i="6"/>
  <c r="Q33" i="6"/>
  <c r="O33" i="6"/>
  <c r="M33" i="6"/>
  <c r="K33" i="6"/>
  <c r="X32" i="6"/>
  <c r="W32" i="6"/>
  <c r="V32" i="6"/>
  <c r="U32" i="6"/>
  <c r="T32" i="6"/>
  <c r="S32" i="6"/>
  <c r="Q32" i="6"/>
  <c r="O32" i="6"/>
  <c r="M32" i="6"/>
  <c r="K32" i="6"/>
  <c r="X31" i="6"/>
  <c r="W31" i="6"/>
  <c r="V31" i="6"/>
  <c r="U31" i="6"/>
  <c r="T31" i="6"/>
  <c r="S31" i="6"/>
  <c r="Q31" i="6"/>
  <c r="O31" i="6"/>
  <c r="M31" i="6"/>
  <c r="K31" i="6"/>
  <c r="X30" i="6"/>
  <c r="W30" i="6"/>
  <c r="V30" i="6"/>
  <c r="U30" i="6"/>
  <c r="T30" i="6"/>
  <c r="S30" i="6"/>
  <c r="Q30" i="6"/>
  <c r="O30" i="6"/>
  <c r="M30" i="6"/>
  <c r="K30" i="6"/>
  <c r="X29" i="6"/>
  <c r="W29" i="6"/>
  <c r="V29" i="6"/>
  <c r="U29" i="6"/>
  <c r="T29" i="6"/>
  <c r="S29" i="6"/>
  <c r="Q29" i="6"/>
  <c r="O29" i="6"/>
  <c r="M29" i="6"/>
  <c r="K29" i="6"/>
  <c r="X28" i="6"/>
  <c r="W28" i="6"/>
  <c r="V28" i="6"/>
  <c r="U28" i="6"/>
  <c r="T28" i="6"/>
  <c r="S28" i="6"/>
  <c r="Q28" i="6"/>
  <c r="O28" i="6"/>
  <c r="M28" i="6"/>
  <c r="K28" i="6"/>
  <c r="X27" i="6"/>
  <c r="W27" i="6"/>
  <c r="V27" i="6"/>
  <c r="U27" i="6"/>
  <c r="T27" i="6"/>
  <c r="S27" i="6"/>
  <c r="Q27" i="6"/>
  <c r="O27" i="6"/>
  <c r="M27" i="6"/>
  <c r="K27" i="6"/>
  <c r="X26" i="6"/>
  <c r="W26" i="6"/>
  <c r="V26" i="6"/>
  <c r="U26" i="6"/>
  <c r="T26" i="6"/>
  <c r="S26" i="6"/>
  <c r="Q26" i="6"/>
  <c r="O26" i="6"/>
  <c r="M26" i="6"/>
  <c r="K26" i="6"/>
  <c r="X25" i="6"/>
  <c r="W25" i="6"/>
  <c r="V25" i="6"/>
  <c r="U25" i="6"/>
  <c r="T25" i="6"/>
  <c r="S25" i="6"/>
  <c r="Q25" i="6"/>
  <c r="O25" i="6"/>
  <c r="M25" i="6"/>
  <c r="K25" i="6"/>
  <c r="X24" i="6"/>
  <c r="W24" i="6"/>
  <c r="V24" i="6"/>
  <c r="U24" i="6"/>
  <c r="T24" i="6"/>
  <c r="S24" i="6"/>
  <c r="Q24" i="6"/>
  <c r="O24" i="6"/>
  <c r="M24" i="6"/>
  <c r="K24" i="6"/>
  <c r="X23" i="6"/>
  <c r="W23" i="6"/>
  <c r="V23" i="6"/>
  <c r="U23" i="6"/>
  <c r="T23" i="6"/>
  <c r="S23" i="6"/>
  <c r="Q23" i="6"/>
  <c r="O23" i="6"/>
  <c r="M23" i="6"/>
  <c r="K23" i="6"/>
  <c r="X22" i="6"/>
  <c r="W22" i="6"/>
  <c r="V22" i="6"/>
  <c r="U22" i="6"/>
  <c r="T22" i="6"/>
  <c r="S22" i="6"/>
  <c r="Q22" i="6"/>
  <c r="O22" i="6"/>
  <c r="M22" i="6"/>
  <c r="K22" i="6"/>
  <c r="X21" i="6"/>
  <c r="W21" i="6"/>
  <c r="V21" i="6"/>
  <c r="U21" i="6"/>
  <c r="T21" i="6"/>
  <c r="S21" i="6"/>
  <c r="Q21" i="6"/>
  <c r="O21" i="6"/>
  <c r="M21" i="6"/>
  <c r="K21" i="6"/>
  <c r="X20" i="6"/>
  <c r="W20" i="6"/>
  <c r="V20" i="6"/>
  <c r="U20" i="6"/>
  <c r="T20" i="6"/>
  <c r="S20" i="6"/>
  <c r="Q20" i="6"/>
  <c r="O20" i="6"/>
  <c r="M20" i="6"/>
  <c r="K20" i="6"/>
  <c r="X19" i="6"/>
  <c r="W19" i="6"/>
  <c r="V19" i="6"/>
  <c r="U19" i="6"/>
  <c r="T19" i="6"/>
  <c r="S19" i="6"/>
  <c r="Q19" i="6"/>
  <c r="O19" i="6"/>
  <c r="M19" i="6"/>
  <c r="K19" i="6"/>
  <c r="X18" i="6"/>
  <c r="W18" i="6"/>
  <c r="V18" i="6"/>
  <c r="U18" i="6"/>
  <c r="T18" i="6"/>
  <c r="S18" i="6"/>
  <c r="Q18" i="6"/>
  <c r="O18" i="6"/>
  <c r="M18" i="6"/>
  <c r="K18" i="6"/>
  <c r="X17" i="6"/>
  <c r="W17" i="6"/>
  <c r="V17" i="6"/>
  <c r="U17" i="6"/>
  <c r="T17" i="6"/>
  <c r="S17" i="6"/>
  <c r="Q17" i="6"/>
  <c r="O17" i="6"/>
  <c r="M17" i="6"/>
  <c r="K17" i="6"/>
  <c r="X16" i="6"/>
  <c r="W16" i="6"/>
  <c r="V16" i="6"/>
  <c r="U16" i="6"/>
  <c r="T16" i="6"/>
  <c r="S16" i="6"/>
  <c r="Q16" i="6"/>
  <c r="O16" i="6"/>
  <c r="M16" i="6"/>
  <c r="K16" i="6"/>
  <c r="X15" i="6"/>
  <c r="W15" i="6"/>
  <c r="V15" i="6"/>
  <c r="U15" i="6"/>
  <c r="T15" i="6"/>
  <c r="S15" i="6"/>
  <c r="Q15" i="6"/>
  <c r="O15" i="6"/>
  <c r="M15" i="6"/>
  <c r="K15" i="6"/>
  <c r="X14" i="6"/>
  <c r="W14" i="6"/>
  <c r="V14" i="6"/>
  <c r="U14" i="6"/>
  <c r="T14" i="6"/>
  <c r="S14" i="6"/>
  <c r="Q14" i="6"/>
  <c r="O14" i="6"/>
  <c r="M14" i="6"/>
  <c r="K14" i="6"/>
  <c r="X13" i="6"/>
  <c r="W13" i="6"/>
  <c r="V13" i="6"/>
  <c r="U13" i="6"/>
  <c r="T13" i="6"/>
  <c r="S13" i="6"/>
  <c r="Q13" i="6"/>
  <c r="O13" i="6"/>
  <c r="M13" i="6"/>
  <c r="K13" i="6"/>
  <c r="X12" i="6"/>
  <c r="W12" i="6"/>
  <c r="V12" i="6"/>
  <c r="U12" i="6"/>
  <c r="T12" i="6"/>
  <c r="S12" i="6"/>
  <c r="Q12" i="6"/>
  <c r="O12" i="6"/>
  <c r="M12" i="6"/>
  <c r="K12" i="6"/>
  <c r="X11" i="6"/>
  <c r="W11" i="6"/>
  <c r="V11" i="6"/>
  <c r="U11" i="6"/>
  <c r="T11" i="6"/>
  <c r="S11" i="6"/>
  <c r="Q11" i="6"/>
  <c r="O11" i="6"/>
  <c r="M11" i="6"/>
  <c r="K11" i="6"/>
  <c r="X10" i="6"/>
  <c r="W10" i="6"/>
  <c r="V10" i="6"/>
  <c r="U10" i="6"/>
  <c r="T10" i="6"/>
  <c r="S10" i="6"/>
  <c r="Q10" i="6"/>
  <c r="O10" i="6"/>
  <c r="M10" i="6"/>
  <c r="K10" i="6"/>
  <c r="X9" i="6"/>
  <c r="W9" i="6"/>
  <c r="V9" i="6"/>
  <c r="U9" i="6"/>
  <c r="T9" i="6"/>
  <c r="S9" i="6"/>
  <c r="Q9" i="6"/>
  <c r="O9" i="6"/>
  <c r="M9" i="6"/>
  <c r="K9" i="6"/>
  <c r="X8" i="6"/>
  <c r="W8" i="6"/>
  <c r="V8" i="6"/>
  <c r="U8" i="6"/>
  <c r="T8" i="6"/>
  <c r="S8" i="6"/>
  <c r="Q8" i="6"/>
  <c r="O8" i="6"/>
  <c r="M8" i="6"/>
  <c r="K8" i="6"/>
  <c r="X7" i="6"/>
  <c r="W7" i="6"/>
  <c r="V7" i="6"/>
  <c r="U7" i="6"/>
  <c r="T7" i="6"/>
  <c r="S7" i="6"/>
  <c r="Q7" i="6"/>
  <c r="O7" i="6"/>
  <c r="M7" i="6"/>
  <c r="K7" i="6"/>
  <c r="X270" i="5" l="1"/>
  <c r="W270" i="5"/>
  <c r="V270" i="5"/>
  <c r="U270" i="5"/>
  <c r="T270" i="5"/>
  <c r="S270" i="5"/>
  <c r="Q270" i="5"/>
  <c r="O270" i="5"/>
  <c r="M270" i="5"/>
  <c r="K270" i="5"/>
  <c r="X269" i="5"/>
  <c r="W269" i="5"/>
  <c r="V269" i="5"/>
  <c r="U269" i="5"/>
  <c r="T269" i="5"/>
  <c r="S269" i="5"/>
  <c r="Q269" i="5"/>
  <c r="O269" i="5"/>
  <c r="M269" i="5"/>
  <c r="K269" i="5"/>
  <c r="X268" i="5"/>
  <c r="W268" i="5"/>
  <c r="V268" i="5"/>
  <c r="U268" i="5"/>
  <c r="T268" i="5"/>
  <c r="S268" i="5"/>
  <c r="Q268" i="5"/>
  <c r="O268" i="5"/>
  <c r="M268" i="5"/>
  <c r="K268" i="5"/>
  <c r="X267" i="5"/>
  <c r="W267" i="5"/>
  <c r="V267" i="5"/>
  <c r="U267" i="5"/>
  <c r="T267" i="5"/>
  <c r="S267" i="5"/>
  <c r="Q267" i="5"/>
  <c r="O267" i="5"/>
  <c r="M267" i="5"/>
  <c r="K267" i="5"/>
  <c r="X266" i="5"/>
  <c r="W266" i="5"/>
  <c r="V266" i="5"/>
  <c r="U266" i="5"/>
  <c r="T266" i="5"/>
  <c r="S266" i="5"/>
  <c r="Q266" i="5"/>
  <c r="O266" i="5"/>
  <c r="M266" i="5"/>
  <c r="K266" i="5"/>
  <c r="X265" i="5"/>
  <c r="W265" i="5"/>
  <c r="V265" i="5"/>
  <c r="U265" i="5"/>
  <c r="T265" i="5"/>
  <c r="S265" i="5"/>
  <c r="Q265" i="5"/>
  <c r="O265" i="5"/>
  <c r="M265" i="5"/>
  <c r="K265" i="5"/>
  <c r="X264" i="5"/>
  <c r="W264" i="5"/>
  <c r="V264" i="5"/>
  <c r="U264" i="5"/>
  <c r="T264" i="5"/>
  <c r="S264" i="5"/>
  <c r="Q264" i="5"/>
  <c r="O264" i="5"/>
  <c r="M264" i="5"/>
  <c r="K264" i="5"/>
  <c r="X263" i="5"/>
  <c r="W263" i="5"/>
  <c r="V263" i="5"/>
  <c r="U263" i="5"/>
  <c r="T263" i="5"/>
  <c r="S263" i="5"/>
  <c r="Q263" i="5"/>
  <c r="O263" i="5"/>
  <c r="M263" i="5"/>
  <c r="K263" i="5"/>
  <c r="X262" i="5"/>
  <c r="W262" i="5"/>
  <c r="V262" i="5"/>
  <c r="U262" i="5"/>
  <c r="T262" i="5"/>
  <c r="S262" i="5"/>
  <c r="Q262" i="5"/>
  <c r="O262" i="5"/>
  <c r="M262" i="5"/>
  <c r="K262" i="5"/>
  <c r="X261" i="5"/>
  <c r="W261" i="5"/>
  <c r="V261" i="5"/>
  <c r="U261" i="5"/>
  <c r="T261" i="5"/>
  <c r="S261" i="5"/>
  <c r="Q261" i="5"/>
  <c r="O261" i="5"/>
  <c r="M261" i="5"/>
  <c r="K261" i="5"/>
  <c r="X260" i="5"/>
  <c r="W260" i="5"/>
  <c r="V260" i="5"/>
  <c r="U260" i="5"/>
  <c r="T260" i="5"/>
  <c r="S260" i="5"/>
  <c r="Q260" i="5"/>
  <c r="O260" i="5"/>
  <c r="M260" i="5"/>
  <c r="K260" i="5"/>
  <c r="X259" i="5"/>
  <c r="W259" i="5"/>
  <c r="V259" i="5"/>
  <c r="U259" i="5"/>
  <c r="T259" i="5"/>
  <c r="S259" i="5"/>
  <c r="Q259" i="5"/>
  <c r="O259" i="5"/>
  <c r="M259" i="5"/>
  <c r="K259" i="5"/>
  <c r="X258" i="5"/>
  <c r="W258" i="5"/>
  <c r="V258" i="5"/>
  <c r="U258" i="5"/>
  <c r="T258" i="5"/>
  <c r="S258" i="5"/>
  <c r="Q258" i="5"/>
  <c r="O258" i="5"/>
  <c r="M258" i="5"/>
  <c r="K258" i="5"/>
  <c r="X257" i="5"/>
  <c r="W257" i="5"/>
  <c r="V257" i="5"/>
  <c r="U257" i="5"/>
  <c r="T257" i="5"/>
  <c r="S257" i="5"/>
  <c r="Q257" i="5"/>
  <c r="O257" i="5"/>
  <c r="M257" i="5"/>
  <c r="K257" i="5"/>
  <c r="X256" i="5"/>
  <c r="W256" i="5"/>
  <c r="V256" i="5"/>
  <c r="U256" i="5"/>
  <c r="T256" i="5"/>
  <c r="S256" i="5"/>
  <c r="Q256" i="5"/>
  <c r="O256" i="5"/>
  <c r="M256" i="5"/>
  <c r="K256" i="5"/>
  <c r="X255" i="5"/>
  <c r="W255" i="5"/>
  <c r="V255" i="5"/>
  <c r="U255" i="5"/>
  <c r="T255" i="5"/>
  <c r="S255" i="5"/>
  <c r="Q255" i="5"/>
  <c r="O255" i="5"/>
  <c r="M255" i="5"/>
  <c r="K255" i="5"/>
  <c r="X254" i="5"/>
  <c r="W254" i="5"/>
  <c r="V254" i="5"/>
  <c r="U254" i="5"/>
  <c r="T254" i="5"/>
  <c r="S254" i="5"/>
  <c r="Q254" i="5"/>
  <c r="O254" i="5"/>
  <c r="M254" i="5"/>
  <c r="K254" i="5"/>
  <c r="X253" i="5"/>
  <c r="W253" i="5"/>
  <c r="V253" i="5"/>
  <c r="U253" i="5"/>
  <c r="T253" i="5"/>
  <c r="S253" i="5"/>
  <c r="Q253" i="5"/>
  <c r="O253" i="5"/>
  <c r="M253" i="5"/>
  <c r="K253" i="5"/>
  <c r="X252" i="5"/>
  <c r="W252" i="5"/>
  <c r="V252" i="5"/>
  <c r="U252" i="5"/>
  <c r="T252" i="5"/>
  <c r="S252" i="5"/>
  <c r="Q252" i="5"/>
  <c r="O252" i="5"/>
  <c r="M252" i="5"/>
  <c r="K252" i="5"/>
  <c r="X251" i="5"/>
  <c r="W251" i="5"/>
  <c r="V251" i="5"/>
  <c r="U251" i="5"/>
  <c r="T251" i="5"/>
  <c r="S251" i="5"/>
  <c r="Q251" i="5"/>
  <c r="O251" i="5"/>
  <c r="M251" i="5"/>
  <c r="K251" i="5"/>
  <c r="X250" i="5"/>
  <c r="W250" i="5"/>
  <c r="V250" i="5"/>
  <c r="U250" i="5"/>
  <c r="T250" i="5"/>
  <c r="S250" i="5"/>
  <c r="Q250" i="5"/>
  <c r="O250" i="5"/>
  <c r="M250" i="5"/>
  <c r="K250" i="5"/>
  <c r="X249" i="5"/>
  <c r="W249" i="5"/>
  <c r="V249" i="5"/>
  <c r="U249" i="5"/>
  <c r="T249" i="5"/>
  <c r="S249" i="5"/>
  <c r="Q249" i="5"/>
  <c r="O249" i="5"/>
  <c r="M249" i="5"/>
  <c r="K249" i="5"/>
  <c r="X248" i="5"/>
  <c r="W248" i="5"/>
  <c r="V248" i="5"/>
  <c r="U248" i="5"/>
  <c r="T248" i="5"/>
  <c r="S248" i="5"/>
  <c r="Q248" i="5"/>
  <c r="O248" i="5"/>
  <c r="M248" i="5"/>
  <c r="K248" i="5"/>
  <c r="X247" i="5"/>
  <c r="W247" i="5"/>
  <c r="V247" i="5"/>
  <c r="U247" i="5"/>
  <c r="T247" i="5"/>
  <c r="S247" i="5"/>
  <c r="Q247" i="5"/>
  <c r="O247" i="5"/>
  <c r="M247" i="5"/>
  <c r="K247" i="5"/>
  <c r="X246" i="5"/>
  <c r="W246" i="5"/>
  <c r="V246" i="5"/>
  <c r="U246" i="5"/>
  <c r="T246" i="5"/>
  <c r="S246" i="5"/>
  <c r="Q246" i="5"/>
  <c r="O246" i="5"/>
  <c r="M246" i="5"/>
  <c r="K246" i="5"/>
  <c r="X245" i="5"/>
  <c r="W245" i="5"/>
  <c r="V245" i="5"/>
  <c r="U245" i="5"/>
  <c r="T245" i="5"/>
  <c r="S245" i="5"/>
  <c r="Q245" i="5"/>
  <c r="O245" i="5"/>
  <c r="M245" i="5"/>
  <c r="K245" i="5"/>
  <c r="X244" i="5"/>
  <c r="W244" i="5"/>
  <c r="V244" i="5"/>
  <c r="U244" i="5"/>
  <c r="T244" i="5"/>
  <c r="S244" i="5"/>
  <c r="Q244" i="5"/>
  <c r="O244" i="5"/>
  <c r="M244" i="5"/>
  <c r="K244" i="5"/>
  <c r="X243" i="5"/>
  <c r="W243" i="5"/>
  <c r="V243" i="5"/>
  <c r="U243" i="5"/>
  <c r="T243" i="5"/>
  <c r="S243" i="5"/>
  <c r="Q243" i="5"/>
  <c r="O243" i="5"/>
  <c r="M243" i="5"/>
  <c r="K243" i="5"/>
  <c r="X242" i="5"/>
  <c r="W242" i="5"/>
  <c r="V242" i="5"/>
  <c r="U242" i="5"/>
  <c r="T242" i="5"/>
  <c r="S242" i="5"/>
  <c r="Q242" i="5"/>
  <c r="O242" i="5"/>
  <c r="M242" i="5"/>
  <c r="K242" i="5"/>
  <c r="X241" i="5"/>
  <c r="W241" i="5"/>
  <c r="V241" i="5"/>
  <c r="U241" i="5"/>
  <c r="T241" i="5"/>
  <c r="S241" i="5"/>
  <c r="Q241" i="5"/>
  <c r="O241" i="5"/>
  <c r="M241" i="5"/>
  <c r="K241" i="5"/>
  <c r="X240" i="5"/>
  <c r="W240" i="5"/>
  <c r="V240" i="5"/>
  <c r="U240" i="5"/>
  <c r="T240" i="5"/>
  <c r="S240" i="5"/>
  <c r="Q240" i="5"/>
  <c r="O240" i="5"/>
  <c r="M240" i="5"/>
  <c r="K240" i="5"/>
  <c r="X239" i="5"/>
  <c r="W239" i="5"/>
  <c r="V239" i="5"/>
  <c r="U239" i="5"/>
  <c r="T239" i="5"/>
  <c r="S239" i="5"/>
  <c r="Q239" i="5"/>
  <c r="O239" i="5"/>
  <c r="M239" i="5"/>
  <c r="K239" i="5"/>
  <c r="X238" i="5"/>
  <c r="W238" i="5"/>
  <c r="V238" i="5"/>
  <c r="U238" i="5"/>
  <c r="T238" i="5"/>
  <c r="S238" i="5"/>
  <c r="Q238" i="5"/>
  <c r="O238" i="5"/>
  <c r="M238" i="5"/>
  <c r="K238" i="5"/>
  <c r="X237" i="5"/>
  <c r="W237" i="5"/>
  <c r="V237" i="5"/>
  <c r="U237" i="5"/>
  <c r="T237" i="5"/>
  <c r="S237" i="5"/>
  <c r="Q237" i="5"/>
  <c r="O237" i="5"/>
  <c r="M237" i="5"/>
  <c r="K237" i="5"/>
  <c r="X236" i="5"/>
  <c r="W236" i="5"/>
  <c r="V236" i="5"/>
  <c r="U236" i="5"/>
  <c r="T236" i="5"/>
  <c r="S236" i="5"/>
  <c r="Q236" i="5"/>
  <c r="O236" i="5"/>
  <c r="M236" i="5"/>
  <c r="K236" i="5"/>
  <c r="X235" i="5"/>
  <c r="W235" i="5"/>
  <c r="V235" i="5"/>
  <c r="U235" i="5"/>
  <c r="T235" i="5"/>
  <c r="S235" i="5"/>
  <c r="Q235" i="5"/>
  <c r="O235" i="5"/>
  <c r="M235" i="5"/>
  <c r="K235" i="5"/>
  <c r="X234" i="5"/>
  <c r="W234" i="5"/>
  <c r="V234" i="5"/>
  <c r="U234" i="5"/>
  <c r="T234" i="5"/>
  <c r="S234" i="5"/>
  <c r="Q234" i="5"/>
  <c r="O234" i="5"/>
  <c r="M234" i="5"/>
  <c r="K234" i="5"/>
  <c r="X233" i="5"/>
  <c r="W233" i="5"/>
  <c r="V233" i="5"/>
  <c r="U233" i="5"/>
  <c r="T233" i="5"/>
  <c r="S233" i="5"/>
  <c r="Q233" i="5"/>
  <c r="O233" i="5"/>
  <c r="M233" i="5"/>
  <c r="K233" i="5"/>
  <c r="X232" i="5"/>
  <c r="W232" i="5"/>
  <c r="V232" i="5"/>
  <c r="U232" i="5"/>
  <c r="T232" i="5"/>
  <c r="S232" i="5"/>
  <c r="Q232" i="5"/>
  <c r="O232" i="5"/>
  <c r="M232" i="5"/>
  <c r="K232" i="5"/>
  <c r="X231" i="5"/>
  <c r="W231" i="5"/>
  <c r="V231" i="5"/>
  <c r="U231" i="5"/>
  <c r="T231" i="5"/>
  <c r="S231" i="5"/>
  <c r="Q231" i="5"/>
  <c r="O231" i="5"/>
  <c r="M231" i="5"/>
  <c r="K231" i="5"/>
  <c r="X230" i="5"/>
  <c r="W230" i="5"/>
  <c r="V230" i="5"/>
  <c r="U230" i="5"/>
  <c r="T230" i="5"/>
  <c r="S230" i="5"/>
  <c r="Q230" i="5"/>
  <c r="O230" i="5"/>
  <c r="M230" i="5"/>
  <c r="K230" i="5"/>
  <c r="X229" i="5"/>
  <c r="W229" i="5"/>
  <c r="V229" i="5"/>
  <c r="U229" i="5"/>
  <c r="T229" i="5"/>
  <c r="S229" i="5"/>
  <c r="Q229" i="5"/>
  <c r="O229" i="5"/>
  <c r="M229" i="5"/>
  <c r="K229" i="5"/>
  <c r="X228" i="5"/>
  <c r="W228" i="5"/>
  <c r="V228" i="5"/>
  <c r="U228" i="5"/>
  <c r="T228" i="5"/>
  <c r="S228" i="5"/>
  <c r="Q228" i="5"/>
  <c r="O228" i="5"/>
  <c r="M228" i="5"/>
  <c r="K228" i="5"/>
  <c r="X227" i="5"/>
  <c r="W227" i="5"/>
  <c r="V227" i="5"/>
  <c r="U227" i="5"/>
  <c r="T227" i="5"/>
  <c r="S227" i="5"/>
  <c r="Q227" i="5"/>
  <c r="O227" i="5"/>
  <c r="M227" i="5"/>
  <c r="K227" i="5"/>
  <c r="X226" i="5"/>
  <c r="W226" i="5"/>
  <c r="V226" i="5"/>
  <c r="U226" i="5"/>
  <c r="T226" i="5"/>
  <c r="S226" i="5"/>
  <c r="Q226" i="5"/>
  <c r="O226" i="5"/>
  <c r="M226" i="5"/>
  <c r="K226" i="5"/>
  <c r="X225" i="5"/>
  <c r="W225" i="5"/>
  <c r="V225" i="5"/>
  <c r="U225" i="5"/>
  <c r="T225" i="5"/>
  <c r="S225" i="5"/>
  <c r="Q225" i="5"/>
  <c r="O225" i="5"/>
  <c r="M225" i="5"/>
  <c r="K225" i="5"/>
  <c r="X224" i="5"/>
  <c r="W224" i="5"/>
  <c r="V224" i="5"/>
  <c r="U224" i="5"/>
  <c r="T224" i="5"/>
  <c r="S224" i="5"/>
  <c r="Q224" i="5"/>
  <c r="O224" i="5"/>
  <c r="M224" i="5"/>
  <c r="K224" i="5"/>
  <c r="X223" i="5"/>
  <c r="W223" i="5"/>
  <c r="V223" i="5"/>
  <c r="U223" i="5"/>
  <c r="T223" i="5"/>
  <c r="S223" i="5"/>
  <c r="Q223" i="5"/>
  <c r="O223" i="5"/>
  <c r="M223" i="5"/>
  <c r="K223" i="5"/>
  <c r="X222" i="5"/>
  <c r="W222" i="5"/>
  <c r="V222" i="5"/>
  <c r="U222" i="5"/>
  <c r="T222" i="5"/>
  <c r="S222" i="5"/>
  <c r="Q222" i="5"/>
  <c r="O222" i="5"/>
  <c r="M222" i="5"/>
  <c r="K222" i="5"/>
  <c r="X221" i="5"/>
  <c r="W221" i="5"/>
  <c r="V221" i="5"/>
  <c r="U221" i="5"/>
  <c r="T221" i="5"/>
  <c r="S221" i="5"/>
  <c r="Q221" i="5"/>
  <c r="O221" i="5"/>
  <c r="M221" i="5"/>
  <c r="K221" i="5"/>
  <c r="X220" i="5"/>
  <c r="W220" i="5"/>
  <c r="V220" i="5"/>
  <c r="U220" i="5"/>
  <c r="T220" i="5"/>
  <c r="S220" i="5"/>
  <c r="Q220" i="5"/>
  <c r="O220" i="5"/>
  <c r="M220" i="5"/>
  <c r="K220" i="5"/>
  <c r="X219" i="5"/>
  <c r="W219" i="5"/>
  <c r="V219" i="5"/>
  <c r="U219" i="5"/>
  <c r="T219" i="5"/>
  <c r="S219" i="5"/>
  <c r="Q219" i="5"/>
  <c r="O219" i="5"/>
  <c r="M219" i="5"/>
  <c r="K219" i="5"/>
  <c r="X218" i="5"/>
  <c r="W218" i="5"/>
  <c r="V218" i="5"/>
  <c r="U218" i="5"/>
  <c r="T218" i="5"/>
  <c r="S218" i="5"/>
  <c r="Q218" i="5"/>
  <c r="O218" i="5"/>
  <c r="M218" i="5"/>
  <c r="K218" i="5"/>
  <c r="X217" i="5"/>
  <c r="W217" i="5"/>
  <c r="V217" i="5"/>
  <c r="U217" i="5"/>
  <c r="T217" i="5"/>
  <c r="S217" i="5"/>
  <c r="Q217" i="5"/>
  <c r="O217" i="5"/>
  <c r="M217" i="5"/>
  <c r="K217" i="5"/>
  <c r="X216" i="5"/>
  <c r="W216" i="5"/>
  <c r="V216" i="5"/>
  <c r="U216" i="5"/>
  <c r="T216" i="5"/>
  <c r="S216" i="5"/>
  <c r="Q216" i="5"/>
  <c r="O216" i="5"/>
  <c r="M216" i="5"/>
  <c r="K216" i="5"/>
  <c r="X215" i="5"/>
  <c r="W215" i="5"/>
  <c r="V215" i="5"/>
  <c r="U215" i="5"/>
  <c r="T215" i="5"/>
  <c r="S215" i="5"/>
  <c r="Q215" i="5"/>
  <c r="O215" i="5"/>
  <c r="M215" i="5"/>
  <c r="K215" i="5"/>
  <c r="X214" i="5"/>
  <c r="W214" i="5"/>
  <c r="V214" i="5"/>
  <c r="U214" i="5"/>
  <c r="T214" i="5"/>
  <c r="S214" i="5"/>
  <c r="Q214" i="5"/>
  <c r="O214" i="5"/>
  <c r="M214" i="5"/>
  <c r="K214" i="5"/>
  <c r="X213" i="5"/>
  <c r="W213" i="5"/>
  <c r="V213" i="5"/>
  <c r="U213" i="5"/>
  <c r="T213" i="5"/>
  <c r="S213" i="5"/>
  <c r="Q213" i="5"/>
  <c r="O213" i="5"/>
  <c r="M213" i="5"/>
  <c r="K213" i="5"/>
  <c r="X212" i="5"/>
  <c r="W212" i="5"/>
  <c r="V212" i="5"/>
  <c r="U212" i="5"/>
  <c r="T212" i="5"/>
  <c r="S212" i="5"/>
  <c r="Q212" i="5"/>
  <c r="O212" i="5"/>
  <c r="M212" i="5"/>
  <c r="K212" i="5"/>
  <c r="X211" i="5"/>
  <c r="W211" i="5"/>
  <c r="V211" i="5"/>
  <c r="U211" i="5"/>
  <c r="T211" i="5"/>
  <c r="S211" i="5"/>
  <c r="Q211" i="5"/>
  <c r="O211" i="5"/>
  <c r="M211" i="5"/>
  <c r="K211" i="5"/>
  <c r="X210" i="5"/>
  <c r="W210" i="5"/>
  <c r="V210" i="5"/>
  <c r="U210" i="5"/>
  <c r="T210" i="5"/>
  <c r="S210" i="5"/>
  <c r="Q210" i="5"/>
  <c r="O210" i="5"/>
  <c r="M210" i="5"/>
  <c r="K210" i="5"/>
  <c r="X209" i="5"/>
  <c r="W209" i="5"/>
  <c r="V209" i="5"/>
  <c r="U209" i="5"/>
  <c r="T209" i="5"/>
  <c r="S209" i="5"/>
  <c r="Q209" i="5"/>
  <c r="O209" i="5"/>
  <c r="M209" i="5"/>
  <c r="K209" i="5"/>
  <c r="X208" i="5"/>
  <c r="W208" i="5"/>
  <c r="V208" i="5"/>
  <c r="U208" i="5"/>
  <c r="T208" i="5"/>
  <c r="S208" i="5"/>
  <c r="Q208" i="5"/>
  <c r="O208" i="5"/>
  <c r="M208" i="5"/>
  <c r="K208" i="5"/>
  <c r="X207" i="5"/>
  <c r="W207" i="5"/>
  <c r="V207" i="5"/>
  <c r="U207" i="5"/>
  <c r="T207" i="5"/>
  <c r="S207" i="5"/>
  <c r="Q207" i="5"/>
  <c r="O207" i="5"/>
  <c r="M207" i="5"/>
  <c r="K207" i="5"/>
  <c r="X206" i="5"/>
  <c r="W206" i="5"/>
  <c r="V206" i="5"/>
  <c r="U206" i="5"/>
  <c r="T206" i="5"/>
  <c r="S206" i="5"/>
  <c r="Q206" i="5"/>
  <c r="O206" i="5"/>
  <c r="M206" i="5"/>
  <c r="K206" i="5"/>
  <c r="X205" i="5"/>
  <c r="W205" i="5"/>
  <c r="V205" i="5"/>
  <c r="U205" i="5"/>
  <c r="T205" i="5"/>
  <c r="S205" i="5"/>
  <c r="Q205" i="5"/>
  <c r="O205" i="5"/>
  <c r="M205" i="5"/>
  <c r="K205" i="5"/>
  <c r="X204" i="5"/>
  <c r="W204" i="5"/>
  <c r="V204" i="5"/>
  <c r="U204" i="5"/>
  <c r="T204" i="5"/>
  <c r="S204" i="5"/>
  <c r="Q204" i="5"/>
  <c r="O204" i="5"/>
  <c r="M204" i="5"/>
  <c r="K204" i="5"/>
  <c r="X203" i="5"/>
  <c r="W203" i="5"/>
  <c r="V203" i="5"/>
  <c r="U203" i="5"/>
  <c r="T203" i="5"/>
  <c r="S203" i="5"/>
  <c r="Q203" i="5"/>
  <c r="O203" i="5"/>
  <c r="M203" i="5"/>
  <c r="K203" i="5"/>
  <c r="X202" i="5"/>
  <c r="W202" i="5"/>
  <c r="V202" i="5"/>
  <c r="U202" i="5"/>
  <c r="T202" i="5"/>
  <c r="S202" i="5"/>
  <c r="Q202" i="5"/>
  <c r="O202" i="5"/>
  <c r="M202" i="5"/>
  <c r="K202" i="5"/>
  <c r="X201" i="5"/>
  <c r="W201" i="5"/>
  <c r="V201" i="5"/>
  <c r="U201" i="5"/>
  <c r="T201" i="5"/>
  <c r="S201" i="5"/>
  <c r="Q201" i="5"/>
  <c r="O201" i="5"/>
  <c r="M201" i="5"/>
  <c r="K201" i="5"/>
  <c r="X200" i="5"/>
  <c r="W200" i="5"/>
  <c r="V200" i="5"/>
  <c r="U200" i="5"/>
  <c r="T200" i="5"/>
  <c r="S200" i="5"/>
  <c r="Q200" i="5"/>
  <c r="O200" i="5"/>
  <c r="M200" i="5"/>
  <c r="K200" i="5"/>
  <c r="X199" i="5"/>
  <c r="W199" i="5"/>
  <c r="V199" i="5"/>
  <c r="U199" i="5"/>
  <c r="T199" i="5"/>
  <c r="S199" i="5"/>
  <c r="Q199" i="5"/>
  <c r="O199" i="5"/>
  <c r="M199" i="5"/>
  <c r="K199" i="5"/>
  <c r="X198" i="5"/>
  <c r="W198" i="5"/>
  <c r="V198" i="5"/>
  <c r="U198" i="5"/>
  <c r="T198" i="5"/>
  <c r="S198" i="5"/>
  <c r="Q198" i="5"/>
  <c r="O198" i="5"/>
  <c r="M198" i="5"/>
  <c r="K198" i="5"/>
  <c r="X197" i="5"/>
  <c r="W197" i="5"/>
  <c r="V197" i="5"/>
  <c r="U197" i="5"/>
  <c r="T197" i="5"/>
  <c r="S197" i="5"/>
  <c r="Q197" i="5"/>
  <c r="O197" i="5"/>
  <c r="M197" i="5"/>
  <c r="K197" i="5"/>
  <c r="X196" i="5"/>
  <c r="W196" i="5"/>
  <c r="V196" i="5"/>
  <c r="U196" i="5"/>
  <c r="T196" i="5"/>
  <c r="S196" i="5"/>
  <c r="Q196" i="5"/>
  <c r="O196" i="5"/>
  <c r="M196" i="5"/>
  <c r="K196" i="5"/>
  <c r="X195" i="5"/>
  <c r="W195" i="5"/>
  <c r="V195" i="5"/>
  <c r="U195" i="5"/>
  <c r="T195" i="5"/>
  <c r="S195" i="5"/>
  <c r="Q195" i="5"/>
  <c r="O195" i="5"/>
  <c r="M195" i="5"/>
  <c r="K195" i="5"/>
  <c r="X194" i="5"/>
  <c r="W194" i="5"/>
  <c r="V194" i="5"/>
  <c r="U194" i="5"/>
  <c r="T194" i="5"/>
  <c r="S194" i="5"/>
  <c r="Q194" i="5"/>
  <c r="O194" i="5"/>
  <c r="M194" i="5"/>
  <c r="K194" i="5"/>
  <c r="X193" i="5"/>
  <c r="W193" i="5"/>
  <c r="V193" i="5"/>
  <c r="U193" i="5"/>
  <c r="T193" i="5"/>
  <c r="S193" i="5"/>
  <c r="Q193" i="5"/>
  <c r="O193" i="5"/>
  <c r="M193" i="5"/>
  <c r="K193" i="5"/>
  <c r="X192" i="5"/>
  <c r="W192" i="5"/>
  <c r="V192" i="5"/>
  <c r="U192" i="5"/>
  <c r="T192" i="5"/>
  <c r="S192" i="5"/>
  <c r="Q192" i="5"/>
  <c r="O192" i="5"/>
  <c r="M192" i="5"/>
  <c r="K192" i="5"/>
  <c r="X191" i="5"/>
  <c r="W191" i="5"/>
  <c r="V191" i="5"/>
  <c r="U191" i="5"/>
  <c r="T191" i="5"/>
  <c r="S191" i="5"/>
  <c r="Q191" i="5"/>
  <c r="O191" i="5"/>
  <c r="M191" i="5"/>
  <c r="K191" i="5"/>
  <c r="X190" i="5"/>
  <c r="W190" i="5"/>
  <c r="V190" i="5"/>
  <c r="U190" i="5"/>
  <c r="T190" i="5"/>
  <c r="S190" i="5"/>
  <c r="Q190" i="5"/>
  <c r="O190" i="5"/>
  <c r="M190" i="5"/>
  <c r="K190" i="5"/>
  <c r="X189" i="5"/>
  <c r="W189" i="5"/>
  <c r="V189" i="5"/>
  <c r="U189" i="5"/>
  <c r="T189" i="5"/>
  <c r="S189" i="5"/>
  <c r="Q189" i="5"/>
  <c r="O189" i="5"/>
  <c r="M189" i="5"/>
  <c r="K189" i="5"/>
  <c r="X188" i="5"/>
  <c r="W188" i="5"/>
  <c r="V188" i="5"/>
  <c r="U188" i="5"/>
  <c r="T188" i="5"/>
  <c r="S188" i="5"/>
  <c r="Q188" i="5"/>
  <c r="O188" i="5"/>
  <c r="M188" i="5"/>
  <c r="K188" i="5"/>
  <c r="X187" i="5"/>
  <c r="W187" i="5"/>
  <c r="V187" i="5"/>
  <c r="U187" i="5"/>
  <c r="T187" i="5"/>
  <c r="S187" i="5"/>
  <c r="Q187" i="5"/>
  <c r="O187" i="5"/>
  <c r="M187" i="5"/>
  <c r="K187" i="5"/>
  <c r="X186" i="5"/>
  <c r="W186" i="5"/>
  <c r="V186" i="5"/>
  <c r="U186" i="5"/>
  <c r="T186" i="5"/>
  <c r="S186" i="5"/>
  <c r="Q186" i="5"/>
  <c r="O186" i="5"/>
  <c r="M186" i="5"/>
  <c r="K186" i="5"/>
  <c r="X185" i="5"/>
  <c r="W185" i="5"/>
  <c r="V185" i="5"/>
  <c r="U185" i="5"/>
  <c r="T185" i="5"/>
  <c r="S185" i="5"/>
  <c r="Q185" i="5"/>
  <c r="O185" i="5"/>
  <c r="M185" i="5"/>
  <c r="K185" i="5"/>
  <c r="X184" i="5"/>
  <c r="W184" i="5"/>
  <c r="V184" i="5"/>
  <c r="U184" i="5"/>
  <c r="T184" i="5"/>
  <c r="S184" i="5"/>
  <c r="Q184" i="5"/>
  <c r="O184" i="5"/>
  <c r="M184" i="5"/>
  <c r="K184" i="5"/>
  <c r="X183" i="5"/>
  <c r="W183" i="5"/>
  <c r="V183" i="5"/>
  <c r="U183" i="5"/>
  <c r="T183" i="5"/>
  <c r="S183" i="5"/>
  <c r="Q183" i="5"/>
  <c r="O183" i="5"/>
  <c r="M183" i="5"/>
  <c r="K183" i="5"/>
  <c r="X182" i="5"/>
  <c r="W182" i="5"/>
  <c r="V182" i="5"/>
  <c r="U182" i="5"/>
  <c r="T182" i="5"/>
  <c r="S182" i="5"/>
  <c r="Q182" i="5"/>
  <c r="O182" i="5"/>
  <c r="M182" i="5"/>
  <c r="K182" i="5"/>
  <c r="X181" i="5"/>
  <c r="W181" i="5"/>
  <c r="V181" i="5"/>
  <c r="U181" i="5"/>
  <c r="T181" i="5"/>
  <c r="S181" i="5"/>
  <c r="Q181" i="5"/>
  <c r="O181" i="5"/>
  <c r="M181" i="5"/>
  <c r="K181" i="5"/>
  <c r="X180" i="5"/>
  <c r="W180" i="5"/>
  <c r="V180" i="5"/>
  <c r="U180" i="5"/>
  <c r="T180" i="5"/>
  <c r="S180" i="5"/>
  <c r="Q180" i="5"/>
  <c r="O180" i="5"/>
  <c r="M180" i="5"/>
  <c r="K180" i="5"/>
  <c r="X179" i="5"/>
  <c r="W179" i="5"/>
  <c r="V179" i="5"/>
  <c r="U179" i="5"/>
  <c r="T179" i="5"/>
  <c r="S179" i="5"/>
  <c r="Q179" i="5"/>
  <c r="O179" i="5"/>
  <c r="M179" i="5"/>
  <c r="K179" i="5"/>
  <c r="X178" i="5"/>
  <c r="W178" i="5"/>
  <c r="V178" i="5"/>
  <c r="U178" i="5"/>
  <c r="T178" i="5"/>
  <c r="S178" i="5"/>
  <c r="Q178" i="5"/>
  <c r="O178" i="5"/>
  <c r="M178" i="5"/>
  <c r="K178" i="5"/>
  <c r="X177" i="5"/>
  <c r="W177" i="5"/>
  <c r="V177" i="5"/>
  <c r="U177" i="5"/>
  <c r="T177" i="5"/>
  <c r="S177" i="5"/>
  <c r="Q177" i="5"/>
  <c r="O177" i="5"/>
  <c r="M177" i="5"/>
  <c r="K177" i="5"/>
  <c r="X176" i="5"/>
  <c r="W176" i="5"/>
  <c r="V176" i="5"/>
  <c r="U176" i="5"/>
  <c r="T176" i="5"/>
  <c r="S176" i="5"/>
  <c r="Q176" i="5"/>
  <c r="O176" i="5"/>
  <c r="M176" i="5"/>
  <c r="K176" i="5"/>
  <c r="X175" i="5"/>
  <c r="W175" i="5"/>
  <c r="V175" i="5"/>
  <c r="U175" i="5"/>
  <c r="T175" i="5"/>
  <c r="S175" i="5"/>
  <c r="Q175" i="5"/>
  <c r="O175" i="5"/>
  <c r="M175" i="5"/>
  <c r="K175" i="5"/>
  <c r="X174" i="5"/>
  <c r="W174" i="5"/>
  <c r="V174" i="5"/>
  <c r="U174" i="5"/>
  <c r="T174" i="5"/>
  <c r="S174" i="5"/>
  <c r="Q174" i="5"/>
  <c r="O174" i="5"/>
  <c r="M174" i="5"/>
  <c r="K174" i="5"/>
  <c r="X173" i="5"/>
  <c r="W173" i="5"/>
  <c r="V173" i="5"/>
  <c r="U173" i="5"/>
  <c r="T173" i="5"/>
  <c r="S173" i="5"/>
  <c r="Q173" i="5"/>
  <c r="O173" i="5"/>
  <c r="M173" i="5"/>
  <c r="K173" i="5"/>
  <c r="X172" i="5"/>
  <c r="W172" i="5"/>
  <c r="V172" i="5"/>
  <c r="U172" i="5"/>
  <c r="T172" i="5"/>
  <c r="S172" i="5"/>
  <c r="Q172" i="5"/>
  <c r="O172" i="5"/>
  <c r="M172" i="5"/>
  <c r="K172" i="5"/>
  <c r="X171" i="5"/>
  <c r="W171" i="5"/>
  <c r="V171" i="5"/>
  <c r="U171" i="5"/>
  <c r="T171" i="5"/>
  <c r="S171" i="5"/>
  <c r="Q171" i="5"/>
  <c r="O171" i="5"/>
  <c r="M171" i="5"/>
  <c r="K171" i="5"/>
  <c r="X170" i="5"/>
  <c r="W170" i="5"/>
  <c r="V170" i="5"/>
  <c r="U170" i="5"/>
  <c r="T170" i="5"/>
  <c r="S170" i="5"/>
  <c r="Q170" i="5"/>
  <c r="O170" i="5"/>
  <c r="M170" i="5"/>
  <c r="K170" i="5"/>
  <c r="X169" i="5"/>
  <c r="W169" i="5"/>
  <c r="V169" i="5"/>
  <c r="U169" i="5"/>
  <c r="T169" i="5"/>
  <c r="S169" i="5"/>
  <c r="Q169" i="5"/>
  <c r="O169" i="5"/>
  <c r="M169" i="5"/>
  <c r="K169" i="5"/>
  <c r="X168" i="5"/>
  <c r="W168" i="5"/>
  <c r="V168" i="5"/>
  <c r="U168" i="5"/>
  <c r="T168" i="5"/>
  <c r="S168" i="5"/>
  <c r="Q168" i="5"/>
  <c r="O168" i="5"/>
  <c r="M168" i="5"/>
  <c r="K168" i="5"/>
  <c r="X167" i="5"/>
  <c r="W167" i="5"/>
  <c r="V167" i="5"/>
  <c r="U167" i="5"/>
  <c r="T167" i="5"/>
  <c r="S167" i="5"/>
  <c r="Q167" i="5"/>
  <c r="O167" i="5"/>
  <c r="M167" i="5"/>
  <c r="K167" i="5"/>
  <c r="X166" i="5"/>
  <c r="W166" i="5"/>
  <c r="V166" i="5"/>
  <c r="U166" i="5"/>
  <c r="T166" i="5"/>
  <c r="S166" i="5"/>
  <c r="Q166" i="5"/>
  <c r="O166" i="5"/>
  <c r="M166" i="5"/>
  <c r="K166" i="5"/>
  <c r="X165" i="5"/>
  <c r="W165" i="5"/>
  <c r="V165" i="5"/>
  <c r="U165" i="5"/>
  <c r="T165" i="5"/>
  <c r="S165" i="5"/>
  <c r="Q165" i="5"/>
  <c r="O165" i="5"/>
  <c r="M165" i="5"/>
  <c r="K165" i="5"/>
  <c r="X164" i="5"/>
  <c r="W164" i="5"/>
  <c r="V164" i="5"/>
  <c r="U164" i="5"/>
  <c r="T164" i="5"/>
  <c r="S164" i="5"/>
  <c r="Q164" i="5"/>
  <c r="O164" i="5"/>
  <c r="M164" i="5"/>
  <c r="K164" i="5"/>
  <c r="X163" i="5"/>
  <c r="W163" i="5"/>
  <c r="V163" i="5"/>
  <c r="U163" i="5"/>
  <c r="T163" i="5"/>
  <c r="S163" i="5"/>
  <c r="Q163" i="5"/>
  <c r="O163" i="5"/>
  <c r="M163" i="5"/>
  <c r="K163" i="5"/>
  <c r="X162" i="5"/>
  <c r="W162" i="5"/>
  <c r="V162" i="5"/>
  <c r="U162" i="5"/>
  <c r="T162" i="5"/>
  <c r="S162" i="5"/>
  <c r="Q162" i="5"/>
  <c r="O162" i="5"/>
  <c r="M162" i="5"/>
  <c r="K162" i="5"/>
  <c r="X161" i="5"/>
  <c r="W161" i="5"/>
  <c r="V161" i="5"/>
  <c r="U161" i="5"/>
  <c r="T161" i="5"/>
  <c r="S161" i="5"/>
  <c r="Q161" i="5"/>
  <c r="O161" i="5"/>
  <c r="M161" i="5"/>
  <c r="K161" i="5"/>
  <c r="X160" i="5"/>
  <c r="W160" i="5"/>
  <c r="V160" i="5"/>
  <c r="U160" i="5"/>
  <c r="T160" i="5"/>
  <c r="S160" i="5"/>
  <c r="Q160" i="5"/>
  <c r="O160" i="5"/>
  <c r="M160" i="5"/>
  <c r="K160" i="5"/>
  <c r="X159" i="5"/>
  <c r="W159" i="5"/>
  <c r="V159" i="5"/>
  <c r="U159" i="5"/>
  <c r="T159" i="5"/>
  <c r="S159" i="5"/>
  <c r="Q159" i="5"/>
  <c r="O159" i="5"/>
  <c r="M159" i="5"/>
  <c r="K159" i="5"/>
  <c r="X158" i="5"/>
  <c r="W158" i="5"/>
  <c r="V158" i="5"/>
  <c r="U158" i="5"/>
  <c r="T158" i="5"/>
  <c r="S158" i="5"/>
  <c r="Q158" i="5"/>
  <c r="O158" i="5"/>
  <c r="M158" i="5"/>
  <c r="K158" i="5"/>
  <c r="X157" i="5"/>
  <c r="W157" i="5"/>
  <c r="V157" i="5"/>
  <c r="U157" i="5"/>
  <c r="T157" i="5"/>
  <c r="S157" i="5"/>
  <c r="Q157" i="5"/>
  <c r="O157" i="5"/>
  <c r="M157" i="5"/>
  <c r="K157" i="5"/>
  <c r="X156" i="5"/>
  <c r="W156" i="5"/>
  <c r="V156" i="5"/>
  <c r="U156" i="5"/>
  <c r="T156" i="5"/>
  <c r="S156" i="5"/>
  <c r="Q156" i="5"/>
  <c r="O156" i="5"/>
  <c r="M156" i="5"/>
  <c r="K156" i="5"/>
  <c r="X155" i="5"/>
  <c r="W155" i="5"/>
  <c r="V155" i="5"/>
  <c r="U155" i="5"/>
  <c r="T155" i="5"/>
  <c r="S155" i="5"/>
  <c r="Q155" i="5"/>
  <c r="O155" i="5"/>
  <c r="M155" i="5"/>
  <c r="K155" i="5"/>
  <c r="X154" i="5"/>
  <c r="W154" i="5"/>
  <c r="V154" i="5"/>
  <c r="U154" i="5"/>
  <c r="T154" i="5"/>
  <c r="S154" i="5"/>
  <c r="Q154" i="5"/>
  <c r="O154" i="5"/>
  <c r="M154" i="5"/>
  <c r="K154" i="5"/>
  <c r="X153" i="5"/>
  <c r="W153" i="5"/>
  <c r="V153" i="5"/>
  <c r="U153" i="5"/>
  <c r="T153" i="5"/>
  <c r="S153" i="5"/>
  <c r="Q153" i="5"/>
  <c r="O153" i="5"/>
  <c r="M153" i="5"/>
  <c r="K153" i="5"/>
  <c r="X152" i="5"/>
  <c r="W152" i="5"/>
  <c r="V152" i="5"/>
  <c r="U152" i="5"/>
  <c r="T152" i="5"/>
  <c r="S152" i="5"/>
  <c r="Q152" i="5"/>
  <c r="O152" i="5"/>
  <c r="M152" i="5"/>
  <c r="K152" i="5"/>
  <c r="X151" i="5"/>
  <c r="W151" i="5"/>
  <c r="V151" i="5"/>
  <c r="U151" i="5"/>
  <c r="T151" i="5"/>
  <c r="S151" i="5"/>
  <c r="Q151" i="5"/>
  <c r="O151" i="5"/>
  <c r="M151" i="5"/>
  <c r="K151" i="5"/>
  <c r="X150" i="5"/>
  <c r="W150" i="5"/>
  <c r="V150" i="5"/>
  <c r="U150" i="5"/>
  <c r="T150" i="5"/>
  <c r="S150" i="5"/>
  <c r="Q150" i="5"/>
  <c r="O150" i="5"/>
  <c r="M150" i="5"/>
  <c r="K150" i="5"/>
  <c r="X149" i="5"/>
  <c r="W149" i="5"/>
  <c r="V149" i="5"/>
  <c r="U149" i="5"/>
  <c r="T149" i="5"/>
  <c r="S149" i="5"/>
  <c r="Q149" i="5"/>
  <c r="O149" i="5"/>
  <c r="M149" i="5"/>
  <c r="K149" i="5"/>
  <c r="X148" i="5"/>
  <c r="W148" i="5"/>
  <c r="V148" i="5"/>
  <c r="U148" i="5"/>
  <c r="T148" i="5"/>
  <c r="S148" i="5"/>
  <c r="Q148" i="5"/>
  <c r="O148" i="5"/>
  <c r="M148" i="5"/>
  <c r="K148" i="5"/>
  <c r="X147" i="5"/>
  <c r="W147" i="5"/>
  <c r="V147" i="5"/>
  <c r="U147" i="5"/>
  <c r="T147" i="5"/>
  <c r="S147" i="5"/>
  <c r="Q147" i="5"/>
  <c r="O147" i="5"/>
  <c r="M147" i="5"/>
  <c r="K147" i="5"/>
  <c r="X146" i="5"/>
  <c r="W146" i="5"/>
  <c r="V146" i="5"/>
  <c r="U146" i="5"/>
  <c r="T146" i="5"/>
  <c r="S146" i="5"/>
  <c r="Q146" i="5"/>
  <c r="O146" i="5"/>
  <c r="M146" i="5"/>
  <c r="K146" i="5"/>
  <c r="X145" i="5"/>
  <c r="W145" i="5"/>
  <c r="V145" i="5"/>
  <c r="U145" i="5"/>
  <c r="T145" i="5"/>
  <c r="S145" i="5"/>
  <c r="Q145" i="5"/>
  <c r="O145" i="5"/>
  <c r="M145" i="5"/>
  <c r="K145" i="5"/>
  <c r="X144" i="5"/>
  <c r="W144" i="5"/>
  <c r="V144" i="5"/>
  <c r="U144" i="5"/>
  <c r="T144" i="5"/>
  <c r="S144" i="5"/>
  <c r="Q144" i="5"/>
  <c r="O144" i="5"/>
  <c r="M144" i="5"/>
  <c r="K144" i="5"/>
  <c r="X143" i="5"/>
  <c r="W143" i="5"/>
  <c r="V143" i="5"/>
  <c r="U143" i="5"/>
  <c r="T143" i="5"/>
  <c r="S143" i="5"/>
  <c r="Q143" i="5"/>
  <c r="O143" i="5"/>
  <c r="M143" i="5"/>
  <c r="K143" i="5"/>
  <c r="X142" i="5"/>
  <c r="W142" i="5"/>
  <c r="V142" i="5"/>
  <c r="U142" i="5"/>
  <c r="T142" i="5"/>
  <c r="S142" i="5"/>
  <c r="Q142" i="5"/>
  <c r="O142" i="5"/>
  <c r="M142" i="5"/>
  <c r="K142" i="5"/>
  <c r="X141" i="5"/>
  <c r="W141" i="5"/>
  <c r="V141" i="5"/>
  <c r="U141" i="5"/>
  <c r="T141" i="5"/>
  <c r="S141" i="5"/>
  <c r="Q141" i="5"/>
  <c r="O141" i="5"/>
  <c r="M141" i="5"/>
  <c r="K141" i="5"/>
  <c r="X140" i="5"/>
  <c r="W140" i="5"/>
  <c r="V140" i="5"/>
  <c r="U140" i="5"/>
  <c r="T140" i="5"/>
  <c r="S140" i="5"/>
  <c r="Q140" i="5"/>
  <c r="O140" i="5"/>
  <c r="M140" i="5"/>
  <c r="K140" i="5"/>
  <c r="X139" i="5"/>
  <c r="W139" i="5"/>
  <c r="V139" i="5"/>
  <c r="U139" i="5"/>
  <c r="T139" i="5"/>
  <c r="S139" i="5"/>
  <c r="Q139" i="5"/>
  <c r="O139" i="5"/>
  <c r="M139" i="5"/>
  <c r="K139" i="5"/>
  <c r="X138" i="5"/>
  <c r="W138" i="5"/>
  <c r="V138" i="5"/>
  <c r="U138" i="5"/>
  <c r="T138" i="5"/>
  <c r="S138" i="5"/>
  <c r="Q138" i="5"/>
  <c r="O138" i="5"/>
  <c r="M138" i="5"/>
  <c r="K138" i="5"/>
  <c r="X137" i="5"/>
  <c r="W137" i="5"/>
  <c r="V137" i="5"/>
  <c r="U137" i="5"/>
  <c r="T137" i="5"/>
  <c r="S137" i="5"/>
  <c r="Q137" i="5"/>
  <c r="O137" i="5"/>
  <c r="M137" i="5"/>
  <c r="K137" i="5"/>
  <c r="X136" i="5"/>
  <c r="W136" i="5"/>
  <c r="V136" i="5"/>
  <c r="U136" i="5"/>
  <c r="T136" i="5"/>
  <c r="S136" i="5"/>
  <c r="Q136" i="5"/>
  <c r="O136" i="5"/>
  <c r="M136" i="5"/>
  <c r="K136" i="5"/>
  <c r="X135" i="5"/>
  <c r="W135" i="5"/>
  <c r="V135" i="5"/>
  <c r="U135" i="5"/>
  <c r="T135" i="5"/>
  <c r="S135" i="5"/>
  <c r="Q135" i="5"/>
  <c r="O135" i="5"/>
  <c r="M135" i="5"/>
  <c r="K135" i="5"/>
  <c r="X134" i="5"/>
  <c r="W134" i="5"/>
  <c r="V134" i="5"/>
  <c r="U134" i="5"/>
  <c r="T134" i="5"/>
  <c r="S134" i="5"/>
  <c r="Q134" i="5"/>
  <c r="O134" i="5"/>
  <c r="M134" i="5"/>
  <c r="K134" i="5"/>
  <c r="X133" i="5"/>
  <c r="W133" i="5"/>
  <c r="V133" i="5"/>
  <c r="U133" i="5"/>
  <c r="T133" i="5"/>
  <c r="S133" i="5"/>
  <c r="Q133" i="5"/>
  <c r="O133" i="5"/>
  <c r="M133" i="5"/>
  <c r="K133" i="5"/>
  <c r="X132" i="5"/>
  <c r="W132" i="5"/>
  <c r="V132" i="5"/>
  <c r="U132" i="5"/>
  <c r="T132" i="5"/>
  <c r="S132" i="5"/>
  <c r="Q132" i="5"/>
  <c r="O132" i="5"/>
  <c r="M132" i="5"/>
  <c r="K132" i="5"/>
  <c r="X131" i="5"/>
  <c r="W131" i="5"/>
  <c r="V131" i="5"/>
  <c r="U131" i="5"/>
  <c r="T131" i="5"/>
  <c r="S131" i="5"/>
  <c r="Q131" i="5"/>
  <c r="O131" i="5"/>
  <c r="M131" i="5"/>
  <c r="K131" i="5"/>
  <c r="X130" i="5"/>
  <c r="W130" i="5"/>
  <c r="V130" i="5"/>
  <c r="U130" i="5"/>
  <c r="T130" i="5"/>
  <c r="S130" i="5"/>
  <c r="Q130" i="5"/>
  <c r="O130" i="5"/>
  <c r="M130" i="5"/>
  <c r="K130" i="5"/>
  <c r="X129" i="5"/>
  <c r="W129" i="5"/>
  <c r="V129" i="5"/>
  <c r="U129" i="5"/>
  <c r="T129" i="5"/>
  <c r="S129" i="5"/>
  <c r="Q129" i="5"/>
  <c r="O129" i="5"/>
  <c r="M129" i="5"/>
  <c r="K129" i="5"/>
  <c r="X128" i="5"/>
  <c r="W128" i="5"/>
  <c r="V128" i="5"/>
  <c r="U128" i="5"/>
  <c r="T128" i="5"/>
  <c r="S128" i="5"/>
  <c r="Q128" i="5"/>
  <c r="O128" i="5"/>
  <c r="M128" i="5"/>
  <c r="K128" i="5"/>
  <c r="X127" i="5"/>
  <c r="W127" i="5"/>
  <c r="V127" i="5"/>
  <c r="U127" i="5"/>
  <c r="T127" i="5"/>
  <c r="S127" i="5"/>
  <c r="Q127" i="5"/>
  <c r="O127" i="5"/>
  <c r="M127" i="5"/>
  <c r="K127" i="5"/>
  <c r="X126" i="5"/>
  <c r="W126" i="5"/>
  <c r="V126" i="5"/>
  <c r="U126" i="5"/>
  <c r="T126" i="5"/>
  <c r="S126" i="5"/>
  <c r="Q126" i="5"/>
  <c r="O126" i="5"/>
  <c r="M126" i="5"/>
  <c r="K126" i="5"/>
  <c r="X125" i="5"/>
  <c r="W125" i="5"/>
  <c r="V125" i="5"/>
  <c r="U125" i="5"/>
  <c r="T125" i="5"/>
  <c r="S125" i="5"/>
  <c r="Q125" i="5"/>
  <c r="O125" i="5"/>
  <c r="M125" i="5"/>
  <c r="K125" i="5"/>
  <c r="X124" i="5"/>
  <c r="W124" i="5"/>
  <c r="V124" i="5"/>
  <c r="U124" i="5"/>
  <c r="T124" i="5"/>
  <c r="S124" i="5"/>
  <c r="Q124" i="5"/>
  <c r="O124" i="5"/>
  <c r="M124" i="5"/>
  <c r="K124" i="5"/>
  <c r="X123" i="5"/>
  <c r="W123" i="5"/>
  <c r="V123" i="5"/>
  <c r="U123" i="5"/>
  <c r="T123" i="5"/>
  <c r="S123" i="5"/>
  <c r="Q123" i="5"/>
  <c r="O123" i="5"/>
  <c r="M123" i="5"/>
  <c r="K123" i="5"/>
  <c r="X122" i="5"/>
  <c r="W122" i="5"/>
  <c r="V122" i="5"/>
  <c r="U122" i="5"/>
  <c r="T122" i="5"/>
  <c r="S122" i="5"/>
  <c r="Q122" i="5"/>
  <c r="O122" i="5"/>
  <c r="M122" i="5"/>
  <c r="K122" i="5"/>
  <c r="X121" i="5"/>
  <c r="W121" i="5"/>
  <c r="V121" i="5"/>
  <c r="U121" i="5"/>
  <c r="T121" i="5"/>
  <c r="S121" i="5"/>
  <c r="Q121" i="5"/>
  <c r="O121" i="5"/>
  <c r="M121" i="5"/>
  <c r="K121" i="5"/>
  <c r="X120" i="5"/>
  <c r="W120" i="5"/>
  <c r="V120" i="5"/>
  <c r="U120" i="5"/>
  <c r="T120" i="5"/>
  <c r="S120" i="5"/>
  <c r="Q120" i="5"/>
  <c r="O120" i="5"/>
  <c r="M120" i="5"/>
  <c r="K120" i="5"/>
  <c r="X119" i="5"/>
  <c r="W119" i="5"/>
  <c r="V119" i="5"/>
  <c r="U119" i="5"/>
  <c r="T119" i="5"/>
  <c r="S119" i="5"/>
  <c r="Q119" i="5"/>
  <c r="O119" i="5"/>
  <c r="M119" i="5"/>
  <c r="K119" i="5"/>
  <c r="X118" i="5"/>
  <c r="W118" i="5"/>
  <c r="V118" i="5"/>
  <c r="U118" i="5"/>
  <c r="T118" i="5"/>
  <c r="S118" i="5"/>
  <c r="Q118" i="5"/>
  <c r="O118" i="5"/>
  <c r="M118" i="5"/>
  <c r="K118" i="5"/>
  <c r="X117" i="5"/>
  <c r="W117" i="5"/>
  <c r="V117" i="5"/>
  <c r="U117" i="5"/>
  <c r="T117" i="5"/>
  <c r="S117" i="5"/>
  <c r="Q117" i="5"/>
  <c r="O117" i="5"/>
  <c r="M117" i="5"/>
  <c r="K117" i="5"/>
  <c r="X116" i="5"/>
  <c r="W116" i="5"/>
  <c r="V116" i="5"/>
  <c r="U116" i="5"/>
  <c r="T116" i="5"/>
  <c r="S116" i="5"/>
  <c r="Q116" i="5"/>
  <c r="O116" i="5"/>
  <c r="M116" i="5"/>
  <c r="K116" i="5"/>
  <c r="X115" i="5"/>
  <c r="W115" i="5"/>
  <c r="V115" i="5"/>
  <c r="U115" i="5"/>
  <c r="T115" i="5"/>
  <c r="S115" i="5"/>
  <c r="Q115" i="5"/>
  <c r="O115" i="5"/>
  <c r="M115" i="5"/>
  <c r="K115" i="5"/>
  <c r="X114" i="5"/>
  <c r="W114" i="5"/>
  <c r="V114" i="5"/>
  <c r="U114" i="5"/>
  <c r="T114" i="5"/>
  <c r="S114" i="5"/>
  <c r="Q114" i="5"/>
  <c r="O114" i="5"/>
  <c r="M114" i="5"/>
  <c r="K114" i="5"/>
  <c r="X113" i="5"/>
  <c r="W113" i="5"/>
  <c r="V113" i="5"/>
  <c r="U113" i="5"/>
  <c r="T113" i="5"/>
  <c r="S113" i="5"/>
  <c r="Q113" i="5"/>
  <c r="O113" i="5"/>
  <c r="M113" i="5"/>
  <c r="K113" i="5"/>
  <c r="X112" i="5"/>
  <c r="W112" i="5"/>
  <c r="V112" i="5"/>
  <c r="U112" i="5"/>
  <c r="T112" i="5"/>
  <c r="S112" i="5"/>
  <c r="Q112" i="5"/>
  <c r="O112" i="5"/>
  <c r="M112" i="5"/>
  <c r="K112" i="5"/>
  <c r="X111" i="5"/>
  <c r="W111" i="5"/>
  <c r="V111" i="5"/>
  <c r="U111" i="5"/>
  <c r="T111" i="5"/>
  <c r="S111" i="5"/>
  <c r="Q111" i="5"/>
  <c r="O111" i="5"/>
  <c r="M111" i="5"/>
  <c r="K111" i="5"/>
  <c r="X110" i="5"/>
  <c r="W110" i="5"/>
  <c r="V110" i="5"/>
  <c r="U110" i="5"/>
  <c r="T110" i="5"/>
  <c r="S110" i="5"/>
  <c r="Q110" i="5"/>
  <c r="O110" i="5"/>
  <c r="M110" i="5"/>
  <c r="K110" i="5"/>
  <c r="X109" i="5"/>
  <c r="W109" i="5"/>
  <c r="V109" i="5"/>
  <c r="U109" i="5"/>
  <c r="T109" i="5"/>
  <c r="S109" i="5"/>
  <c r="Q109" i="5"/>
  <c r="O109" i="5"/>
  <c r="M109" i="5"/>
  <c r="K109" i="5"/>
  <c r="X108" i="5"/>
  <c r="W108" i="5"/>
  <c r="V108" i="5"/>
  <c r="U108" i="5"/>
  <c r="T108" i="5"/>
  <c r="S108" i="5"/>
  <c r="Q108" i="5"/>
  <c r="O108" i="5"/>
  <c r="M108" i="5"/>
  <c r="K108" i="5"/>
  <c r="X107" i="5"/>
  <c r="W107" i="5"/>
  <c r="V107" i="5"/>
  <c r="U107" i="5"/>
  <c r="T107" i="5"/>
  <c r="S107" i="5"/>
  <c r="Q107" i="5"/>
  <c r="O107" i="5"/>
  <c r="M107" i="5"/>
  <c r="K107" i="5"/>
  <c r="X106" i="5"/>
  <c r="W106" i="5"/>
  <c r="V106" i="5"/>
  <c r="U106" i="5"/>
  <c r="T106" i="5"/>
  <c r="S106" i="5"/>
  <c r="Q106" i="5"/>
  <c r="O106" i="5"/>
  <c r="M106" i="5"/>
  <c r="K106" i="5"/>
  <c r="X105" i="5"/>
  <c r="W105" i="5"/>
  <c r="V105" i="5"/>
  <c r="U105" i="5"/>
  <c r="T105" i="5"/>
  <c r="S105" i="5"/>
  <c r="Q105" i="5"/>
  <c r="O105" i="5"/>
  <c r="M105" i="5"/>
  <c r="K105" i="5"/>
  <c r="X104" i="5"/>
  <c r="W104" i="5"/>
  <c r="V104" i="5"/>
  <c r="U104" i="5"/>
  <c r="T104" i="5"/>
  <c r="S104" i="5"/>
  <c r="Q104" i="5"/>
  <c r="O104" i="5"/>
  <c r="M104" i="5"/>
  <c r="K104" i="5"/>
  <c r="X103" i="5"/>
  <c r="W103" i="5"/>
  <c r="V103" i="5"/>
  <c r="U103" i="5"/>
  <c r="T103" i="5"/>
  <c r="S103" i="5"/>
  <c r="Q103" i="5"/>
  <c r="O103" i="5"/>
  <c r="M103" i="5"/>
  <c r="K103" i="5"/>
  <c r="X102" i="5"/>
  <c r="W102" i="5"/>
  <c r="V102" i="5"/>
  <c r="U102" i="5"/>
  <c r="T102" i="5"/>
  <c r="S102" i="5"/>
  <c r="Q102" i="5"/>
  <c r="O102" i="5"/>
  <c r="M102" i="5"/>
  <c r="K102" i="5"/>
  <c r="X101" i="5"/>
  <c r="W101" i="5"/>
  <c r="V101" i="5"/>
  <c r="U101" i="5"/>
  <c r="T101" i="5"/>
  <c r="S101" i="5"/>
  <c r="Q101" i="5"/>
  <c r="O101" i="5"/>
  <c r="M101" i="5"/>
  <c r="K101" i="5"/>
  <c r="X100" i="5"/>
  <c r="W100" i="5"/>
  <c r="V100" i="5"/>
  <c r="U100" i="5"/>
  <c r="T100" i="5"/>
  <c r="S100" i="5"/>
  <c r="Q100" i="5"/>
  <c r="O100" i="5"/>
  <c r="M100" i="5"/>
  <c r="K100" i="5"/>
  <c r="X99" i="5"/>
  <c r="W99" i="5"/>
  <c r="V99" i="5"/>
  <c r="U99" i="5"/>
  <c r="T99" i="5"/>
  <c r="S99" i="5"/>
  <c r="Q99" i="5"/>
  <c r="O99" i="5"/>
  <c r="M99" i="5"/>
  <c r="K99" i="5"/>
  <c r="X98" i="5"/>
  <c r="W98" i="5"/>
  <c r="V98" i="5"/>
  <c r="U98" i="5"/>
  <c r="T98" i="5"/>
  <c r="S98" i="5"/>
  <c r="Q98" i="5"/>
  <c r="O98" i="5"/>
  <c r="M98" i="5"/>
  <c r="K98" i="5"/>
  <c r="X97" i="5"/>
  <c r="W97" i="5"/>
  <c r="V97" i="5"/>
  <c r="U97" i="5"/>
  <c r="T97" i="5"/>
  <c r="S97" i="5"/>
  <c r="Q97" i="5"/>
  <c r="O97" i="5"/>
  <c r="M97" i="5"/>
  <c r="K97" i="5"/>
  <c r="X96" i="5"/>
  <c r="W96" i="5"/>
  <c r="V96" i="5"/>
  <c r="U96" i="5"/>
  <c r="T96" i="5"/>
  <c r="S96" i="5"/>
  <c r="Q96" i="5"/>
  <c r="O96" i="5"/>
  <c r="M96" i="5"/>
  <c r="K96" i="5"/>
  <c r="X95" i="5"/>
  <c r="W95" i="5"/>
  <c r="V95" i="5"/>
  <c r="U95" i="5"/>
  <c r="T95" i="5"/>
  <c r="S95" i="5"/>
  <c r="Q95" i="5"/>
  <c r="O95" i="5"/>
  <c r="M95" i="5"/>
  <c r="K95" i="5"/>
  <c r="X94" i="5"/>
  <c r="W94" i="5"/>
  <c r="V94" i="5"/>
  <c r="U94" i="5"/>
  <c r="T94" i="5"/>
  <c r="S94" i="5"/>
  <c r="Q94" i="5"/>
  <c r="O94" i="5"/>
  <c r="M94" i="5"/>
  <c r="K94" i="5"/>
  <c r="X93" i="5"/>
  <c r="W93" i="5"/>
  <c r="V93" i="5"/>
  <c r="U93" i="5"/>
  <c r="T93" i="5"/>
  <c r="S93" i="5"/>
  <c r="Q93" i="5"/>
  <c r="O93" i="5"/>
  <c r="M93" i="5"/>
  <c r="K93" i="5"/>
  <c r="X92" i="5"/>
  <c r="W92" i="5"/>
  <c r="V92" i="5"/>
  <c r="U92" i="5"/>
  <c r="T92" i="5"/>
  <c r="S92" i="5"/>
  <c r="Q92" i="5"/>
  <c r="O92" i="5"/>
  <c r="M92" i="5"/>
  <c r="K92" i="5"/>
  <c r="X91" i="5"/>
  <c r="W91" i="5"/>
  <c r="V91" i="5"/>
  <c r="U91" i="5"/>
  <c r="T91" i="5"/>
  <c r="S91" i="5"/>
  <c r="Q91" i="5"/>
  <c r="O91" i="5"/>
  <c r="M91" i="5"/>
  <c r="K91" i="5"/>
  <c r="X90" i="5"/>
  <c r="W90" i="5"/>
  <c r="V90" i="5"/>
  <c r="U90" i="5"/>
  <c r="T90" i="5"/>
  <c r="S90" i="5"/>
  <c r="Q90" i="5"/>
  <c r="O90" i="5"/>
  <c r="M90" i="5"/>
  <c r="K90" i="5"/>
  <c r="X89" i="5"/>
  <c r="W89" i="5"/>
  <c r="V89" i="5"/>
  <c r="U89" i="5"/>
  <c r="T89" i="5"/>
  <c r="S89" i="5"/>
  <c r="Q89" i="5"/>
  <c r="O89" i="5"/>
  <c r="M89" i="5"/>
  <c r="K89" i="5"/>
  <c r="X88" i="5"/>
  <c r="W88" i="5"/>
  <c r="V88" i="5"/>
  <c r="U88" i="5"/>
  <c r="T88" i="5"/>
  <c r="S88" i="5"/>
  <c r="Q88" i="5"/>
  <c r="O88" i="5"/>
  <c r="M88" i="5"/>
  <c r="K88" i="5"/>
  <c r="X87" i="5"/>
  <c r="W87" i="5"/>
  <c r="V87" i="5"/>
  <c r="U87" i="5"/>
  <c r="T87" i="5"/>
  <c r="S87" i="5"/>
  <c r="Q87" i="5"/>
  <c r="O87" i="5"/>
  <c r="M87" i="5"/>
  <c r="K87" i="5"/>
  <c r="X86" i="5"/>
  <c r="W86" i="5"/>
  <c r="V86" i="5"/>
  <c r="U86" i="5"/>
  <c r="T86" i="5"/>
  <c r="S86" i="5"/>
  <c r="Q86" i="5"/>
  <c r="O86" i="5"/>
  <c r="M86" i="5"/>
  <c r="K86" i="5"/>
  <c r="X85" i="5"/>
  <c r="W85" i="5"/>
  <c r="V85" i="5"/>
  <c r="U85" i="5"/>
  <c r="T85" i="5"/>
  <c r="S85" i="5"/>
  <c r="Q85" i="5"/>
  <c r="O85" i="5"/>
  <c r="M85" i="5"/>
  <c r="K85" i="5"/>
  <c r="X84" i="5"/>
  <c r="W84" i="5"/>
  <c r="V84" i="5"/>
  <c r="U84" i="5"/>
  <c r="T84" i="5"/>
  <c r="S84" i="5"/>
  <c r="Q84" i="5"/>
  <c r="O84" i="5"/>
  <c r="M84" i="5"/>
  <c r="K84" i="5"/>
  <c r="X83" i="5"/>
  <c r="W83" i="5"/>
  <c r="V83" i="5"/>
  <c r="U83" i="5"/>
  <c r="T83" i="5"/>
  <c r="S83" i="5"/>
  <c r="Q83" i="5"/>
  <c r="O83" i="5"/>
  <c r="M83" i="5"/>
  <c r="K83" i="5"/>
  <c r="X82" i="5"/>
  <c r="W82" i="5"/>
  <c r="V82" i="5"/>
  <c r="U82" i="5"/>
  <c r="T82" i="5"/>
  <c r="S82" i="5"/>
  <c r="Q82" i="5"/>
  <c r="O82" i="5"/>
  <c r="M82" i="5"/>
  <c r="K82" i="5"/>
  <c r="X81" i="5"/>
  <c r="W81" i="5"/>
  <c r="V81" i="5"/>
  <c r="U81" i="5"/>
  <c r="T81" i="5"/>
  <c r="S81" i="5"/>
  <c r="Q81" i="5"/>
  <c r="O81" i="5"/>
  <c r="M81" i="5"/>
  <c r="K81" i="5"/>
  <c r="X80" i="5"/>
  <c r="W80" i="5"/>
  <c r="V80" i="5"/>
  <c r="U80" i="5"/>
  <c r="T80" i="5"/>
  <c r="S80" i="5"/>
  <c r="Q80" i="5"/>
  <c r="O80" i="5"/>
  <c r="M80" i="5"/>
  <c r="K80" i="5"/>
  <c r="X79" i="5"/>
  <c r="W79" i="5"/>
  <c r="V79" i="5"/>
  <c r="U79" i="5"/>
  <c r="T79" i="5"/>
  <c r="S79" i="5"/>
  <c r="Q79" i="5"/>
  <c r="O79" i="5"/>
  <c r="M79" i="5"/>
  <c r="K79" i="5"/>
  <c r="X78" i="5"/>
  <c r="W78" i="5"/>
  <c r="V78" i="5"/>
  <c r="U78" i="5"/>
  <c r="T78" i="5"/>
  <c r="S78" i="5"/>
  <c r="Q78" i="5"/>
  <c r="O78" i="5"/>
  <c r="M78" i="5"/>
  <c r="K78" i="5"/>
  <c r="X77" i="5"/>
  <c r="W77" i="5"/>
  <c r="V77" i="5"/>
  <c r="U77" i="5"/>
  <c r="T77" i="5"/>
  <c r="S77" i="5"/>
  <c r="Q77" i="5"/>
  <c r="O77" i="5"/>
  <c r="M77" i="5"/>
  <c r="K77" i="5"/>
  <c r="X76" i="5"/>
  <c r="W76" i="5"/>
  <c r="V76" i="5"/>
  <c r="U76" i="5"/>
  <c r="T76" i="5"/>
  <c r="S76" i="5"/>
  <c r="Q76" i="5"/>
  <c r="O76" i="5"/>
  <c r="M76" i="5"/>
  <c r="K76" i="5"/>
  <c r="X75" i="5"/>
  <c r="W75" i="5"/>
  <c r="V75" i="5"/>
  <c r="U75" i="5"/>
  <c r="T75" i="5"/>
  <c r="S75" i="5"/>
  <c r="Q75" i="5"/>
  <c r="O75" i="5"/>
  <c r="M75" i="5"/>
  <c r="K75" i="5"/>
  <c r="X74" i="5"/>
  <c r="W74" i="5"/>
  <c r="V74" i="5"/>
  <c r="U74" i="5"/>
  <c r="T74" i="5"/>
  <c r="S74" i="5"/>
  <c r="Q74" i="5"/>
  <c r="O74" i="5"/>
  <c r="M74" i="5"/>
  <c r="K74" i="5"/>
  <c r="X73" i="5"/>
  <c r="W73" i="5"/>
  <c r="V73" i="5"/>
  <c r="U73" i="5"/>
  <c r="T73" i="5"/>
  <c r="S73" i="5"/>
  <c r="Q73" i="5"/>
  <c r="O73" i="5"/>
  <c r="M73" i="5"/>
  <c r="K73" i="5"/>
  <c r="X72" i="5"/>
  <c r="W72" i="5"/>
  <c r="V72" i="5"/>
  <c r="U72" i="5"/>
  <c r="T72" i="5"/>
  <c r="S72" i="5"/>
  <c r="Q72" i="5"/>
  <c r="O72" i="5"/>
  <c r="M72" i="5"/>
  <c r="K72" i="5"/>
  <c r="X71" i="5"/>
  <c r="W71" i="5"/>
  <c r="V71" i="5"/>
  <c r="U71" i="5"/>
  <c r="T71" i="5"/>
  <c r="S71" i="5"/>
  <c r="Q71" i="5"/>
  <c r="O71" i="5"/>
  <c r="M71" i="5"/>
  <c r="K71" i="5"/>
  <c r="X70" i="5"/>
  <c r="W70" i="5"/>
  <c r="V70" i="5"/>
  <c r="U70" i="5"/>
  <c r="T70" i="5"/>
  <c r="S70" i="5"/>
  <c r="Q70" i="5"/>
  <c r="O70" i="5"/>
  <c r="M70" i="5"/>
  <c r="K70" i="5"/>
  <c r="X69" i="5"/>
  <c r="W69" i="5"/>
  <c r="V69" i="5"/>
  <c r="U69" i="5"/>
  <c r="T69" i="5"/>
  <c r="S69" i="5"/>
  <c r="Q69" i="5"/>
  <c r="O69" i="5"/>
  <c r="M69" i="5"/>
  <c r="K69" i="5"/>
  <c r="X68" i="5"/>
  <c r="W68" i="5"/>
  <c r="V68" i="5"/>
  <c r="U68" i="5"/>
  <c r="T68" i="5"/>
  <c r="S68" i="5"/>
  <c r="Q68" i="5"/>
  <c r="O68" i="5"/>
  <c r="M68" i="5"/>
  <c r="K68" i="5"/>
  <c r="X67" i="5"/>
  <c r="W67" i="5"/>
  <c r="V67" i="5"/>
  <c r="U67" i="5"/>
  <c r="T67" i="5"/>
  <c r="S67" i="5"/>
  <c r="Q67" i="5"/>
  <c r="O67" i="5"/>
  <c r="M67" i="5"/>
  <c r="K67" i="5"/>
  <c r="X66" i="5"/>
  <c r="W66" i="5"/>
  <c r="V66" i="5"/>
  <c r="U66" i="5"/>
  <c r="T66" i="5"/>
  <c r="S66" i="5"/>
  <c r="Q66" i="5"/>
  <c r="O66" i="5"/>
  <c r="M66" i="5"/>
  <c r="K66" i="5"/>
  <c r="X65" i="5"/>
  <c r="W65" i="5"/>
  <c r="V65" i="5"/>
  <c r="U65" i="5"/>
  <c r="T65" i="5"/>
  <c r="S65" i="5"/>
  <c r="Q65" i="5"/>
  <c r="O65" i="5"/>
  <c r="M65" i="5"/>
  <c r="K65" i="5"/>
  <c r="X64" i="5"/>
  <c r="W64" i="5"/>
  <c r="V64" i="5"/>
  <c r="U64" i="5"/>
  <c r="T64" i="5"/>
  <c r="S64" i="5"/>
  <c r="Q64" i="5"/>
  <c r="O64" i="5"/>
  <c r="M64" i="5"/>
  <c r="K64" i="5"/>
  <c r="X63" i="5"/>
  <c r="W63" i="5"/>
  <c r="V63" i="5"/>
  <c r="U63" i="5"/>
  <c r="T63" i="5"/>
  <c r="S63" i="5"/>
  <c r="Q63" i="5"/>
  <c r="O63" i="5"/>
  <c r="M63" i="5"/>
  <c r="K63" i="5"/>
  <c r="X62" i="5"/>
  <c r="W62" i="5"/>
  <c r="V62" i="5"/>
  <c r="U62" i="5"/>
  <c r="T62" i="5"/>
  <c r="S62" i="5"/>
  <c r="Q62" i="5"/>
  <c r="O62" i="5"/>
  <c r="M62" i="5"/>
  <c r="K62" i="5"/>
  <c r="X61" i="5"/>
  <c r="W61" i="5"/>
  <c r="V61" i="5"/>
  <c r="U61" i="5"/>
  <c r="T61" i="5"/>
  <c r="S61" i="5"/>
  <c r="Q61" i="5"/>
  <c r="O61" i="5"/>
  <c r="M61" i="5"/>
  <c r="K61" i="5"/>
  <c r="X60" i="5"/>
  <c r="W60" i="5"/>
  <c r="V60" i="5"/>
  <c r="U60" i="5"/>
  <c r="T60" i="5"/>
  <c r="S60" i="5"/>
  <c r="Q60" i="5"/>
  <c r="O60" i="5"/>
  <c r="M60" i="5"/>
  <c r="K60" i="5"/>
  <c r="X59" i="5"/>
  <c r="W59" i="5"/>
  <c r="V59" i="5"/>
  <c r="U59" i="5"/>
  <c r="T59" i="5"/>
  <c r="S59" i="5"/>
  <c r="Q59" i="5"/>
  <c r="O59" i="5"/>
  <c r="M59" i="5"/>
  <c r="K59" i="5"/>
  <c r="X58" i="5"/>
  <c r="W58" i="5"/>
  <c r="V58" i="5"/>
  <c r="U58" i="5"/>
  <c r="T58" i="5"/>
  <c r="S58" i="5"/>
  <c r="Q58" i="5"/>
  <c r="O58" i="5"/>
  <c r="M58" i="5"/>
  <c r="K58" i="5"/>
  <c r="X57" i="5"/>
  <c r="W57" i="5"/>
  <c r="V57" i="5"/>
  <c r="U57" i="5"/>
  <c r="T57" i="5"/>
  <c r="S57" i="5"/>
  <c r="Q57" i="5"/>
  <c r="O57" i="5"/>
  <c r="M57" i="5"/>
  <c r="K57" i="5"/>
  <c r="X56" i="5"/>
  <c r="W56" i="5"/>
  <c r="V56" i="5"/>
  <c r="U56" i="5"/>
  <c r="T56" i="5"/>
  <c r="S56" i="5"/>
  <c r="Q56" i="5"/>
  <c r="O56" i="5"/>
  <c r="M56" i="5"/>
  <c r="K56" i="5"/>
  <c r="X55" i="5"/>
  <c r="W55" i="5"/>
  <c r="V55" i="5"/>
  <c r="U55" i="5"/>
  <c r="T55" i="5"/>
  <c r="S55" i="5"/>
  <c r="Q55" i="5"/>
  <c r="O55" i="5"/>
  <c r="M55" i="5"/>
  <c r="K55" i="5"/>
  <c r="X54" i="5"/>
  <c r="W54" i="5"/>
  <c r="V54" i="5"/>
  <c r="U54" i="5"/>
  <c r="T54" i="5"/>
  <c r="S54" i="5"/>
  <c r="Q54" i="5"/>
  <c r="O54" i="5"/>
  <c r="M54" i="5"/>
  <c r="K54" i="5"/>
  <c r="X53" i="5"/>
  <c r="W53" i="5"/>
  <c r="V53" i="5"/>
  <c r="U53" i="5"/>
  <c r="T53" i="5"/>
  <c r="S53" i="5"/>
  <c r="Q53" i="5"/>
  <c r="O53" i="5"/>
  <c r="M53" i="5"/>
  <c r="K53" i="5"/>
  <c r="X52" i="5"/>
  <c r="W52" i="5"/>
  <c r="V52" i="5"/>
  <c r="U52" i="5"/>
  <c r="T52" i="5"/>
  <c r="S52" i="5"/>
  <c r="Q52" i="5"/>
  <c r="O52" i="5"/>
  <c r="M52" i="5"/>
  <c r="K52" i="5"/>
  <c r="X51" i="5"/>
  <c r="W51" i="5"/>
  <c r="V51" i="5"/>
  <c r="U51" i="5"/>
  <c r="T51" i="5"/>
  <c r="S51" i="5"/>
  <c r="Q51" i="5"/>
  <c r="O51" i="5"/>
  <c r="M51" i="5"/>
  <c r="K51" i="5"/>
  <c r="X50" i="5"/>
  <c r="W50" i="5"/>
  <c r="V50" i="5"/>
  <c r="U50" i="5"/>
  <c r="T50" i="5"/>
  <c r="S50" i="5"/>
  <c r="Q50" i="5"/>
  <c r="O50" i="5"/>
  <c r="M50" i="5"/>
  <c r="K50" i="5"/>
  <c r="X49" i="5"/>
  <c r="W49" i="5"/>
  <c r="V49" i="5"/>
  <c r="U49" i="5"/>
  <c r="T49" i="5"/>
  <c r="S49" i="5"/>
  <c r="Q49" i="5"/>
  <c r="O49" i="5"/>
  <c r="M49" i="5"/>
  <c r="K49" i="5"/>
  <c r="X48" i="5"/>
  <c r="W48" i="5"/>
  <c r="V48" i="5"/>
  <c r="U48" i="5"/>
  <c r="T48" i="5"/>
  <c r="S48" i="5"/>
  <c r="Q48" i="5"/>
  <c r="O48" i="5"/>
  <c r="M48" i="5"/>
  <c r="K48" i="5"/>
  <c r="X47" i="5"/>
  <c r="W47" i="5"/>
  <c r="V47" i="5"/>
  <c r="U47" i="5"/>
  <c r="T47" i="5"/>
  <c r="S47" i="5"/>
  <c r="Q47" i="5"/>
  <c r="O47" i="5"/>
  <c r="M47" i="5"/>
  <c r="K47" i="5"/>
  <c r="X46" i="5"/>
  <c r="W46" i="5"/>
  <c r="V46" i="5"/>
  <c r="U46" i="5"/>
  <c r="T46" i="5"/>
  <c r="S46" i="5"/>
  <c r="Q46" i="5"/>
  <c r="O46" i="5"/>
  <c r="M46" i="5"/>
  <c r="K46" i="5"/>
  <c r="X45" i="5"/>
  <c r="W45" i="5"/>
  <c r="V45" i="5"/>
  <c r="U45" i="5"/>
  <c r="T45" i="5"/>
  <c r="S45" i="5"/>
  <c r="Q45" i="5"/>
  <c r="O45" i="5"/>
  <c r="M45" i="5"/>
  <c r="K45" i="5"/>
  <c r="X44" i="5"/>
  <c r="W44" i="5"/>
  <c r="V44" i="5"/>
  <c r="U44" i="5"/>
  <c r="T44" i="5"/>
  <c r="S44" i="5"/>
  <c r="Q44" i="5"/>
  <c r="O44" i="5"/>
  <c r="M44" i="5"/>
  <c r="K44" i="5"/>
  <c r="X43" i="5"/>
  <c r="W43" i="5"/>
  <c r="V43" i="5"/>
  <c r="U43" i="5"/>
  <c r="T43" i="5"/>
  <c r="S43" i="5"/>
  <c r="Q43" i="5"/>
  <c r="O43" i="5"/>
  <c r="M43" i="5"/>
  <c r="K43" i="5"/>
  <c r="X42" i="5"/>
  <c r="W42" i="5"/>
  <c r="V42" i="5"/>
  <c r="U42" i="5"/>
  <c r="T42" i="5"/>
  <c r="S42" i="5"/>
  <c r="Q42" i="5"/>
  <c r="O42" i="5"/>
  <c r="M42" i="5"/>
  <c r="K42" i="5"/>
  <c r="X41" i="5"/>
  <c r="W41" i="5"/>
  <c r="V41" i="5"/>
  <c r="U41" i="5"/>
  <c r="T41" i="5"/>
  <c r="S41" i="5"/>
  <c r="Q41" i="5"/>
  <c r="O41" i="5"/>
  <c r="M41" i="5"/>
  <c r="K41" i="5"/>
  <c r="X40" i="5"/>
  <c r="W40" i="5"/>
  <c r="V40" i="5"/>
  <c r="U40" i="5"/>
  <c r="T40" i="5"/>
  <c r="S40" i="5"/>
  <c r="Q40" i="5"/>
  <c r="O40" i="5"/>
  <c r="M40" i="5"/>
  <c r="K40" i="5"/>
  <c r="X39" i="5"/>
  <c r="W39" i="5"/>
  <c r="V39" i="5"/>
  <c r="U39" i="5"/>
  <c r="T39" i="5"/>
  <c r="S39" i="5"/>
  <c r="Q39" i="5"/>
  <c r="O39" i="5"/>
  <c r="M39" i="5"/>
  <c r="K39" i="5"/>
  <c r="X38" i="5"/>
  <c r="W38" i="5"/>
  <c r="V38" i="5"/>
  <c r="U38" i="5"/>
  <c r="T38" i="5"/>
  <c r="S38" i="5"/>
  <c r="Q38" i="5"/>
  <c r="O38" i="5"/>
  <c r="M38" i="5"/>
  <c r="K38" i="5"/>
  <c r="X37" i="5"/>
  <c r="W37" i="5"/>
  <c r="V37" i="5"/>
  <c r="U37" i="5"/>
  <c r="T37" i="5"/>
  <c r="S37" i="5"/>
  <c r="Q37" i="5"/>
  <c r="O37" i="5"/>
  <c r="M37" i="5"/>
  <c r="K37" i="5"/>
  <c r="X36" i="5"/>
  <c r="W36" i="5"/>
  <c r="V36" i="5"/>
  <c r="U36" i="5"/>
  <c r="T36" i="5"/>
  <c r="S36" i="5"/>
  <c r="Q36" i="5"/>
  <c r="O36" i="5"/>
  <c r="M36" i="5"/>
  <c r="K36" i="5"/>
  <c r="X35" i="5"/>
  <c r="W35" i="5"/>
  <c r="V35" i="5"/>
  <c r="U35" i="5"/>
  <c r="T35" i="5"/>
  <c r="S35" i="5"/>
  <c r="Q35" i="5"/>
  <c r="O35" i="5"/>
  <c r="M35" i="5"/>
  <c r="K35" i="5"/>
  <c r="X34" i="5"/>
  <c r="W34" i="5"/>
  <c r="V34" i="5"/>
  <c r="U34" i="5"/>
  <c r="T34" i="5"/>
  <c r="S34" i="5"/>
  <c r="Q34" i="5"/>
  <c r="O34" i="5"/>
  <c r="M34" i="5"/>
  <c r="K34" i="5"/>
  <c r="X33" i="5"/>
  <c r="W33" i="5"/>
  <c r="V33" i="5"/>
  <c r="U33" i="5"/>
  <c r="T33" i="5"/>
  <c r="S33" i="5"/>
  <c r="Q33" i="5"/>
  <c r="O33" i="5"/>
  <c r="M33" i="5"/>
  <c r="K33" i="5"/>
  <c r="X32" i="5"/>
  <c r="W32" i="5"/>
  <c r="V32" i="5"/>
  <c r="U32" i="5"/>
  <c r="T32" i="5"/>
  <c r="S32" i="5"/>
  <c r="Q32" i="5"/>
  <c r="O32" i="5"/>
  <c r="M32" i="5"/>
  <c r="K32" i="5"/>
  <c r="X31" i="5"/>
  <c r="W31" i="5"/>
  <c r="V31" i="5"/>
  <c r="U31" i="5"/>
  <c r="T31" i="5"/>
  <c r="S31" i="5"/>
  <c r="Q31" i="5"/>
  <c r="O31" i="5"/>
  <c r="M31" i="5"/>
  <c r="K31" i="5"/>
  <c r="X30" i="5"/>
  <c r="W30" i="5"/>
  <c r="V30" i="5"/>
  <c r="U30" i="5"/>
  <c r="T30" i="5"/>
  <c r="S30" i="5"/>
  <c r="Q30" i="5"/>
  <c r="O30" i="5"/>
  <c r="M30" i="5"/>
  <c r="K30" i="5"/>
  <c r="X29" i="5"/>
  <c r="W29" i="5"/>
  <c r="V29" i="5"/>
  <c r="U29" i="5"/>
  <c r="T29" i="5"/>
  <c r="S29" i="5"/>
  <c r="Q29" i="5"/>
  <c r="O29" i="5"/>
  <c r="M29" i="5"/>
  <c r="K29" i="5"/>
  <c r="X28" i="5"/>
  <c r="W28" i="5"/>
  <c r="V28" i="5"/>
  <c r="U28" i="5"/>
  <c r="T28" i="5"/>
  <c r="S28" i="5"/>
  <c r="Q28" i="5"/>
  <c r="O28" i="5"/>
  <c r="M28" i="5"/>
  <c r="K28" i="5"/>
  <c r="X27" i="5"/>
  <c r="W27" i="5"/>
  <c r="V27" i="5"/>
  <c r="U27" i="5"/>
  <c r="T27" i="5"/>
  <c r="S27" i="5"/>
  <c r="Q27" i="5"/>
  <c r="O27" i="5"/>
  <c r="M27" i="5"/>
  <c r="K27" i="5"/>
  <c r="X26" i="5"/>
  <c r="W26" i="5"/>
  <c r="V26" i="5"/>
  <c r="U26" i="5"/>
  <c r="T26" i="5"/>
  <c r="S26" i="5"/>
  <c r="Q26" i="5"/>
  <c r="O26" i="5"/>
  <c r="M26" i="5"/>
  <c r="K26" i="5"/>
  <c r="X25" i="5"/>
  <c r="W25" i="5"/>
  <c r="V25" i="5"/>
  <c r="U25" i="5"/>
  <c r="T25" i="5"/>
  <c r="S25" i="5"/>
  <c r="Q25" i="5"/>
  <c r="O25" i="5"/>
  <c r="M25" i="5"/>
  <c r="K25" i="5"/>
  <c r="X24" i="5"/>
  <c r="W24" i="5"/>
  <c r="V24" i="5"/>
  <c r="U24" i="5"/>
  <c r="T24" i="5"/>
  <c r="S24" i="5"/>
  <c r="Q24" i="5"/>
  <c r="O24" i="5"/>
  <c r="M24" i="5"/>
  <c r="K24" i="5"/>
  <c r="X23" i="5"/>
  <c r="W23" i="5"/>
  <c r="V23" i="5"/>
  <c r="U23" i="5"/>
  <c r="T23" i="5"/>
  <c r="S23" i="5"/>
  <c r="Q23" i="5"/>
  <c r="O23" i="5"/>
  <c r="M23" i="5"/>
  <c r="K23" i="5"/>
  <c r="X22" i="5"/>
  <c r="W22" i="5"/>
  <c r="V22" i="5"/>
  <c r="U22" i="5"/>
  <c r="T22" i="5"/>
  <c r="S22" i="5"/>
  <c r="Q22" i="5"/>
  <c r="O22" i="5"/>
  <c r="M22" i="5"/>
  <c r="K22" i="5"/>
  <c r="X21" i="5"/>
  <c r="W21" i="5"/>
  <c r="V21" i="5"/>
  <c r="U21" i="5"/>
  <c r="T21" i="5"/>
  <c r="S21" i="5"/>
  <c r="Q21" i="5"/>
  <c r="O21" i="5"/>
  <c r="M21" i="5"/>
  <c r="K21" i="5"/>
  <c r="X20" i="5"/>
  <c r="W20" i="5"/>
  <c r="V20" i="5"/>
  <c r="U20" i="5"/>
  <c r="T20" i="5"/>
  <c r="S20" i="5"/>
  <c r="Q20" i="5"/>
  <c r="O20" i="5"/>
  <c r="M20" i="5"/>
  <c r="K20" i="5"/>
  <c r="X19" i="5"/>
  <c r="W19" i="5"/>
  <c r="V19" i="5"/>
  <c r="U19" i="5"/>
  <c r="T19" i="5"/>
  <c r="S19" i="5"/>
  <c r="Q19" i="5"/>
  <c r="O19" i="5"/>
  <c r="M19" i="5"/>
  <c r="K19" i="5"/>
  <c r="X18" i="5"/>
  <c r="W18" i="5"/>
  <c r="V18" i="5"/>
  <c r="U18" i="5"/>
  <c r="T18" i="5"/>
  <c r="S18" i="5"/>
  <c r="Q18" i="5"/>
  <c r="O18" i="5"/>
  <c r="M18" i="5"/>
  <c r="K18" i="5"/>
  <c r="X17" i="5"/>
  <c r="W17" i="5"/>
  <c r="V17" i="5"/>
  <c r="U17" i="5"/>
  <c r="T17" i="5"/>
  <c r="S17" i="5"/>
  <c r="Q17" i="5"/>
  <c r="O17" i="5"/>
  <c r="M17" i="5"/>
  <c r="K17" i="5"/>
  <c r="X16" i="5"/>
  <c r="W16" i="5"/>
  <c r="V16" i="5"/>
  <c r="U16" i="5"/>
  <c r="T16" i="5"/>
  <c r="S16" i="5"/>
  <c r="Q16" i="5"/>
  <c r="O16" i="5"/>
  <c r="M16" i="5"/>
  <c r="K16" i="5"/>
  <c r="X15" i="5"/>
  <c r="W15" i="5"/>
  <c r="V15" i="5"/>
  <c r="U15" i="5"/>
  <c r="T15" i="5"/>
  <c r="S15" i="5"/>
  <c r="Q15" i="5"/>
  <c r="O15" i="5"/>
  <c r="M15" i="5"/>
  <c r="K15" i="5"/>
  <c r="X14" i="5"/>
  <c r="W14" i="5"/>
  <c r="V14" i="5"/>
  <c r="U14" i="5"/>
  <c r="T14" i="5"/>
  <c r="S14" i="5"/>
  <c r="Q14" i="5"/>
  <c r="O14" i="5"/>
  <c r="M14" i="5"/>
  <c r="K14" i="5"/>
  <c r="X13" i="5"/>
  <c r="W13" i="5"/>
  <c r="V13" i="5"/>
  <c r="U13" i="5"/>
  <c r="T13" i="5"/>
  <c r="S13" i="5"/>
  <c r="Q13" i="5"/>
  <c r="O13" i="5"/>
  <c r="M13" i="5"/>
  <c r="K13" i="5"/>
  <c r="X12" i="5"/>
  <c r="W12" i="5"/>
  <c r="V12" i="5"/>
  <c r="U12" i="5"/>
  <c r="T12" i="5"/>
  <c r="S12" i="5"/>
  <c r="Q12" i="5"/>
  <c r="O12" i="5"/>
  <c r="M12" i="5"/>
  <c r="K12" i="5"/>
  <c r="X11" i="5"/>
  <c r="W11" i="5"/>
  <c r="V11" i="5"/>
  <c r="U11" i="5"/>
  <c r="T11" i="5"/>
  <c r="S11" i="5"/>
  <c r="Q11" i="5"/>
  <c r="O11" i="5"/>
  <c r="M11" i="5"/>
  <c r="K11" i="5"/>
  <c r="X10" i="5"/>
  <c r="W10" i="5"/>
  <c r="V10" i="5"/>
  <c r="U10" i="5"/>
  <c r="T10" i="5"/>
  <c r="S10" i="5"/>
  <c r="Q10" i="5"/>
  <c r="O10" i="5"/>
  <c r="M10" i="5"/>
  <c r="K10" i="5"/>
  <c r="X9" i="5"/>
  <c r="W9" i="5"/>
  <c r="V9" i="5"/>
  <c r="U9" i="5"/>
  <c r="T9" i="5"/>
  <c r="S9" i="5"/>
  <c r="Q9" i="5"/>
  <c r="O9" i="5"/>
  <c r="M9" i="5"/>
  <c r="K9" i="5"/>
  <c r="X8" i="5"/>
  <c r="W8" i="5"/>
  <c r="V8" i="5"/>
  <c r="U8" i="5"/>
  <c r="T8" i="5"/>
  <c r="S8" i="5"/>
  <c r="Q8" i="5"/>
  <c r="O8" i="5"/>
  <c r="M8" i="5"/>
  <c r="K8" i="5"/>
  <c r="X7" i="5"/>
  <c r="W7" i="5"/>
  <c r="V7" i="5"/>
  <c r="U7" i="5"/>
  <c r="T7" i="5"/>
  <c r="S7" i="5"/>
  <c r="Q7" i="5"/>
  <c r="O7" i="5"/>
  <c r="M7" i="5"/>
  <c r="K7" i="5"/>
  <c r="X267" i="4" l="1"/>
  <c r="W267" i="4"/>
  <c r="V267" i="4"/>
  <c r="U267" i="4"/>
  <c r="T267" i="4"/>
  <c r="S267" i="4"/>
  <c r="Q267" i="4"/>
  <c r="O267" i="4"/>
  <c r="M267" i="4"/>
  <c r="K267" i="4"/>
  <c r="X266" i="4"/>
  <c r="W266" i="4"/>
  <c r="V266" i="4"/>
  <c r="U266" i="4"/>
  <c r="T266" i="4"/>
  <c r="S266" i="4"/>
  <c r="Q266" i="4"/>
  <c r="O266" i="4"/>
  <c r="M266" i="4"/>
  <c r="K266" i="4"/>
  <c r="X265" i="4"/>
  <c r="W265" i="4"/>
  <c r="V265" i="4"/>
  <c r="U265" i="4"/>
  <c r="T265" i="4"/>
  <c r="S265" i="4"/>
  <c r="Q265" i="4"/>
  <c r="O265" i="4"/>
  <c r="M265" i="4"/>
  <c r="K265" i="4"/>
  <c r="X264" i="4"/>
  <c r="W264" i="4"/>
  <c r="V264" i="4"/>
  <c r="U264" i="4"/>
  <c r="T264" i="4"/>
  <c r="S264" i="4"/>
  <c r="Q264" i="4"/>
  <c r="O264" i="4"/>
  <c r="M264" i="4"/>
  <c r="K264" i="4"/>
  <c r="X263" i="4"/>
  <c r="W263" i="4"/>
  <c r="V263" i="4"/>
  <c r="U263" i="4"/>
  <c r="T263" i="4"/>
  <c r="S263" i="4"/>
  <c r="Q263" i="4"/>
  <c r="O263" i="4"/>
  <c r="M263" i="4"/>
  <c r="K263" i="4"/>
  <c r="X262" i="4"/>
  <c r="W262" i="4"/>
  <c r="V262" i="4"/>
  <c r="U262" i="4"/>
  <c r="T262" i="4"/>
  <c r="S262" i="4"/>
  <c r="Q262" i="4"/>
  <c r="O262" i="4"/>
  <c r="M262" i="4"/>
  <c r="K262" i="4"/>
  <c r="X261" i="4"/>
  <c r="W261" i="4"/>
  <c r="V261" i="4"/>
  <c r="U261" i="4"/>
  <c r="T261" i="4"/>
  <c r="S261" i="4"/>
  <c r="Q261" i="4"/>
  <c r="O261" i="4"/>
  <c r="M261" i="4"/>
  <c r="K261" i="4"/>
  <c r="X260" i="4"/>
  <c r="W260" i="4"/>
  <c r="V260" i="4"/>
  <c r="U260" i="4"/>
  <c r="T260" i="4"/>
  <c r="S260" i="4"/>
  <c r="Q260" i="4"/>
  <c r="O260" i="4"/>
  <c r="M260" i="4"/>
  <c r="K260" i="4"/>
  <c r="X259" i="4"/>
  <c r="W259" i="4"/>
  <c r="V259" i="4"/>
  <c r="U259" i="4"/>
  <c r="T259" i="4"/>
  <c r="S259" i="4"/>
  <c r="Q259" i="4"/>
  <c r="O259" i="4"/>
  <c r="M259" i="4"/>
  <c r="K259" i="4"/>
  <c r="X258" i="4"/>
  <c r="W258" i="4"/>
  <c r="V258" i="4"/>
  <c r="U258" i="4"/>
  <c r="T258" i="4"/>
  <c r="S258" i="4"/>
  <c r="Q258" i="4"/>
  <c r="O258" i="4"/>
  <c r="M258" i="4"/>
  <c r="K258" i="4"/>
  <c r="X257" i="4"/>
  <c r="W257" i="4"/>
  <c r="V257" i="4"/>
  <c r="U257" i="4"/>
  <c r="T257" i="4"/>
  <c r="S257" i="4"/>
  <c r="Q257" i="4"/>
  <c r="O257" i="4"/>
  <c r="M257" i="4"/>
  <c r="K257" i="4"/>
  <c r="X256" i="4"/>
  <c r="W256" i="4"/>
  <c r="V256" i="4"/>
  <c r="U256" i="4"/>
  <c r="T256" i="4"/>
  <c r="S256" i="4"/>
  <c r="Q256" i="4"/>
  <c r="O256" i="4"/>
  <c r="M256" i="4"/>
  <c r="K256" i="4"/>
  <c r="X255" i="4"/>
  <c r="W255" i="4"/>
  <c r="V255" i="4"/>
  <c r="U255" i="4"/>
  <c r="T255" i="4"/>
  <c r="S255" i="4"/>
  <c r="Q255" i="4"/>
  <c r="O255" i="4"/>
  <c r="M255" i="4"/>
  <c r="K255" i="4"/>
  <c r="X254" i="4"/>
  <c r="W254" i="4"/>
  <c r="V254" i="4"/>
  <c r="U254" i="4"/>
  <c r="T254" i="4"/>
  <c r="S254" i="4"/>
  <c r="Q254" i="4"/>
  <c r="O254" i="4"/>
  <c r="M254" i="4"/>
  <c r="K254" i="4"/>
  <c r="X253" i="4"/>
  <c r="W253" i="4"/>
  <c r="V253" i="4"/>
  <c r="U253" i="4"/>
  <c r="T253" i="4"/>
  <c r="S253" i="4"/>
  <c r="Q253" i="4"/>
  <c r="O253" i="4"/>
  <c r="M253" i="4"/>
  <c r="K253" i="4"/>
  <c r="X252" i="4"/>
  <c r="W252" i="4"/>
  <c r="V252" i="4"/>
  <c r="U252" i="4"/>
  <c r="T252" i="4"/>
  <c r="S252" i="4"/>
  <c r="Q252" i="4"/>
  <c r="O252" i="4"/>
  <c r="M252" i="4"/>
  <c r="K252" i="4"/>
  <c r="X251" i="4"/>
  <c r="W251" i="4"/>
  <c r="V251" i="4"/>
  <c r="U251" i="4"/>
  <c r="T251" i="4"/>
  <c r="S251" i="4"/>
  <c r="Q251" i="4"/>
  <c r="O251" i="4"/>
  <c r="M251" i="4"/>
  <c r="K251" i="4"/>
  <c r="X250" i="4"/>
  <c r="W250" i="4"/>
  <c r="V250" i="4"/>
  <c r="U250" i="4"/>
  <c r="T250" i="4"/>
  <c r="S250" i="4"/>
  <c r="Q250" i="4"/>
  <c r="O250" i="4"/>
  <c r="M250" i="4"/>
  <c r="K250" i="4"/>
  <c r="X249" i="4"/>
  <c r="W249" i="4"/>
  <c r="V249" i="4"/>
  <c r="U249" i="4"/>
  <c r="T249" i="4"/>
  <c r="S249" i="4"/>
  <c r="Q249" i="4"/>
  <c r="O249" i="4"/>
  <c r="M249" i="4"/>
  <c r="K249" i="4"/>
  <c r="X248" i="4"/>
  <c r="W248" i="4"/>
  <c r="V248" i="4"/>
  <c r="U248" i="4"/>
  <c r="T248" i="4"/>
  <c r="S248" i="4"/>
  <c r="Q248" i="4"/>
  <c r="O248" i="4"/>
  <c r="M248" i="4"/>
  <c r="K248" i="4"/>
  <c r="X247" i="4"/>
  <c r="W247" i="4"/>
  <c r="V247" i="4"/>
  <c r="U247" i="4"/>
  <c r="T247" i="4"/>
  <c r="S247" i="4"/>
  <c r="Q247" i="4"/>
  <c r="O247" i="4"/>
  <c r="M247" i="4"/>
  <c r="K247" i="4"/>
  <c r="X246" i="4"/>
  <c r="W246" i="4"/>
  <c r="V246" i="4"/>
  <c r="U246" i="4"/>
  <c r="T246" i="4"/>
  <c r="S246" i="4"/>
  <c r="Q246" i="4"/>
  <c r="O246" i="4"/>
  <c r="M246" i="4"/>
  <c r="K246" i="4"/>
  <c r="X245" i="4"/>
  <c r="W245" i="4"/>
  <c r="V245" i="4"/>
  <c r="U245" i="4"/>
  <c r="T245" i="4"/>
  <c r="S245" i="4"/>
  <c r="Q245" i="4"/>
  <c r="O245" i="4"/>
  <c r="M245" i="4"/>
  <c r="K245" i="4"/>
  <c r="X244" i="4"/>
  <c r="W244" i="4"/>
  <c r="V244" i="4"/>
  <c r="U244" i="4"/>
  <c r="T244" i="4"/>
  <c r="S244" i="4"/>
  <c r="Q244" i="4"/>
  <c r="O244" i="4"/>
  <c r="M244" i="4"/>
  <c r="K244" i="4"/>
  <c r="X243" i="4"/>
  <c r="W243" i="4"/>
  <c r="V243" i="4"/>
  <c r="U243" i="4"/>
  <c r="T243" i="4"/>
  <c r="S243" i="4"/>
  <c r="Q243" i="4"/>
  <c r="O243" i="4"/>
  <c r="M243" i="4"/>
  <c r="K243" i="4"/>
  <c r="X242" i="4"/>
  <c r="W242" i="4"/>
  <c r="V242" i="4"/>
  <c r="U242" i="4"/>
  <c r="T242" i="4"/>
  <c r="S242" i="4"/>
  <c r="Q242" i="4"/>
  <c r="O242" i="4"/>
  <c r="M242" i="4"/>
  <c r="K242" i="4"/>
  <c r="X241" i="4"/>
  <c r="W241" i="4"/>
  <c r="V241" i="4"/>
  <c r="U241" i="4"/>
  <c r="T241" i="4"/>
  <c r="S241" i="4"/>
  <c r="Q241" i="4"/>
  <c r="O241" i="4"/>
  <c r="M241" i="4"/>
  <c r="K241" i="4"/>
  <c r="X240" i="4"/>
  <c r="W240" i="4"/>
  <c r="V240" i="4"/>
  <c r="U240" i="4"/>
  <c r="T240" i="4"/>
  <c r="S240" i="4"/>
  <c r="Q240" i="4"/>
  <c r="O240" i="4"/>
  <c r="M240" i="4"/>
  <c r="K240" i="4"/>
  <c r="X239" i="4"/>
  <c r="W239" i="4"/>
  <c r="V239" i="4"/>
  <c r="U239" i="4"/>
  <c r="T239" i="4"/>
  <c r="S239" i="4"/>
  <c r="Q239" i="4"/>
  <c r="O239" i="4"/>
  <c r="M239" i="4"/>
  <c r="K239" i="4"/>
  <c r="X238" i="4"/>
  <c r="W238" i="4"/>
  <c r="V238" i="4"/>
  <c r="U238" i="4"/>
  <c r="T238" i="4"/>
  <c r="S238" i="4"/>
  <c r="Q238" i="4"/>
  <c r="O238" i="4"/>
  <c r="M238" i="4"/>
  <c r="K238" i="4"/>
  <c r="X237" i="4"/>
  <c r="W237" i="4"/>
  <c r="V237" i="4"/>
  <c r="U237" i="4"/>
  <c r="T237" i="4"/>
  <c r="S237" i="4"/>
  <c r="Q237" i="4"/>
  <c r="O237" i="4"/>
  <c r="M237" i="4"/>
  <c r="K237" i="4"/>
  <c r="X236" i="4"/>
  <c r="W236" i="4"/>
  <c r="V236" i="4"/>
  <c r="U236" i="4"/>
  <c r="T236" i="4"/>
  <c r="S236" i="4"/>
  <c r="Q236" i="4"/>
  <c r="O236" i="4"/>
  <c r="M236" i="4"/>
  <c r="K236" i="4"/>
  <c r="X235" i="4"/>
  <c r="W235" i="4"/>
  <c r="V235" i="4"/>
  <c r="U235" i="4"/>
  <c r="T235" i="4"/>
  <c r="S235" i="4"/>
  <c r="Q235" i="4"/>
  <c r="O235" i="4"/>
  <c r="M235" i="4"/>
  <c r="K235" i="4"/>
  <c r="X234" i="4"/>
  <c r="W234" i="4"/>
  <c r="V234" i="4"/>
  <c r="U234" i="4"/>
  <c r="T234" i="4"/>
  <c r="S234" i="4"/>
  <c r="Q234" i="4"/>
  <c r="O234" i="4"/>
  <c r="M234" i="4"/>
  <c r="K234" i="4"/>
  <c r="X233" i="4"/>
  <c r="W233" i="4"/>
  <c r="V233" i="4"/>
  <c r="U233" i="4"/>
  <c r="T233" i="4"/>
  <c r="S233" i="4"/>
  <c r="Q233" i="4"/>
  <c r="O233" i="4"/>
  <c r="M233" i="4"/>
  <c r="K233" i="4"/>
  <c r="X232" i="4"/>
  <c r="W232" i="4"/>
  <c r="V232" i="4"/>
  <c r="U232" i="4"/>
  <c r="T232" i="4"/>
  <c r="S232" i="4"/>
  <c r="Q232" i="4"/>
  <c r="O232" i="4"/>
  <c r="M232" i="4"/>
  <c r="K232" i="4"/>
  <c r="X231" i="4"/>
  <c r="W231" i="4"/>
  <c r="V231" i="4"/>
  <c r="U231" i="4"/>
  <c r="T231" i="4"/>
  <c r="S231" i="4"/>
  <c r="Q231" i="4"/>
  <c r="O231" i="4"/>
  <c r="M231" i="4"/>
  <c r="K231" i="4"/>
  <c r="X230" i="4"/>
  <c r="W230" i="4"/>
  <c r="V230" i="4"/>
  <c r="U230" i="4"/>
  <c r="T230" i="4"/>
  <c r="S230" i="4"/>
  <c r="Q230" i="4"/>
  <c r="O230" i="4"/>
  <c r="M230" i="4"/>
  <c r="K230" i="4"/>
  <c r="X229" i="4"/>
  <c r="W229" i="4"/>
  <c r="V229" i="4"/>
  <c r="U229" i="4"/>
  <c r="T229" i="4"/>
  <c r="S229" i="4"/>
  <c r="Q229" i="4"/>
  <c r="O229" i="4"/>
  <c r="M229" i="4"/>
  <c r="K229" i="4"/>
  <c r="X228" i="4"/>
  <c r="W228" i="4"/>
  <c r="V228" i="4"/>
  <c r="U228" i="4"/>
  <c r="T228" i="4"/>
  <c r="S228" i="4"/>
  <c r="Q228" i="4"/>
  <c r="O228" i="4"/>
  <c r="M228" i="4"/>
  <c r="K228" i="4"/>
  <c r="X227" i="4"/>
  <c r="W227" i="4"/>
  <c r="V227" i="4"/>
  <c r="U227" i="4"/>
  <c r="T227" i="4"/>
  <c r="S227" i="4"/>
  <c r="Q227" i="4"/>
  <c r="O227" i="4"/>
  <c r="M227" i="4"/>
  <c r="K227" i="4"/>
  <c r="X226" i="4"/>
  <c r="W226" i="4"/>
  <c r="V226" i="4"/>
  <c r="U226" i="4"/>
  <c r="T226" i="4"/>
  <c r="S226" i="4"/>
  <c r="Q226" i="4"/>
  <c r="O226" i="4"/>
  <c r="M226" i="4"/>
  <c r="K226" i="4"/>
  <c r="X225" i="4"/>
  <c r="W225" i="4"/>
  <c r="V225" i="4"/>
  <c r="U225" i="4"/>
  <c r="T225" i="4"/>
  <c r="S225" i="4"/>
  <c r="Q225" i="4"/>
  <c r="O225" i="4"/>
  <c r="M225" i="4"/>
  <c r="K225" i="4"/>
  <c r="X224" i="4"/>
  <c r="W224" i="4"/>
  <c r="V224" i="4"/>
  <c r="U224" i="4"/>
  <c r="T224" i="4"/>
  <c r="S224" i="4"/>
  <c r="Q224" i="4"/>
  <c r="O224" i="4"/>
  <c r="M224" i="4"/>
  <c r="K224" i="4"/>
  <c r="X223" i="4"/>
  <c r="W223" i="4"/>
  <c r="V223" i="4"/>
  <c r="U223" i="4"/>
  <c r="T223" i="4"/>
  <c r="S223" i="4"/>
  <c r="Q223" i="4"/>
  <c r="O223" i="4"/>
  <c r="M223" i="4"/>
  <c r="K223" i="4"/>
  <c r="X222" i="4"/>
  <c r="W222" i="4"/>
  <c r="V222" i="4"/>
  <c r="U222" i="4"/>
  <c r="T222" i="4"/>
  <c r="S222" i="4"/>
  <c r="Q222" i="4"/>
  <c r="O222" i="4"/>
  <c r="M222" i="4"/>
  <c r="K222" i="4"/>
  <c r="X221" i="4"/>
  <c r="W221" i="4"/>
  <c r="V221" i="4"/>
  <c r="U221" i="4"/>
  <c r="T221" i="4"/>
  <c r="S221" i="4"/>
  <c r="Q221" i="4"/>
  <c r="O221" i="4"/>
  <c r="M221" i="4"/>
  <c r="K221" i="4"/>
  <c r="X220" i="4"/>
  <c r="W220" i="4"/>
  <c r="V220" i="4"/>
  <c r="U220" i="4"/>
  <c r="T220" i="4"/>
  <c r="S220" i="4"/>
  <c r="Q220" i="4"/>
  <c r="O220" i="4"/>
  <c r="M220" i="4"/>
  <c r="K220" i="4"/>
  <c r="X219" i="4"/>
  <c r="W219" i="4"/>
  <c r="V219" i="4"/>
  <c r="U219" i="4"/>
  <c r="T219" i="4"/>
  <c r="S219" i="4"/>
  <c r="Q219" i="4"/>
  <c r="O219" i="4"/>
  <c r="M219" i="4"/>
  <c r="K219" i="4"/>
  <c r="X218" i="4"/>
  <c r="W218" i="4"/>
  <c r="V218" i="4"/>
  <c r="U218" i="4"/>
  <c r="T218" i="4"/>
  <c r="S218" i="4"/>
  <c r="Q218" i="4"/>
  <c r="O218" i="4"/>
  <c r="M218" i="4"/>
  <c r="K218" i="4"/>
  <c r="X217" i="4"/>
  <c r="W217" i="4"/>
  <c r="V217" i="4"/>
  <c r="U217" i="4"/>
  <c r="T217" i="4"/>
  <c r="S217" i="4"/>
  <c r="Q217" i="4"/>
  <c r="O217" i="4"/>
  <c r="M217" i="4"/>
  <c r="K217" i="4"/>
  <c r="X216" i="4"/>
  <c r="W216" i="4"/>
  <c r="V216" i="4"/>
  <c r="U216" i="4"/>
  <c r="T216" i="4"/>
  <c r="S216" i="4"/>
  <c r="Q216" i="4"/>
  <c r="O216" i="4"/>
  <c r="M216" i="4"/>
  <c r="K216" i="4"/>
  <c r="X215" i="4"/>
  <c r="W215" i="4"/>
  <c r="V215" i="4"/>
  <c r="U215" i="4"/>
  <c r="T215" i="4"/>
  <c r="S215" i="4"/>
  <c r="Q215" i="4"/>
  <c r="O215" i="4"/>
  <c r="M215" i="4"/>
  <c r="K215" i="4"/>
  <c r="X214" i="4"/>
  <c r="W214" i="4"/>
  <c r="V214" i="4"/>
  <c r="U214" i="4"/>
  <c r="T214" i="4"/>
  <c r="S214" i="4"/>
  <c r="Q214" i="4"/>
  <c r="O214" i="4"/>
  <c r="M214" i="4"/>
  <c r="K214" i="4"/>
  <c r="X213" i="4"/>
  <c r="W213" i="4"/>
  <c r="V213" i="4"/>
  <c r="U213" i="4"/>
  <c r="T213" i="4"/>
  <c r="S213" i="4"/>
  <c r="Q213" i="4"/>
  <c r="O213" i="4"/>
  <c r="M213" i="4"/>
  <c r="K213" i="4"/>
  <c r="X212" i="4"/>
  <c r="W212" i="4"/>
  <c r="V212" i="4"/>
  <c r="U212" i="4"/>
  <c r="T212" i="4"/>
  <c r="S212" i="4"/>
  <c r="Q212" i="4"/>
  <c r="O212" i="4"/>
  <c r="M212" i="4"/>
  <c r="K212" i="4"/>
  <c r="X211" i="4"/>
  <c r="W211" i="4"/>
  <c r="V211" i="4"/>
  <c r="U211" i="4"/>
  <c r="T211" i="4"/>
  <c r="S211" i="4"/>
  <c r="Q211" i="4"/>
  <c r="O211" i="4"/>
  <c r="M211" i="4"/>
  <c r="K211" i="4"/>
  <c r="X210" i="4"/>
  <c r="W210" i="4"/>
  <c r="V210" i="4"/>
  <c r="U210" i="4"/>
  <c r="T210" i="4"/>
  <c r="S210" i="4"/>
  <c r="Q210" i="4"/>
  <c r="O210" i="4"/>
  <c r="M210" i="4"/>
  <c r="K210" i="4"/>
  <c r="X209" i="4"/>
  <c r="W209" i="4"/>
  <c r="V209" i="4"/>
  <c r="U209" i="4"/>
  <c r="T209" i="4"/>
  <c r="S209" i="4"/>
  <c r="Q209" i="4"/>
  <c r="O209" i="4"/>
  <c r="M209" i="4"/>
  <c r="K209" i="4"/>
  <c r="X208" i="4"/>
  <c r="W208" i="4"/>
  <c r="V208" i="4"/>
  <c r="U208" i="4"/>
  <c r="T208" i="4"/>
  <c r="S208" i="4"/>
  <c r="Q208" i="4"/>
  <c r="O208" i="4"/>
  <c r="M208" i="4"/>
  <c r="K208" i="4"/>
  <c r="X207" i="4"/>
  <c r="W207" i="4"/>
  <c r="V207" i="4"/>
  <c r="U207" i="4"/>
  <c r="T207" i="4"/>
  <c r="S207" i="4"/>
  <c r="Q207" i="4"/>
  <c r="O207" i="4"/>
  <c r="M207" i="4"/>
  <c r="K207" i="4"/>
  <c r="X206" i="4"/>
  <c r="W206" i="4"/>
  <c r="V206" i="4"/>
  <c r="U206" i="4"/>
  <c r="T206" i="4"/>
  <c r="S206" i="4"/>
  <c r="Q206" i="4"/>
  <c r="O206" i="4"/>
  <c r="M206" i="4"/>
  <c r="K206" i="4"/>
  <c r="X205" i="4"/>
  <c r="W205" i="4"/>
  <c r="V205" i="4"/>
  <c r="U205" i="4"/>
  <c r="T205" i="4"/>
  <c r="S205" i="4"/>
  <c r="Q205" i="4"/>
  <c r="O205" i="4"/>
  <c r="M205" i="4"/>
  <c r="K205" i="4"/>
  <c r="X204" i="4"/>
  <c r="W204" i="4"/>
  <c r="V204" i="4"/>
  <c r="U204" i="4"/>
  <c r="T204" i="4"/>
  <c r="S204" i="4"/>
  <c r="Q204" i="4"/>
  <c r="O204" i="4"/>
  <c r="M204" i="4"/>
  <c r="K204" i="4"/>
  <c r="X203" i="4"/>
  <c r="W203" i="4"/>
  <c r="V203" i="4"/>
  <c r="U203" i="4"/>
  <c r="T203" i="4"/>
  <c r="S203" i="4"/>
  <c r="Q203" i="4"/>
  <c r="O203" i="4"/>
  <c r="M203" i="4"/>
  <c r="K203" i="4"/>
  <c r="X202" i="4"/>
  <c r="W202" i="4"/>
  <c r="V202" i="4"/>
  <c r="U202" i="4"/>
  <c r="T202" i="4"/>
  <c r="S202" i="4"/>
  <c r="Q202" i="4"/>
  <c r="O202" i="4"/>
  <c r="M202" i="4"/>
  <c r="K202" i="4"/>
  <c r="X201" i="4"/>
  <c r="W201" i="4"/>
  <c r="V201" i="4"/>
  <c r="U201" i="4"/>
  <c r="T201" i="4"/>
  <c r="S201" i="4"/>
  <c r="Q201" i="4"/>
  <c r="O201" i="4"/>
  <c r="M201" i="4"/>
  <c r="K201" i="4"/>
  <c r="X200" i="4"/>
  <c r="W200" i="4"/>
  <c r="V200" i="4"/>
  <c r="U200" i="4"/>
  <c r="T200" i="4"/>
  <c r="S200" i="4"/>
  <c r="Q200" i="4"/>
  <c r="O200" i="4"/>
  <c r="M200" i="4"/>
  <c r="K200" i="4"/>
  <c r="X199" i="4"/>
  <c r="W199" i="4"/>
  <c r="V199" i="4"/>
  <c r="U199" i="4"/>
  <c r="T199" i="4"/>
  <c r="S199" i="4"/>
  <c r="Q199" i="4"/>
  <c r="O199" i="4"/>
  <c r="M199" i="4"/>
  <c r="K199" i="4"/>
  <c r="X198" i="4"/>
  <c r="W198" i="4"/>
  <c r="V198" i="4"/>
  <c r="U198" i="4"/>
  <c r="T198" i="4"/>
  <c r="S198" i="4"/>
  <c r="Q198" i="4"/>
  <c r="O198" i="4"/>
  <c r="M198" i="4"/>
  <c r="K198" i="4"/>
  <c r="X197" i="4"/>
  <c r="W197" i="4"/>
  <c r="V197" i="4"/>
  <c r="U197" i="4"/>
  <c r="T197" i="4"/>
  <c r="S197" i="4"/>
  <c r="Q197" i="4"/>
  <c r="O197" i="4"/>
  <c r="M197" i="4"/>
  <c r="K197" i="4"/>
  <c r="X196" i="4"/>
  <c r="W196" i="4"/>
  <c r="V196" i="4"/>
  <c r="U196" i="4"/>
  <c r="T196" i="4"/>
  <c r="S196" i="4"/>
  <c r="Q196" i="4"/>
  <c r="O196" i="4"/>
  <c r="M196" i="4"/>
  <c r="K196" i="4"/>
  <c r="X195" i="4"/>
  <c r="W195" i="4"/>
  <c r="V195" i="4"/>
  <c r="U195" i="4"/>
  <c r="T195" i="4"/>
  <c r="S195" i="4"/>
  <c r="Q195" i="4"/>
  <c r="O195" i="4"/>
  <c r="M195" i="4"/>
  <c r="K195" i="4"/>
  <c r="X194" i="4"/>
  <c r="W194" i="4"/>
  <c r="V194" i="4"/>
  <c r="U194" i="4"/>
  <c r="T194" i="4"/>
  <c r="S194" i="4"/>
  <c r="Q194" i="4"/>
  <c r="O194" i="4"/>
  <c r="M194" i="4"/>
  <c r="K194" i="4"/>
  <c r="X193" i="4"/>
  <c r="W193" i="4"/>
  <c r="V193" i="4"/>
  <c r="U193" i="4"/>
  <c r="T193" i="4"/>
  <c r="S193" i="4"/>
  <c r="Q193" i="4"/>
  <c r="O193" i="4"/>
  <c r="M193" i="4"/>
  <c r="K193" i="4"/>
  <c r="X192" i="4"/>
  <c r="W192" i="4"/>
  <c r="V192" i="4"/>
  <c r="U192" i="4"/>
  <c r="T192" i="4"/>
  <c r="S192" i="4"/>
  <c r="Q192" i="4"/>
  <c r="O192" i="4"/>
  <c r="M192" i="4"/>
  <c r="K192" i="4"/>
  <c r="X191" i="4"/>
  <c r="W191" i="4"/>
  <c r="V191" i="4"/>
  <c r="U191" i="4"/>
  <c r="T191" i="4"/>
  <c r="S191" i="4"/>
  <c r="Q191" i="4"/>
  <c r="O191" i="4"/>
  <c r="M191" i="4"/>
  <c r="K191" i="4"/>
  <c r="X190" i="4"/>
  <c r="W190" i="4"/>
  <c r="V190" i="4"/>
  <c r="U190" i="4"/>
  <c r="T190" i="4"/>
  <c r="S190" i="4"/>
  <c r="Q190" i="4"/>
  <c r="O190" i="4"/>
  <c r="M190" i="4"/>
  <c r="K190" i="4"/>
  <c r="X189" i="4"/>
  <c r="W189" i="4"/>
  <c r="V189" i="4"/>
  <c r="U189" i="4"/>
  <c r="T189" i="4"/>
  <c r="S189" i="4"/>
  <c r="Q189" i="4"/>
  <c r="O189" i="4"/>
  <c r="M189" i="4"/>
  <c r="K189" i="4"/>
  <c r="X188" i="4"/>
  <c r="W188" i="4"/>
  <c r="V188" i="4"/>
  <c r="U188" i="4"/>
  <c r="T188" i="4"/>
  <c r="S188" i="4"/>
  <c r="Q188" i="4"/>
  <c r="O188" i="4"/>
  <c r="M188" i="4"/>
  <c r="K188" i="4"/>
  <c r="X187" i="4"/>
  <c r="W187" i="4"/>
  <c r="V187" i="4"/>
  <c r="U187" i="4"/>
  <c r="T187" i="4"/>
  <c r="S187" i="4"/>
  <c r="Q187" i="4"/>
  <c r="O187" i="4"/>
  <c r="M187" i="4"/>
  <c r="K187" i="4"/>
  <c r="X186" i="4"/>
  <c r="W186" i="4"/>
  <c r="V186" i="4"/>
  <c r="U186" i="4"/>
  <c r="T186" i="4"/>
  <c r="S186" i="4"/>
  <c r="Q186" i="4"/>
  <c r="O186" i="4"/>
  <c r="M186" i="4"/>
  <c r="K186" i="4"/>
  <c r="X185" i="4"/>
  <c r="W185" i="4"/>
  <c r="V185" i="4"/>
  <c r="U185" i="4"/>
  <c r="T185" i="4"/>
  <c r="S185" i="4"/>
  <c r="Q185" i="4"/>
  <c r="O185" i="4"/>
  <c r="M185" i="4"/>
  <c r="K185" i="4"/>
  <c r="X184" i="4"/>
  <c r="W184" i="4"/>
  <c r="V184" i="4"/>
  <c r="U184" i="4"/>
  <c r="T184" i="4"/>
  <c r="S184" i="4"/>
  <c r="Q184" i="4"/>
  <c r="O184" i="4"/>
  <c r="M184" i="4"/>
  <c r="K184" i="4"/>
  <c r="X183" i="4"/>
  <c r="W183" i="4"/>
  <c r="V183" i="4"/>
  <c r="U183" i="4"/>
  <c r="T183" i="4"/>
  <c r="S183" i="4"/>
  <c r="Q183" i="4"/>
  <c r="O183" i="4"/>
  <c r="M183" i="4"/>
  <c r="K183" i="4"/>
  <c r="X182" i="4"/>
  <c r="W182" i="4"/>
  <c r="V182" i="4"/>
  <c r="U182" i="4"/>
  <c r="T182" i="4"/>
  <c r="S182" i="4"/>
  <c r="Q182" i="4"/>
  <c r="O182" i="4"/>
  <c r="M182" i="4"/>
  <c r="K182" i="4"/>
  <c r="X181" i="4"/>
  <c r="W181" i="4"/>
  <c r="V181" i="4"/>
  <c r="U181" i="4"/>
  <c r="T181" i="4"/>
  <c r="S181" i="4"/>
  <c r="Q181" i="4"/>
  <c r="O181" i="4"/>
  <c r="M181" i="4"/>
  <c r="K181" i="4"/>
  <c r="X180" i="4"/>
  <c r="W180" i="4"/>
  <c r="V180" i="4"/>
  <c r="U180" i="4"/>
  <c r="T180" i="4"/>
  <c r="S180" i="4"/>
  <c r="Q180" i="4"/>
  <c r="O180" i="4"/>
  <c r="M180" i="4"/>
  <c r="K180" i="4"/>
  <c r="X179" i="4"/>
  <c r="W179" i="4"/>
  <c r="V179" i="4"/>
  <c r="U179" i="4"/>
  <c r="T179" i="4"/>
  <c r="S179" i="4"/>
  <c r="Q179" i="4"/>
  <c r="O179" i="4"/>
  <c r="M179" i="4"/>
  <c r="K179" i="4"/>
  <c r="X178" i="4"/>
  <c r="W178" i="4"/>
  <c r="V178" i="4"/>
  <c r="U178" i="4"/>
  <c r="T178" i="4"/>
  <c r="S178" i="4"/>
  <c r="Q178" i="4"/>
  <c r="O178" i="4"/>
  <c r="M178" i="4"/>
  <c r="K178" i="4"/>
  <c r="X177" i="4"/>
  <c r="W177" i="4"/>
  <c r="V177" i="4"/>
  <c r="U177" i="4"/>
  <c r="T177" i="4"/>
  <c r="S177" i="4"/>
  <c r="Q177" i="4"/>
  <c r="O177" i="4"/>
  <c r="M177" i="4"/>
  <c r="K177" i="4"/>
  <c r="X176" i="4"/>
  <c r="W176" i="4"/>
  <c r="V176" i="4"/>
  <c r="U176" i="4"/>
  <c r="T176" i="4"/>
  <c r="S176" i="4"/>
  <c r="Q176" i="4"/>
  <c r="O176" i="4"/>
  <c r="M176" i="4"/>
  <c r="K176" i="4"/>
  <c r="X175" i="4"/>
  <c r="W175" i="4"/>
  <c r="V175" i="4"/>
  <c r="U175" i="4"/>
  <c r="T175" i="4"/>
  <c r="S175" i="4"/>
  <c r="Q175" i="4"/>
  <c r="O175" i="4"/>
  <c r="M175" i="4"/>
  <c r="K175" i="4"/>
  <c r="X174" i="4"/>
  <c r="W174" i="4"/>
  <c r="V174" i="4"/>
  <c r="U174" i="4"/>
  <c r="T174" i="4"/>
  <c r="S174" i="4"/>
  <c r="Q174" i="4"/>
  <c r="O174" i="4"/>
  <c r="M174" i="4"/>
  <c r="K174" i="4"/>
  <c r="X173" i="4"/>
  <c r="W173" i="4"/>
  <c r="V173" i="4"/>
  <c r="U173" i="4"/>
  <c r="T173" i="4"/>
  <c r="S173" i="4"/>
  <c r="Q173" i="4"/>
  <c r="O173" i="4"/>
  <c r="M173" i="4"/>
  <c r="K173" i="4"/>
  <c r="X172" i="4"/>
  <c r="W172" i="4"/>
  <c r="V172" i="4"/>
  <c r="U172" i="4"/>
  <c r="T172" i="4"/>
  <c r="S172" i="4"/>
  <c r="Q172" i="4"/>
  <c r="O172" i="4"/>
  <c r="M172" i="4"/>
  <c r="K172" i="4"/>
  <c r="X171" i="4"/>
  <c r="W171" i="4"/>
  <c r="V171" i="4"/>
  <c r="U171" i="4"/>
  <c r="T171" i="4"/>
  <c r="S171" i="4"/>
  <c r="Q171" i="4"/>
  <c r="O171" i="4"/>
  <c r="M171" i="4"/>
  <c r="K171" i="4"/>
  <c r="X170" i="4"/>
  <c r="W170" i="4"/>
  <c r="V170" i="4"/>
  <c r="U170" i="4"/>
  <c r="T170" i="4"/>
  <c r="S170" i="4"/>
  <c r="Q170" i="4"/>
  <c r="O170" i="4"/>
  <c r="M170" i="4"/>
  <c r="K170" i="4"/>
  <c r="X169" i="4"/>
  <c r="W169" i="4"/>
  <c r="V169" i="4"/>
  <c r="U169" i="4"/>
  <c r="T169" i="4"/>
  <c r="S169" i="4"/>
  <c r="Q169" i="4"/>
  <c r="O169" i="4"/>
  <c r="M169" i="4"/>
  <c r="K169" i="4"/>
  <c r="X168" i="4"/>
  <c r="W168" i="4"/>
  <c r="V168" i="4"/>
  <c r="U168" i="4"/>
  <c r="T168" i="4"/>
  <c r="S168" i="4"/>
  <c r="Q168" i="4"/>
  <c r="O168" i="4"/>
  <c r="M168" i="4"/>
  <c r="K168" i="4"/>
  <c r="X167" i="4"/>
  <c r="W167" i="4"/>
  <c r="V167" i="4"/>
  <c r="U167" i="4"/>
  <c r="T167" i="4"/>
  <c r="S167" i="4"/>
  <c r="Q167" i="4"/>
  <c r="O167" i="4"/>
  <c r="M167" i="4"/>
  <c r="K167" i="4"/>
  <c r="X166" i="4"/>
  <c r="W166" i="4"/>
  <c r="V166" i="4"/>
  <c r="U166" i="4"/>
  <c r="T166" i="4"/>
  <c r="S166" i="4"/>
  <c r="Q166" i="4"/>
  <c r="O166" i="4"/>
  <c r="M166" i="4"/>
  <c r="K166" i="4"/>
  <c r="X165" i="4"/>
  <c r="W165" i="4"/>
  <c r="V165" i="4"/>
  <c r="U165" i="4"/>
  <c r="T165" i="4"/>
  <c r="S165" i="4"/>
  <c r="Q165" i="4"/>
  <c r="O165" i="4"/>
  <c r="M165" i="4"/>
  <c r="K165" i="4"/>
  <c r="X164" i="4"/>
  <c r="W164" i="4"/>
  <c r="V164" i="4"/>
  <c r="U164" i="4"/>
  <c r="T164" i="4"/>
  <c r="S164" i="4"/>
  <c r="Q164" i="4"/>
  <c r="O164" i="4"/>
  <c r="M164" i="4"/>
  <c r="K164" i="4"/>
  <c r="X163" i="4"/>
  <c r="W163" i="4"/>
  <c r="V163" i="4"/>
  <c r="U163" i="4"/>
  <c r="T163" i="4"/>
  <c r="S163" i="4"/>
  <c r="Q163" i="4"/>
  <c r="O163" i="4"/>
  <c r="M163" i="4"/>
  <c r="K163" i="4"/>
  <c r="X162" i="4"/>
  <c r="W162" i="4"/>
  <c r="V162" i="4"/>
  <c r="U162" i="4"/>
  <c r="T162" i="4"/>
  <c r="S162" i="4"/>
  <c r="Q162" i="4"/>
  <c r="O162" i="4"/>
  <c r="M162" i="4"/>
  <c r="K162" i="4"/>
  <c r="X161" i="4"/>
  <c r="W161" i="4"/>
  <c r="V161" i="4"/>
  <c r="U161" i="4"/>
  <c r="T161" i="4"/>
  <c r="S161" i="4"/>
  <c r="Q161" i="4"/>
  <c r="O161" i="4"/>
  <c r="M161" i="4"/>
  <c r="K161" i="4"/>
  <c r="X160" i="4"/>
  <c r="W160" i="4"/>
  <c r="V160" i="4"/>
  <c r="U160" i="4"/>
  <c r="T160" i="4"/>
  <c r="S160" i="4"/>
  <c r="Q160" i="4"/>
  <c r="O160" i="4"/>
  <c r="M160" i="4"/>
  <c r="K160" i="4"/>
  <c r="X159" i="4"/>
  <c r="W159" i="4"/>
  <c r="V159" i="4"/>
  <c r="U159" i="4"/>
  <c r="T159" i="4"/>
  <c r="S159" i="4"/>
  <c r="Q159" i="4"/>
  <c r="O159" i="4"/>
  <c r="M159" i="4"/>
  <c r="K159" i="4"/>
  <c r="X158" i="4"/>
  <c r="W158" i="4"/>
  <c r="V158" i="4"/>
  <c r="U158" i="4"/>
  <c r="T158" i="4"/>
  <c r="S158" i="4"/>
  <c r="Q158" i="4"/>
  <c r="O158" i="4"/>
  <c r="M158" i="4"/>
  <c r="K158" i="4"/>
  <c r="X157" i="4"/>
  <c r="W157" i="4"/>
  <c r="V157" i="4"/>
  <c r="U157" i="4"/>
  <c r="T157" i="4"/>
  <c r="S157" i="4"/>
  <c r="Q157" i="4"/>
  <c r="O157" i="4"/>
  <c r="M157" i="4"/>
  <c r="K157" i="4"/>
  <c r="X156" i="4"/>
  <c r="W156" i="4"/>
  <c r="V156" i="4"/>
  <c r="U156" i="4"/>
  <c r="T156" i="4"/>
  <c r="S156" i="4"/>
  <c r="Q156" i="4"/>
  <c r="O156" i="4"/>
  <c r="M156" i="4"/>
  <c r="K156" i="4"/>
  <c r="X155" i="4"/>
  <c r="W155" i="4"/>
  <c r="V155" i="4"/>
  <c r="U155" i="4"/>
  <c r="T155" i="4"/>
  <c r="S155" i="4"/>
  <c r="Q155" i="4"/>
  <c r="O155" i="4"/>
  <c r="M155" i="4"/>
  <c r="K155" i="4"/>
  <c r="X154" i="4"/>
  <c r="W154" i="4"/>
  <c r="V154" i="4"/>
  <c r="U154" i="4"/>
  <c r="T154" i="4"/>
  <c r="S154" i="4"/>
  <c r="Q154" i="4"/>
  <c r="O154" i="4"/>
  <c r="M154" i="4"/>
  <c r="K154" i="4"/>
  <c r="X153" i="4"/>
  <c r="W153" i="4"/>
  <c r="V153" i="4"/>
  <c r="U153" i="4"/>
  <c r="T153" i="4"/>
  <c r="S153" i="4"/>
  <c r="Q153" i="4"/>
  <c r="O153" i="4"/>
  <c r="M153" i="4"/>
  <c r="K153" i="4"/>
  <c r="X152" i="4"/>
  <c r="W152" i="4"/>
  <c r="V152" i="4"/>
  <c r="U152" i="4"/>
  <c r="T152" i="4"/>
  <c r="S152" i="4"/>
  <c r="Q152" i="4"/>
  <c r="O152" i="4"/>
  <c r="M152" i="4"/>
  <c r="K152" i="4"/>
  <c r="X151" i="4"/>
  <c r="W151" i="4"/>
  <c r="V151" i="4"/>
  <c r="U151" i="4"/>
  <c r="T151" i="4"/>
  <c r="S151" i="4"/>
  <c r="Q151" i="4"/>
  <c r="O151" i="4"/>
  <c r="M151" i="4"/>
  <c r="K151" i="4"/>
  <c r="X150" i="4"/>
  <c r="W150" i="4"/>
  <c r="V150" i="4"/>
  <c r="U150" i="4"/>
  <c r="T150" i="4"/>
  <c r="S150" i="4"/>
  <c r="Q150" i="4"/>
  <c r="O150" i="4"/>
  <c r="M150" i="4"/>
  <c r="K150" i="4"/>
  <c r="X149" i="4"/>
  <c r="W149" i="4"/>
  <c r="V149" i="4"/>
  <c r="U149" i="4"/>
  <c r="T149" i="4"/>
  <c r="S149" i="4"/>
  <c r="Q149" i="4"/>
  <c r="O149" i="4"/>
  <c r="M149" i="4"/>
  <c r="K149" i="4"/>
  <c r="X148" i="4"/>
  <c r="W148" i="4"/>
  <c r="V148" i="4"/>
  <c r="U148" i="4"/>
  <c r="T148" i="4"/>
  <c r="S148" i="4"/>
  <c r="Q148" i="4"/>
  <c r="O148" i="4"/>
  <c r="M148" i="4"/>
  <c r="K148" i="4"/>
  <c r="X147" i="4"/>
  <c r="W147" i="4"/>
  <c r="V147" i="4"/>
  <c r="U147" i="4"/>
  <c r="T147" i="4"/>
  <c r="S147" i="4"/>
  <c r="Q147" i="4"/>
  <c r="O147" i="4"/>
  <c r="M147" i="4"/>
  <c r="K147" i="4"/>
  <c r="X146" i="4"/>
  <c r="W146" i="4"/>
  <c r="V146" i="4"/>
  <c r="U146" i="4"/>
  <c r="T146" i="4"/>
  <c r="S146" i="4"/>
  <c r="Q146" i="4"/>
  <c r="O146" i="4"/>
  <c r="M146" i="4"/>
  <c r="K146" i="4"/>
  <c r="X145" i="4"/>
  <c r="W145" i="4"/>
  <c r="V145" i="4"/>
  <c r="U145" i="4"/>
  <c r="T145" i="4"/>
  <c r="S145" i="4"/>
  <c r="Q145" i="4"/>
  <c r="O145" i="4"/>
  <c r="M145" i="4"/>
  <c r="K145" i="4"/>
  <c r="X144" i="4"/>
  <c r="W144" i="4"/>
  <c r="V144" i="4"/>
  <c r="U144" i="4"/>
  <c r="T144" i="4"/>
  <c r="S144" i="4"/>
  <c r="Q144" i="4"/>
  <c r="O144" i="4"/>
  <c r="M144" i="4"/>
  <c r="K144" i="4"/>
  <c r="X143" i="4"/>
  <c r="W143" i="4"/>
  <c r="V143" i="4"/>
  <c r="U143" i="4"/>
  <c r="T143" i="4"/>
  <c r="S143" i="4"/>
  <c r="Q143" i="4"/>
  <c r="O143" i="4"/>
  <c r="M143" i="4"/>
  <c r="K143" i="4"/>
  <c r="X142" i="4"/>
  <c r="W142" i="4"/>
  <c r="V142" i="4"/>
  <c r="U142" i="4"/>
  <c r="T142" i="4"/>
  <c r="S142" i="4"/>
  <c r="Q142" i="4"/>
  <c r="O142" i="4"/>
  <c r="M142" i="4"/>
  <c r="K142" i="4"/>
  <c r="X141" i="4"/>
  <c r="W141" i="4"/>
  <c r="V141" i="4"/>
  <c r="U141" i="4"/>
  <c r="T141" i="4"/>
  <c r="S141" i="4"/>
  <c r="Q141" i="4"/>
  <c r="O141" i="4"/>
  <c r="M141" i="4"/>
  <c r="K141" i="4"/>
  <c r="X140" i="4"/>
  <c r="W140" i="4"/>
  <c r="V140" i="4"/>
  <c r="U140" i="4"/>
  <c r="T140" i="4"/>
  <c r="S140" i="4"/>
  <c r="Q140" i="4"/>
  <c r="O140" i="4"/>
  <c r="M140" i="4"/>
  <c r="K140" i="4"/>
  <c r="X139" i="4"/>
  <c r="W139" i="4"/>
  <c r="V139" i="4"/>
  <c r="U139" i="4"/>
  <c r="T139" i="4"/>
  <c r="S139" i="4"/>
  <c r="Q139" i="4"/>
  <c r="O139" i="4"/>
  <c r="M139" i="4"/>
  <c r="K139" i="4"/>
  <c r="X138" i="4"/>
  <c r="W138" i="4"/>
  <c r="V138" i="4"/>
  <c r="U138" i="4"/>
  <c r="T138" i="4"/>
  <c r="S138" i="4"/>
  <c r="Q138" i="4"/>
  <c r="O138" i="4"/>
  <c r="M138" i="4"/>
  <c r="K138" i="4"/>
  <c r="X137" i="4"/>
  <c r="W137" i="4"/>
  <c r="V137" i="4"/>
  <c r="U137" i="4"/>
  <c r="T137" i="4"/>
  <c r="S137" i="4"/>
  <c r="Q137" i="4"/>
  <c r="O137" i="4"/>
  <c r="M137" i="4"/>
  <c r="K137" i="4"/>
  <c r="X136" i="4"/>
  <c r="W136" i="4"/>
  <c r="V136" i="4"/>
  <c r="U136" i="4"/>
  <c r="T136" i="4"/>
  <c r="S136" i="4"/>
  <c r="Q136" i="4"/>
  <c r="O136" i="4"/>
  <c r="M136" i="4"/>
  <c r="K136" i="4"/>
  <c r="X135" i="4"/>
  <c r="W135" i="4"/>
  <c r="V135" i="4"/>
  <c r="U135" i="4"/>
  <c r="T135" i="4"/>
  <c r="S135" i="4"/>
  <c r="Q135" i="4"/>
  <c r="O135" i="4"/>
  <c r="M135" i="4"/>
  <c r="K135" i="4"/>
  <c r="X134" i="4"/>
  <c r="W134" i="4"/>
  <c r="V134" i="4"/>
  <c r="U134" i="4"/>
  <c r="T134" i="4"/>
  <c r="S134" i="4"/>
  <c r="Q134" i="4"/>
  <c r="O134" i="4"/>
  <c r="M134" i="4"/>
  <c r="K134" i="4"/>
  <c r="X133" i="4"/>
  <c r="W133" i="4"/>
  <c r="V133" i="4"/>
  <c r="U133" i="4"/>
  <c r="T133" i="4"/>
  <c r="S133" i="4"/>
  <c r="Q133" i="4"/>
  <c r="O133" i="4"/>
  <c r="M133" i="4"/>
  <c r="K133" i="4"/>
  <c r="X132" i="4"/>
  <c r="W132" i="4"/>
  <c r="V132" i="4"/>
  <c r="U132" i="4"/>
  <c r="T132" i="4"/>
  <c r="S132" i="4"/>
  <c r="Q132" i="4"/>
  <c r="O132" i="4"/>
  <c r="M132" i="4"/>
  <c r="K132" i="4"/>
  <c r="X131" i="4"/>
  <c r="W131" i="4"/>
  <c r="V131" i="4"/>
  <c r="U131" i="4"/>
  <c r="T131" i="4"/>
  <c r="S131" i="4"/>
  <c r="Q131" i="4"/>
  <c r="O131" i="4"/>
  <c r="M131" i="4"/>
  <c r="K131" i="4"/>
  <c r="X130" i="4"/>
  <c r="W130" i="4"/>
  <c r="V130" i="4"/>
  <c r="U130" i="4"/>
  <c r="T130" i="4"/>
  <c r="S130" i="4"/>
  <c r="Q130" i="4"/>
  <c r="O130" i="4"/>
  <c r="M130" i="4"/>
  <c r="K130" i="4"/>
  <c r="X129" i="4"/>
  <c r="W129" i="4"/>
  <c r="V129" i="4"/>
  <c r="U129" i="4"/>
  <c r="T129" i="4"/>
  <c r="S129" i="4"/>
  <c r="Q129" i="4"/>
  <c r="O129" i="4"/>
  <c r="M129" i="4"/>
  <c r="K129" i="4"/>
  <c r="X128" i="4"/>
  <c r="W128" i="4"/>
  <c r="V128" i="4"/>
  <c r="U128" i="4"/>
  <c r="T128" i="4"/>
  <c r="S128" i="4"/>
  <c r="Q128" i="4"/>
  <c r="O128" i="4"/>
  <c r="M128" i="4"/>
  <c r="K128" i="4"/>
  <c r="X127" i="4"/>
  <c r="W127" i="4"/>
  <c r="V127" i="4"/>
  <c r="U127" i="4"/>
  <c r="T127" i="4"/>
  <c r="S127" i="4"/>
  <c r="Q127" i="4"/>
  <c r="O127" i="4"/>
  <c r="M127" i="4"/>
  <c r="K127" i="4"/>
  <c r="X126" i="4"/>
  <c r="W126" i="4"/>
  <c r="V126" i="4"/>
  <c r="U126" i="4"/>
  <c r="T126" i="4"/>
  <c r="S126" i="4"/>
  <c r="Q126" i="4"/>
  <c r="O126" i="4"/>
  <c r="M126" i="4"/>
  <c r="K126" i="4"/>
  <c r="X125" i="4"/>
  <c r="W125" i="4"/>
  <c r="V125" i="4"/>
  <c r="U125" i="4"/>
  <c r="T125" i="4"/>
  <c r="S125" i="4"/>
  <c r="Q125" i="4"/>
  <c r="O125" i="4"/>
  <c r="M125" i="4"/>
  <c r="K125" i="4"/>
  <c r="X124" i="4"/>
  <c r="W124" i="4"/>
  <c r="V124" i="4"/>
  <c r="U124" i="4"/>
  <c r="T124" i="4"/>
  <c r="S124" i="4"/>
  <c r="Q124" i="4"/>
  <c r="O124" i="4"/>
  <c r="M124" i="4"/>
  <c r="K124" i="4"/>
  <c r="X123" i="4"/>
  <c r="W123" i="4"/>
  <c r="V123" i="4"/>
  <c r="U123" i="4"/>
  <c r="T123" i="4"/>
  <c r="S123" i="4"/>
  <c r="Q123" i="4"/>
  <c r="O123" i="4"/>
  <c r="M123" i="4"/>
  <c r="K123" i="4"/>
  <c r="X122" i="4"/>
  <c r="W122" i="4"/>
  <c r="V122" i="4"/>
  <c r="U122" i="4"/>
  <c r="T122" i="4"/>
  <c r="S122" i="4"/>
  <c r="Q122" i="4"/>
  <c r="O122" i="4"/>
  <c r="M122" i="4"/>
  <c r="K122" i="4"/>
  <c r="X121" i="4"/>
  <c r="W121" i="4"/>
  <c r="V121" i="4"/>
  <c r="U121" i="4"/>
  <c r="T121" i="4"/>
  <c r="S121" i="4"/>
  <c r="Q121" i="4"/>
  <c r="O121" i="4"/>
  <c r="M121" i="4"/>
  <c r="K121" i="4"/>
  <c r="X120" i="4"/>
  <c r="W120" i="4"/>
  <c r="V120" i="4"/>
  <c r="U120" i="4"/>
  <c r="T120" i="4"/>
  <c r="S120" i="4"/>
  <c r="Q120" i="4"/>
  <c r="O120" i="4"/>
  <c r="M120" i="4"/>
  <c r="K120" i="4"/>
  <c r="X119" i="4"/>
  <c r="W119" i="4"/>
  <c r="V119" i="4"/>
  <c r="U119" i="4"/>
  <c r="T119" i="4"/>
  <c r="S119" i="4"/>
  <c r="Q119" i="4"/>
  <c r="O119" i="4"/>
  <c r="M119" i="4"/>
  <c r="K119" i="4"/>
  <c r="X118" i="4"/>
  <c r="W118" i="4"/>
  <c r="V118" i="4"/>
  <c r="U118" i="4"/>
  <c r="T118" i="4"/>
  <c r="S118" i="4"/>
  <c r="Q118" i="4"/>
  <c r="O118" i="4"/>
  <c r="M118" i="4"/>
  <c r="K118" i="4"/>
  <c r="X117" i="4"/>
  <c r="W117" i="4"/>
  <c r="V117" i="4"/>
  <c r="U117" i="4"/>
  <c r="T117" i="4"/>
  <c r="S117" i="4"/>
  <c r="Q117" i="4"/>
  <c r="O117" i="4"/>
  <c r="M117" i="4"/>
  <c r="K117" i="4"/>
  <c r="X116" i="4"/>
  <c r="W116" i="4"/>
  <c r="V116" i="4"/>
  <c r="U116" i="4"/>
  <c r="T116" i="4"/>
  <c r="S116" i="4"/>
  <c r="Q116" i="4"/>
  <c r="O116" i="4"/>
  <c r="M116" i="4"/>
  <c r="K116" i="4"/>
  <c r="X115" i="4"/>
  <c r="W115" i="4"/>
  <c r="V115" i="4"/>
  <c r="U115" i="4"/>
  <c r="T115" i="4"/>
  <c r="S115" i="4"/>
  <c r="Q115" i="4"/>
  <c r="O115" i="4"/>
  <c r="M115" i="4"/>
  <c r="K115" i="4"/>
  <c r="X114" i="4"/>
  <c r="W114" i="4"/>
  <c r="V114" i="4"/>
  <c r="U114" i="4"/>
  <c r="T114" i="4"/>
  <c r="S114" i="4"/>
  <c r="Q114" i="4"/>
  <c r="O114" i="4"/>
  <c r="M114" i="4"/>
  <c r="K114" i="4"/>
  <c r="X113" i="4"/>
  <c r="W113" i="4"/>
  <c r="V113" i="4"/>
  <c r="U113" i="4"/>
  <c r="T113" i="4"/>
  <c r="S113" i="4"/>
  <c r="Q113" i="4"/>
  <c r="O113" i="4"/>
  <c r="M113" i="4"/>
  <c r="K113" i="4"/>
  <c r="X112" i="4"/>
  <c r="W112" i="4"/>
  <c r="V112" i="4"/>
  <c r="U112" i="4"/>
  <c r="T112" i="4"/>
  <c r="S112" i="4"/>
  <c r="Q112" i="4"/>
  <c r="O112" i="4"/>
  <c r="M112" i="4"/>
  <c r="K112" i="4"/>
  <c r="X111" i="4"/>
  <c r="W111" i="4"/>
  <c r="V111" i="4"/>
  <c r="U111" i="4"/>
  <c r="T111" i="4"/>
  <c r="S111" i="4"/>
  <c r="Q111" i="4"/>
  <c r="O111" i="4"/>
  <c r="M111" i="4"/>
  <c r="K111" i="4"/>
  <c r="X110" i="4"/>
  <c r="W110" i="4"/>
  <c r="V110" i="4"/>
  <c r="U110" i="4"/>
  <c r="T110" i="4"/>
  <c r="S110" i="4"/>
  <c r="Q110" i="4"/>
  <c r="O110" i="4"/>
  <c r="M110" i="4"/>
  <c r="K110" i="4"/>
  <c r="X109" i="4"/>
  <c r="W109" i="4"/>
  <c r="V109" i="4"/>
  <c r="U109" i="4"/>
  <c r="T109" i="4"/>
  <c r="S109" i="4"/>
  <c r="Q109" i="4"/>
  <c r="O109" i="4"/>
  <c r="M109" i="4"/>
  <c r="K109" i="4"/>
  <c r="X108" i="4"/>
  <c r="W108" i="4"/>
  <c r="V108" i="4"/>
  <c r="U108" i="4"/>
  <c r="T108" i="4"/>
  <c r="S108" i="4"/>
  <c r="Q108" i="4"/>
  <c r="O108" i="4"/>
  <c r="M108" i="4"/>
  <c r="K108" i="4"/>
  <c r="X107" i="4"/>
  <c r="W107" i="4"/>
  <c r="V107" i="4"/>
  <c r="U107" i="4"/>
  <c r="T107" i="4"/>
  <c r="S107" i="4"/>
  <c r="Q107" i="4"/>
  <c r="O107" i="4"/>
  <c r="M107" i="4"/>
  <c r="K107" i="4"/>
  <c r="X106" i="4"/>
  <c r="W106" i="4"/>
  <c r="V106" i="4"/>
  <c r="U106" i="4"/>
  <c r="T106" i="4"/>
  <c r="S106" i="4"/>
  <c r="Q106" i="4"/>
  <c r="O106" i="4"/>
  <c r="M106" i="4"/>
  <c r="K106" i="4"/>
  <c r="X105" i="4"/>
  <c r="W105" i="4"/>
  <c r="V105" i="4"/>
  <c r="U105" i="4"/>
  <c r="T105" i="4"/>
  <c r="S105" i="4"/>
  <c r="Q105" i="4"/>
  <c r="O105" i="4"/>
  <c r="M105" i="4"/>
  <c r="K105" i="4"/>
  <c r="X104" i="4"/>
  <c r="W104" i="4"/>
  <c r="V104" i="4"/>
  <c r="U104" i="4"/>
  <c r="T104" i="4"/>
  <c r="S104" i="4"/>
  <c r="Q104" i="4"/>
  <c r="O104" i="4"/>
  <c r="M104" i="4"/>
  <c r="K104" i="4"/>
  <c r="X103" i="4"/>
  <c r="W103" i="4"/>
  <c r="V103" i="4"/>
  <c r="U103" i="4"/>
  <c r="T103" i="4"/>
  <c r="S103" i="4"/>
  <c r="Q103" i="4"/>
  <c r="O103" i="4"/>
  <c r="M103" i="4"/>
  <c r="K103" i="4"/>
  <c r="X102" i="4"/>
  <c r="W102" i="4"/>
  <c r="V102" i="4"/>
  <c r="U102" i="4"/>
  <c r="T102" i="4"/>
  <c r="S102" i="4"/>
  <c r="Q102" i="4"/>
  <c r="O102" i="4"/>
  <c r="M102" i="4"/>
  <c r="K102" i="4"/>
  <c r="X101" i="4"/>
  <c r="W101" i="4"/>
  <c r="V101" i="4"/>
  <c r="U101" i="4"/>
  <c r="T101" i="4"/>
  <c r="S101" i="4"/>
  <c r="Q101" i="4"/>
  <c r="O101" i="4"/>
  <c r="M101" i="4"/>
  <c r="K101" i="4"/>
  <c r="X100" i="4"/>
  <c r="W100" i="4"/>
  <c r="V100" i="4"/>
  <c r="U100" i="4"/>
  <c r="T100" i="4"/>
  <c r="S100" i="4"/>
  <c r="Q100" i="4"/>
  <c r="O100" i="4"/>
  <c r="M100" i="4"/>
  <c r="K100" i="4"/>
  <c r="X99" i="4"/>
  <c r="W99" i="4"/>
  <c r="V99" i="4"/>
  <c r="U99" i="4"/>
  <c r="T99" i="4"/>
  <c r="S99" i="4"/>
  <c r="Q99" i="4"/>
  <c r="O99" i="4"/>
  <c r="M99" i="4"/>
  <c r="K99" i="4"/>
  <c r="X98" i="4"/>
  <c r="W98" i="4"/>
  <c r="V98" i="4"/>
  <c r="U98" i="4"/>
  <c r="T98" i="4"/>
  <c r="S98" i="4"/>
  <c r="Q98" i="4"/>
  <c r="O98" i="4"/>
  <c r="M98" i="4"/>
  <c r="K98" i="4"/>
  <c r="X97" i="4"/>
  <c r="W97" i="4"/>
  <c r="V97" i="4"/>
  <c r="U97" i="4"/>
  <c r="T97" i="4"/>
  <c r="S97" i="4"/>
  <c r="Q97" i="4"/>
  <c r="O97" i="4"/>
  <c r="M97" i="4"/>
  <c r="K97" i="4"/>
  <c r="X96" i="4"/>
  <c r="W96" i="4"/>
  <c r="V96" i="4"/>
  <c r="U96" i="4"/>
  <c r="T96" i="4"/>
  <c r="S96" i="4"/>
  <c r="Q96" i="4"/>
  <c r="O96" i="4"/>
  <c r="M96" i="4"/>
  <c r="K96" i="4"/>
  <c r="X95" i="4"/>
  <c r="W95" i="4"/>
  <c r="V95" i="4"/>
  <c r="U95" i="4"/>
  <c r="T95" i="4"/>
  <c r="S95" i="4"/>
  <c r="Q95" i="4"/>
  <c r="O95" i="4"/>
  <c r="M95" i="4"/>
  <c r="K95" i="4"/>
  <c r="X94" i="4"/>
  <c r="W94" i="4"/>
  <c r="V94" i="4"/>
  <c r="U94" i="4"/>
  <c r="T94" i="4"/>
  <c r="S94" i="4"/>
  <c r="Q94" i="4"/>
  <c r="O94" i="4"/>
  <c r="M94" i="4"/>
  <c r="K94" i="4"/>
  <c r="X93" i="4"/>
  <c r="W93" i="4"/>
  <c r="V93" i="4"/>
  <c r="U93" i="4"/>
  <c r="T93" i="4"/>
  <c r="S93" i="4"/>
  <c r="Q93" i="4"/>
  <c r="O93" i="4"/>
  <c r="M93" i="4"/>
  <c r="K93" i="4"/>
  <c r="X92" i="4"/>
  <c r="W92" i="4"/>
  <c r="V92" i="4"/>
  <c r="U92" i="4"/>
  <c r="T92" i="4"/>
  <c r="S92" i="4"/>
  <c r="Q92" i="4"/>
  <c r="O92" i="4"/>
  <c r="M92" i="4"/>
  <c r="K92" i="4"/>
  <c r="X91" i="4"/>
  <c r="W91" i="4"/>
  <c r="V91" i="4"/>
  <c r="U91" i="4"/>
  <c r="T91" i="4"/>
  <c r="S91" i="4"/>
  <c r="Q91" i="4"/>
  <c r="O91" i="4"/>
  <c r="M91" i="4"/>
  <c r="K91" i="4"/>
  <c r="X90" i="4"/>
  <c r="W90" i="4"/>
  <c r="V90" i="4"/>
  <c r="U90" i="4"/>
  <c r="T90" i="4"/>
  <c r="S90" i="4"/>
  <c r="Q90" i="4"/>
  <c r="O90" i="4"/>
  <c r="M90" i="4"/>
  <c r="K90" i="4"/>
  <c r="X89" i="4"/>
  <c r="W89" i="4"/>
  <c r="V89" i="4"/>
  <c r="U89" i="4"/>
  <c r="T89" i="4"/>
  <c r="S89" i="4"/>
  <c r="Q89" i="4"/>
  <c r="O89" i="4"/>
  <c r="M89" i="4"/>
  <c r="K89" i="4"/>
  <c r="X88" i="4"/>
  <c r="W88" i="4"/>
  <c r="V88" i="4"/>
  <c r="U88" i="4"/>
  <c r="T88" i="4"/>
  <c r="S88" i="4"/>
  <c r="Q88" i="4"/>
  <c r="O88" i="4"/>
  <c r="M88" i="4"/>
  <c r="K88" i="4"/>
  <c r="X87" i="4"/>
  <c r="W87" i="4"/>
  <c r="V87" i="4"/>
  <c r="U87" i="4"/>
  <c r="T87" i="4"/>
  <c r="S87" i="4"/>
  <c r="Q87" i="4"/>
  <c r="O87" i="4"/>
  <c r="M87" i="4"/>
  <c r="K87" i="4"/>
  <c r="X86" i="4"/>
  <c r="W86" i="4"/>
  <c r="V86" i="4"/>
  <c r="U86" i="4"/>
  <c r="T86" i="4"/>
  <c r="S86" i="4"/>
  <c r="Q86" i="4"/>
  <c r="O86" i="4"/>
  <c r="M86" i="4"/>
  <c r="K86" i="4"/>
  <c r="X85" i="4"/>
  <c r="W85" i="4"/>
  <c r="V85" i="4"/>
  <c r="U85" i="4"/>
  <c r="T85" i="4"/>
  <c r="S85" i="4"/>
  <c r="Q85" i="4"/>
  <c r="O85" i="4"/>
  <c r="M85" i="4"/>
  <c r="K85" i="4"/>
  <c r="X84" i="4"/>
  <c r="W84" i="4"/>
  <c r="V84" i="4"/>
  <c r="U84" i="4"/>
  <c r="T84" i="4"/>
  <c r="S84" i="4"/>
  <c r="Q84" i="4"/>
  <c r="O84" i="4"/>
  <c r="M84" i="4"/>
  <c r="K84" i="4"/>
  <c r="X83" i="4"/>
  <c r="W83" i="4"/>
  <c r="V83" i="4"/>
  <c r="U83" i="4"/>
  <c r="T83" i="4"/>
  <c r="S83" i="4"/>
  <c r="Q83" i="4"/>
  <c r="O83" i="4"/>
  <c r="M83" i="4"/>
  <c r="K83" i="4"/>
  <c r="X82" i="4"/>
  <c r="W82" i="4"/>
  <c r="V82" i="4"/>
  <c r="U82" i="4"/>
  <c r="T82" i="4"/>
  <c r="S82" i="4"/>
  <c r="Q82" i="4"/>
  <c r="O82" i="4"/>
  <c r="M82" i="4"/>
  <c r="K82" i="4"/>
  <c r="X81" i="4"/>
  <c r="W81" i="4"/>
  <c r="V81" i="4"/>
  <c r="U81" i="4"/>
  <c r="T81" i="4"/>
  <c r="S81" i="4"/>
  <c r="Q81" i="4"/>
  <c r="O81" i="4"/>
  <c r="M81" i="4"/>
  <c r="K81" i="4"/>
  <c r="X80" i="4"/>
  <c r="W80" i="4"/>
  <c r="V80" i="4"/>
  <c r="U80" i="4"/>
  <c r="T80" i="4"/>
  <c r="S80" i="4"/>
  <c r="Q80" i="4"/>
  <c r="O80" i="4"/>
  <c r="M80" i="4"/>
  <c r="K80" i="4"/>
  <c r="X79" i="4"/>
  <c r="W79" i="4"/>
  <c r="V79" i="4"/>
  <c r="U79" i="4"/>
  <c r="T79" i="4"/>
  <c r="S79" i="4"/>
  <c r="Q79" i="4"/>
  <c r="O79" i="4"/>
  <c r="M79" i="4"/>
  <c r="K79" i="4"/>
  <c r="X78" i="4"/>
  <c r="W78" i="4"/>
  <c r="V78" i="4"/>
  <c r="U78" i="4"/>
  <c r="T78" i="4"/>
  <c r="S78" i="4"/>
  <c r="Q78" i="4"/>
  <c r="O78" i="4"/>
  <c r="M78" i="4"/>
  <c r="K78" i="4"/>
  <c r="X77" i="4"/>
  <c r="W77" i="4"/>
  <c r="V77" i="4"/>
  <c r="U77" i="4"/>
  <c r="T77" i="4"/>
  <c r="S77" i="4"/>
  <c r="Q77" i="4"/>
  <c r="O77" i="4"/>
  <c r="M77" i="4"/>
  <c r="K77" i="4"/>
  <c r="X76" i="4"/>
  <c r="W76" i="4"/>
  <c r="V76" i="4"/>
  <c r="U76" i="4"/>
  <c r="T76" i="4"/>
  <c r="S76" i="4"/>
  <c r="Q76" i="4"/>
  <c r="O76" i="4"/>
  <c r="M76" i="4"/>
  <c r="K76" i="4"/>
  <c r="X75" i="4"/>
  <c r="W75" i="4"/>
  <c r="V75" i="4"/>
  <c r="U75" i="4"/>
  <c r="T75" i="4"/>
  <c r="S75" i="4"/>
  <c r="Q75" i="4"/>
  <c r="O75" i="4"/>
  <c r="M75" i="4"/>
  <c r="K75" i="4"/>
  <c r="X74" i="4"/>
  <c r="W74" i="4"/>
  <c r="V74" i="4"/>
  <c r="U74" i="4"/>
  <c r="T74" i="4"/>
  <c r="S74" i="4"/>
  <c r="Q74" i="4"/>
  <c r="O74" i="4"/>
  <c r="M74" i="4"/>
  <c r="K74" i="4"/>
  <c r="X73" i="4"/>
  <c r="W73" i="4"/>
  <c r="V73" i="4"/>
  <c r="U73" i="4"/>
  <c r="T73" i="4"/>
  <c r="S73" i="4"/>
  <c r="Q73" i="4"/>
  <c r="O73" i="4"/>
  <c r="M73" i="4"/>
  <c r="K73" i="4"/>
  <c r="X72" i="4"/>
  <c r="W72" i="4"/>
  <c r="V72" i="4"/>
  <c r="U72" i="4"/>
  <c r="T72" i="4"/>
  <c r="S72" i="4"/>
  <c r="Q72" i="4"/>
  <c r="O72" i="4"/>
  <c r="M72" i="4"/>
  <c r="K72" i="4"/>
  <c r="X71" i="4"/>
  <c r="W71" i="4"/>
  <c r="V71" i="4"/>
  <c r="U71" i="4"/>
  <c r="T71" i="4"/>
  <c r="S71" i="4"/>
  <c r="Q71" i="4"/>
  <c r="O71" i="4"/>
  <c r="M71" i="4"/>
  <c r="K71" i="4"/>
  <c r="X70" i="4"/>
  <c r="W70" i="4"/>
  <c r="V70" i="4"/>
  <c r="U70" i="4"/>
  <c r="T70" i="4"/>
  <c r="S70" i="4"/>
  <c r="Q70" i="4"/>
  <c r="O70" i="4"/>
  <c r="M70" i="4"/>
  <c r="K70" i="4"/>
  <c r="X69" i="4"/>
  <c r="W69" i="4"/>
  <c r="V69" i="4"/>
  <c r="U69" i="4"/>
  <c r="T69" i="4"/>
  <c r="S69" i="4"/>
  <c r="Q69" i="4"/>
  <c r="O69" i="4"/>
  <c r="M69" i="4"/>
  <c r="K69" i="4"/>
  <c r="X68" i="4"/>
  <c r="W68" i="4"/>
  <c r="V68" i="4"/>
  <c r="U68" i="4"/>
  <c r="T68" i="4"/>
  <c r="S68" i="4"/>
  <c r="Q68" i="4"/>
  <c r="O68" i="4"/>
  <c r="M68" i="4"/>
  <c r="K68" i="4"/>
  <c r="X67" i="4"/>
  <c r="W67" i="4"/>
  <c r="V67" i="4"/>
  <c r="U67" i="4"/>
  <c r="T67" i="4"/>
  <c r="S67" i="4"/>
  <c r="Q67" i="4"/>
  <c r="O67" i="4"/>
  <c r="M67" i="4"/>
  <c r="K67" i="4"/>
  <c r="X66" i="4"/>
  <c r="W66" i="4"/>
  <c r="V66" i="4"/>
  <c r="U66" i="4"/>
  <c r="T66" i="4"/>
  <c r="S66" i="4"/>
  <c r="Q66" i="4"/>
  <c r="O66" i="4"/>
  <c r="M66" i="4"/>
  <c r="K66" i="4"/>
  <c r="X65" i="4"/>
  <c r="W65" i="4"/>
  <c r="V65" i="4"/>
  <c r="U65" i="4"/>
  <c r="T65" i="4"/>
  <c r="S65" i="4"/>
  <c r="Q65" i="4"/>
  <c r="O65" i="4"/>
  <c r="M65" i="4"/>
  <c r="K65" i="4"/>
  <c r="X64" i="4"/>
  <c r="W64" i="4"/>
  <c r="V64" i="4"/>
  <c r="U64" i="4"/>
  <c r="T64" i="4"/>
  <c r="S64" i="4"/>
  <c r="Q64" i="4"/>
  <c r="O64" i="4"/>
  <c r="M64" i="4"/>
  <c r="K64" i="4"/>
  <c r="X63" i="4"/>
  <c r="W63" i="4"/>
  <c r="V63" i="4"/>
  <c r="U63" i="4"/>
  <c r="T63" i="4"/>
  <c r="S63" i="4"/>
  <c r="Q63" i="4"/>
  <c r="O63" i="4"/>
  <c r="M63" i="4"/>
  <c r="K63" i="4"/>
  <c r="X62" i="4"/>
  <c r="W62" i="4"/>
  <c r="V62" i="4"/>
  <c r="U62" i="4"/>
  <c r="T62" i="4"/>
  <c r="S62" i="4"/>
  <c r="Q62" i="4"/>
  <c r="O62" i="4"/>
  <c r="M62" i="4"/>
  <c r="K62" i="4"/>
  <c r="X61" i="4"/>
  <c r="W61" i="4"/>
  <c r="V61" i="4"/>
  <c r="U61" i="4"/>
  <c r="T61" i="4"/>
  <c r="S61" i="4"/>
  <c r="Q61" i="4"/>
  <c r="O61" i="4"/>
  <c r="M61" i="4"/>
  <c r="K61" i="4"/>
  <c r="X60" i="4"/>
  <c r="W60" i="4"/>
  <c r="V60" i="4"/>
  <c r="U60" i="4"/>
  <c r="T60" i="4"/>
  <c r="S60" i="4"/>
  <c r="Q60" i="4"/>
  <c r="O60" i="4"/>
  <c r="M60" i="4"/>
  <c r="K60" i="4"/>
  <c r="X59" i="4"/>
  <c r="W59" i="4"/>
  <c r="V59" i="4"/>
  <c r="U59" i="4"/>
  <c r="T59" i="4"/>
  <c r="S59" i="4"/>
  <c r="Q59" i="4"/>
  <c r="O59" i="4"/>
  <c r="M59" i="4"/>
  <c r="K59" i="4"/>
  <c r="X58" i="4"/>
  <c r="W58" i="4"/>
  <c r="V58" i="4"/>
  <c r="U58" i="4"/>
  <c r="T58" i="4"/>
  <c r="S58" i="4"/>
  <c r="Q58" i="4"/>
  <c r="O58" i="4"/>
  <c r="M58" i="4"/>
  <c r="K58" i="4"/>
  <c r="X57" i="4"/>
  <c r="W57" i="4"/>
  <c r="V57" i="4"/>
  <c r="U57" i="4"/>
  <c r="T57" i="4"/>
  <c r="S57" i="4"/>
  <c r="Q57" i="4"/>
  <c r="O57" i="4"/>
  <c r="M57" i="4"/>
  <c r="K57" i="4"/>
  <c r="X56" i="4"/>
  <c r="W56" i="4"/>
  <c r="V56" i="4"/>
  <c r="U56" i="4"/>
  <c r="T56" i="4"/>
  <c r="S56" i="4"/>
  <c r="Q56" i="4"/>
  <c r="O56" i="4"/>
  <c r="M56" i="4"/>
  <c r="K56" i="4"/>
  <c r="X55" i="4"/>
  <c r="W55" i="4"/>
  <c r="V55" i="4"/>
  <c r="U55" i="4"/>
  <c r="T55" i="4"/>
  <c r="S55" i="4"/>
  <c r="Q55" i="4"/>
  <c r="O55" i="4"/>
  <c r="M55" i="4"/>
  <c r="K55" i="4"/>
  <c r="X54" i="4"/>
  <c r="W54" i="4"/>
  <c r="V54" i="4"/>
  <c r="U54" i="4"/>
  <c r="T54" i="4"/>
  <c r="S54" i="4"/>
  <c r="Q54" i="4"/>
  <c r="O54" i="4"/>
  <c r="M54" i="4"/>
  <c r="K54" i="4"/>
  <c r="X53" i="4"/>
  <c r="W53" i="4"/>
  <c r="V53" i="4"/>
  <c r="U53" i="4"/>
  <c r="T53" i="4"/>
  <c r="S53" i="4"/>
  <c r="Q53" i="4"/>
  <c r="O53" i="4"/>
  <c r="M53" i="4"/>
  <c r="K53" i="4"/>
  <c r="X52" i="4"/>
  <c r="W52" i="4"/>
  <c r="V52" i="4"/>
  <c r="U52" i="4"/>
  <c r="T52" i="4"/>
  <c r="S52" i="4"/>
  <c r="Q52" i="4"/>
  <c r="O52" i="4"/>
  <c r="M52" i="4"/>
  <c r="K52" i="4"/>
  <c r="X51" i="4"/>
  <c r="W51" i="4"/>
  <c r="V51" i="4"/>
  <c r="U51" i="4"/>
  <c r="T51" i="4"/>
  <c r="S51" i="4"/>
  <c r="Q51" i="4"/>
  <c r="O51" i="4"/>
  <c r="M51" i="4"/>
  <c r="K51" i="4"/>
  <c r="X50" i="4"/>
  <c r="W50" i="4"/>
  <c r="V50" i="4"/>
  <c r="U50" i="4"/>
  <c r="T50" i="4"/>
  <c r="S50" i="4"/>
  <c r="Q50" i="4"/>
  <c r="O50" i="4"/>
  <c r="M50" i="4"/>
  <c r="K50" i="4"/>
  <c r="X49" i="4"/>
  <c r="W49" i="4"/>
  <c r="V49" i="4"/>
  <c r="U49" i="4"/>
  <c r="T49" i="4"/>
  <c r="S49" i="4"/>
  <c r="Q49" i="4"/>
  <c r="O49" i="4"/>
  <c r="M49" i="4"/>
  <c r="K49" i="4"/>
  <c r="X48" i="4"/>
  <c r="W48" i="4"/>
  <c r="V48" i="4"/>
  <c r="U48" i="4"/>
  <c r="T48" i="4"/>
  <c r="S48" i="4"/>
  <c r="Q48" i="4"/>
  <c r="O48" i="4"/>
  <c r="M48" i="4"/>
  <c r="K48" i="4"/>
  <c r="X47" i="4"/>
  <c r="W47" i="4"/>
  <c r="V47" i="4"/>
  <c r="U47" i="4"/>
  <c r="T47" i="4"/>
  <c r="S47" i="4"/>
  <c r="Q47" i="4"/>
  <c r="O47" i="4"/>
  <c r="M47" i="4"/>
  <c r="K47" i="4"/>
  <c r="X46" i="4"/>
  <c r="W46" i="4"/>
  <c r="V46" i="4"/>
  <c r="U46" i="4"/>
  <c r="T46" i="4"/>
  <c r="S46" i="4"/>
  <c r="Q46" i="4"/>
  <c r="O46" i="4"/>
  <c r="M46" i="4"/>
  <c r="K46" i="4"/>
  <c r="X45" i="4"/>
  <c r="W45" i="4"/>
  <c r="V45" i="4"/>
  <c r="U45" i="4"/>
  <c r="T45" i="4"/>
  <c r="S45" i="4"/>
  <c r="Q45" i="4"/>
  <c r="O45" i="4"/>
  <c r="M45" i="4"/>
  <c r="K45" i="4"/>
  <c r="X44" i="4"/>
  <c r="W44" i="4"/>
  <c r="V44" i="4"/>
  <c r="U44" i="4"/>
  <c r="T44" i="4"/>
  <c r="S44" i="4"/>
  <c r="Q44" i="4"/>
  <c r="O44" i="4"/>
  <c r="M44" i="4"/>
  <c r="K44" i="4"/>
  <c r="X43" i="4"/>
  <c r="W43" i="4"/>
  <c r="V43" i="4"/>
  <c r="U43" i="4"/>
  <c r="T43" i="4"/>
  <c r="S43" i="4"/>
  <c r="Q43" i="4"/>
  <c r="O43" i="4"/>
  <c r="M43" i="4"/>
  <c r="K43" i="4"/>
  <c r="X42" i="4"/>
  <c r="W42" i="4"/>
  <c r="V42" i="4"/>
  <c r="U42" i="4"/>
  <c r="T42" i="4"/>
  <c r="S42" i="4"/>
  <c r="Q42" i="4"/>
  <c r="O42" i="4"/>
  <c r="M42" i="4"/>
  <c r="K42" i="4"/>
  <c r="X41" i="4"/>
  <c r="W41" i="4"/>
  <c r="V41" i="4"/>
  <c r="U41" i="4"/>
  <c r="T41" i="4"/>
  <c r="S41" i="4"/>
  <c r="Q41" i="4"/>
  <c r="O41" i="4"/>
  <c r="M41" i="4"/>
  <c r="K41" i="4"/>
  <c r="X40" i="4"/>
  <c r="W40" i="4"/>
  <c r="V40" i="4"/>
  <c r="U40" i="4"/>
  <c r="T40" i="4"/>
  <c r="S40" i="4"/>
  <c r="Q40" i="4"/>
  <c r="O40" i="4"/>
  <c r="M40" i="4"/>
  <c r="K40" i="4"/>
  <c r="X39" i="4"/>
  <c r="W39" i="4"/>
  <c r="V39" i="4"/>
  <c r="U39" i="4"/>
  <c r="T39" i="4"/>
  <c r="S39" i="4"/>
  <c r="Q39" i="4"/>
  <c r="O39" i="4"/>
  <c r="M39" i="4"/>
  <c r="K39" i="4"/>
  <c r="X38" i="4"/>
  <c r="W38" i="4"/>
  <c r="V38" i="4"/>
  <c r="U38" i="4"/>
  <c r="T38" i="4"/>
  <c r="S38" i="4"/>
  <c r="Q38" i="4"/>
  <c r="O38" i="4"/>
  <c r="M38" i="4"/>
  <c r="K38" i="4"/>
  <c r="X37" i="4"/>
  <c r="W37" i="4"/>
  <c r="V37" i="4"/>
  <c r="U37" i="4"/>
  <c r="T37" i="4"/>
  <c r="S37" i="4"/>
  <c r="Q37" i="4"/>
  <c r="O37" i="4"/>
  <c r="M37" i="4"/>
  <c r="K37" i="4"/>
  <c r="X36" i="4"/>
  <c r="W36" i="4"/>
  <c r="V36" i="4"/>
  <c r="U36" i="4"/>
  <c r="T36" i="4"/>
  <c r="S36" i="4"/>
  <c r="Q36" i="4"/>
  <c r="O36" i="4"/>
  <c r="M36" i="4"/>
  <c r="K36" i="4"/>
  <c r="X35" i="4"/>
  <c r="W35" i="4"/>
  <c r="V35" i="4"/>
  <c r="U35" i="4"/>
  <c r="T35" i="4"/>
  <c r="S35" i="4"/>
  <c r="Q35" i="4"/>
  <c r="O35" i="4"/>
  <c r="M35" i="4"/>
  <c r="K35" i="4"/>
  <c r="X34" i="4"/>
  <c r="W34" i="4"/>
  <c r="V34" i="4"/>
  <c r="U34" i="4"/>
  <c r="T34" i="4"/>
  <c r="S34" i="4"/>
  <c r="Q34" i="4"/>
  <c r="O34" i="4"/>
  <c r="M34" i="4"/>
  <c r="K34" i="4"/>
  <c r="X33" i="4"/>
  <c r="W33" i="4"/>
  <c r="V33" i="4"/>
  <c r="U33" i="4"/>
  <c r="T33" i="4"/>
  <c r="S33" i="4"/>
  <c r="Q33" i="4"/>
  <c r="O33" i="4"/>
  <c r="M33" i="4"/>
  <c r="K33" i="4"/>
  <c r="X32" i="4"/>
  <c r="W32" i="4"/>
  <c r="V32" i="4"/>
  <c r="U32" i="4"/>
  <c r="T32" i="4"/>
  <c r="S32" i="4"/>
  <c r="Q32" i="4"/>
  <c r="O32" i="4"/>
  <c r="M32" i="4"/>
  <c r="K32" i="4"/>
  <c r="X31" i="4"/>
  <c r="W31" i="4"/>
  <c r="V31" i="4"/>
  <c r="U31" i="4"/>
  <c r="T31" i="4"/>
  <c r="S31" i="4"/>
  <c r="Q31" i="4"/>
  <c r="O31" i="4"/>
  <c r="M31" i="4"/>
  <c r="K31" i="4"/>
  <c r="X30" i="4"/>
  <c r="W30" i="4"/>
  <c r="V30" i="4"/>
  <c r="U30" i="4"/>
  <c r="T30" i="4"/>
  <c r="S30" i="4"/>
  <c r="Q30" i="4"/>
  <c r="O30" i="4"/>
  <c r="M30" i="4"/>
  <c r="K30" i="4"/>
  <c r="X29" i="4"/>
  <c r="W29" i="4"/>
  <c r="V29" i="4"/>
  <c r="U29" i="4"/>
  <c r="T29" i="4"/>
  <c r="S29" i="4"/>
  <c r="Q29" i="4"/>
  <c r="O29" i="4"/>
  <c r="M29" i="4"/>
  <c r="K29" i="4"/>
  <c r="X28" i="4"/>
  <c r="W28" i="4"/>
  <c r="V28" i="4"/>
  <c r="U28" i="4"/>
  <c r="T28" i="4"/>
  <c r="S28" i="4"/>
  <c r="Q28" i="4"/>
  <c r="O28" i="4"/>
  <c r="M28" i="4"/>
  <c r="K28" i="4"/>
  <c r="X27" i="4"/>
  <c r="W27" i="4"/>
  <c r="V27" i="4"/>
  <c r="U27" i="4"/>
  <c r="T27" i="4"/>
  <c r="S27" i="4"/>
  <c r="Q27" i="4"/>
  <c r="O27" i="4"/>
  <c r="M27" i="4"/>
  <c r="K27" i="4"/>
  <c r="X26" i="4"/>
  <c r="W26" i="4"/>
  <c r="V26" i="4"/>
  <c r="U26" i="4"/>
  <c r="T26" i="4"/>
  <c r="S26" i="4"/>
  <c r="Q26" i="4"/>
  <c r="O26" i="4"/>
  <c r="M26" i="4"/>
  <c r="K26" i="4"/>
  <c r="X25" i="4"/>
  <c r="W25" i="4"/>
  <c r="V25" i="4"/>
  <c r="U25" i="4"/>
  <c r="T25" i="4"/>
  <c r="S25" i="4"/>
  <c r="Q25" i="4"/>
  <c r="O25" i="4"/>
  <c r="M25" i="4"/>
  <c r="K25" i="4"/>
  <c r="X24" i="4"/>
  <c r="W24" i="4"/>
  <c r="V24" i="4"/>
  <c r="U24" i="4"/>
  <c r="T24" i="4"/>
  <c r="S24" i="4"/>
  <c r="Q24" i="4"/>
  <c r="O24" i="4"/>
  <c r="M24" i="4"/>
  <c r="K24" i="4"/>
  <c r="X23" i="4"/>
  <c r="W23" i="4"/>
  <c r="V23" i="4"/>
  <c r="U23" i="4"/>
  <c r="T23" i="4"/>
  <c r="S23" i="4"/>
  <c r="Q23" i="4"/>
  <c r="O23" i="4"/>
  <c r="M23" i="4"/>
  <c r="K23" i="4"/>
  <c r="X22" i="4"/>
  <c r="W22" i="4"/>
  <c r="V22" i="4"/>
  <c r="U22" i="4"/>
  <c r="T22" i="4"/>
  <c r="S22" i="4"/>
  <c r="Q22" i="4"/>
  <c r="O22" i="4"/>
  <c r="M22" i="4"/>
  <c r="K22" i="4"/>
  <c r="X21" i="4"/>
  <c r="W21" i="4"/>
  <c r="V21" i="4"/>
  <c r="U21" i="4"/>
  <c r="T21" i="4"/>
  <c r="S21" i="4"/>
  <c r="Q21" i="4"/>
  <c r="O21" i="4"/>
  <c r="M21" i="4"/>
  <c r="K21" i="4"/>
  <c r="X20" i="4"/>
  <c r="W20" i="4"/>
  <c r="V20" i="4"/>
  <c r="U20" i="4"/>
  <c r="T20" i="4"/>
  <c r="S20" i="4"/>
  <c r="Q20" i="4"/>
  <c r="O20" i="4"/>
  <c r="M20" i="4"/>
  <c r="K20" i="4"/>
  <c r="X19" i="4"/>
  <c r="W19" i="4"/>
  <c r="V19" i="4"/>
  <c r="U19" i="4"/>
  <c r="T19" i="4"/>
  <c r="S19" i="4"/>
  <c r="Q19" i="4"/>
  <c r="O19" i="4"/>
  <c r="M19" i="4"/>
  <c r="K19" i="4"/>
  <c r="X18" i="4"/>
  <c r="W18" i="4"/>
  <c r="V18" i="4"/>
  <c r="U18" i="4"/>
  <c r="T18" i="4"/>
  <c r="S18" i="4"/>
  <c r="Q18" i="4"/>
  <c r="O18" i="4"/>
  <c r="M18" i="4"/>
  <c r="K18" i="4"/>
  <c r="X17" i="4"/>
  <c r="W17" i="4"/>
  <c r="V17" i="4"/>
  <c r="U17" i="4"/>
  <c r="T17" i="4"/>
  <c r="S17" i="4"/>
  <c r="Q17" i="4"/>
  <c r="O17" i="4"/>
  <c r="M17" i="4"/>
  <c r="K17" i="4"/>
  <c r="X16" i="4"/>
  <c r="W16" i="4"/>
  <c r="V16" i="4"/>
  <c r="U16" i="4"/>
  <c r="T16" i="4"/>
  <c r="S16" i="4"/>
  <c r="Q16" i="4"/>
  <c r="O16" i="4"/>
  <c r="M16" i="4"/>
  <c r="K16" i="4"/>
  <c r="X15" i="4"/>
  <c r="W15" i="4"/>
  <c r="V15" i="4"/>
  <c r="U15" i="4"/>
  <c r="T15" i="4"/>
  <c r="S15" i="4"/>
  <c r="Q15" i="4"/>
  <c r="O15" i="4"/>
  <c r="M15" i="4"/>
  <c r="K15" i="4"/>
  <c r="X14" i="4"/>
  <c r="W14" i="4"/>
  <c r="V14" i="4"/>
  <c r="U14" i="4"/>
  <c r="T14" i="4"/>
  <c r="S14" i="4"/>
  <c r="Q14" i="4"/>
  <c r="O14" i="4"/>
  <c r="M14" i="4"/>
  <c r="K14" i="4"/>
  <c r="X13" i="4"/>
  <c r="W13" i="4"/>
  <c r="V13" i="4"/>
  <c r="U13" i="4"/>
  <c r="T13" i="4"/>
  <c r="S13" i="4"/>
  <c r="Q13" i="4"/>
  <c r="O13" i="4"/>
  <c r="M13" i="4"/>
  <c r="K13" i="4"/>
  <c r="X12" i="4"/>
  <c r="W12" i="4"/>
  <c r="V12" i="4"/>
  <c r="U12" i="4"/>
  <c r="T12" i="4"/>
  <c r="S12" i="4"/>
  <c r="Q12" i="4"/>
  <c r="O12" i="4"/>
  <c r="M12" i="4"/>
  <c r="K12" i="4"/>
  <c r="X11" i="4"/>
  <c r="W11" i="4"/>
  <c r="V11" i="4"/>
  <c r="U11" i="4"/>
  <c r="T11" i="4"/>
  <c r="S11" i="4"/>
  <c r="Q11" i="4"/>
  <c r="O11" i="4"/>
  <c r="M11" i="4"/>
  <c r="K11" i="4"/>
  <c r="X10" i="4"/>
  <c r="W10" i="4"/>
  <c r="V10" i="4"/>
  <c r="U10" i="4"/>
  <c r="T10" i="4"/>
  <c r="S10" i="4"/>
  <c r="Q10" i="4"/>
  <c r="O10" i="4"/>
  <c r="M10" i="4"/>
  <c r="K10" i="4"/>
  <c r="X9" i="4"/>
  <c r="W9" i="4"/>
  <c r="V9" i="4"/>
  <c r="U9" i="4"/>
  <c r="T9" i="4"/>
  <c r="S9" i="4"/>
  <c r="Q9" i="4"/>
  <c r="O9" i="4"/>
  <c r="M9" i="4"/>
  <c r="K9" i="4"/>
  <c r="X8" i="4"/>
  <c r="W8" i="4"/>
  <c r="V8" i="4"/>
  <c r="U8" i="4"/>
  <c r="T8" i="4"/>
  <c r="S8" i="4"/>
  <c r="Q8" i="4"/>
  <c r="O8" i="4"/>
  <c r="M8" i="4"/>
  <c r="K8" i="4"/>
  <c r="X7" i="4"/>
  <c r="W7" i="4"/>
  <c r="V7" i="4"/>
  <c r="U7" i="4"/>
  <c r="T7" i="4"/>
  <c r="S7" i="4"/>
  <c r="Q7" i="4"/>
  <c r="O7" i="4"/>
  <c r="M7" i="4"/>
  <c r="K7" i="4"/>
</calcChain>
</file>

<file path=xl/sharedStrings.xml><?xml version="1.0" encoding="utf-8"?>
<sst xmlns="http://schemas.openxmlformats.org/spreadsheetml/2006/main" count="40399" uniqueCount="973">
  <si>
    <t>銘柄コード</t>
    <rPh sb="0" eb="2">
      <t>メイガラ</t>
    </rPh>
    <phoneticPr fontId="3"/>
  </si>
  <si>
    <t>Issues</t>
  </si>
  <si>
    <t>日付</t>
    <rPh sb="0" eb="2">
      <t>ヒヅケ</t>
    </rPh>
    <phoneticPr fontId="3"/>
  </si>
  <si>
    <t>信用・貸借</t>
    <rPh sb="0" eb="2">
      <t>シンヨウ</t>
    </rPh>
    <rPh sb="3" eb="5">
      <t>タイシャク</t>
    </rPh>
    <phoneticPr fontId="3"/>
  </si>
  <si>
    <t>売買単位</t>
    <rPh sb="0" eb="2">
      <t>バイバイ</t>
    </rPh>
    <rPh sb="2" eb="4">
      <t>タンイ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</si>
  <si>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</si>
  <si>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</si>
  <si>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</si>
  <si>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</si>
  <si>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</si>
  <si>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売買高</t>
    <rPh sb="0" eb="3">
      <t>バイバイダカ</t>
    </rPh>
    <phoneticPr fontId="3"/>
  </si>
  <si>
    <t>うちToSTNeT売買高</t>
  </si>
  <si>
    <t>売買代金</t>
    <rPh sb="0" eb="2">
      <t>バイバイ</t>
    </rPh>
    <rPh sb="2" eb="4">
      <t>ダイキン</t>
    </rPh>
    <phoneticPr fontId="3"/>
  </si>
  <si>
    <t>うちToSTNeT売買代金</t>
  </si>
  <si>
    <t>値付日数</t>
    <rPh sb="0" eb="2">
      <t>ネツ</t>
    </rPh>
    <rPh sb="2" eb="4">
      <t>ニッスウ</t>
    </rPh>
    <phoneticPr fontId="3"/>
  </si>
  <si>
    <t>margin/loan</t>
    <phoneticPr fontId="10"/>
  </si>
  <si>
    <t>Open</t>
  </si>
  <si>
    <t>Low</t>
  </si>
  <si>
    <t>Close</t>
  </si>
  <si>
    <t>Trading Volume</t>
  </si>
  <si>
    <t>Trading Value</t>
  </si>
  <si>
    <t>口(units）</t>
  </si>
  <si>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</si>
  <si>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E　T　F　相　場　表</t>
    <rPh sb="6" eb="7">
      <t>ソウ</t>
    </rPh>
    <rPh sb="8" eb="9">
      <t>バ</t>
    </rPh>
    <rPh sb="10" eb="11">
      <t>ヒョウ</t>
    </rPh>
    <phoneticPr fontId="3"/>
  </si>
  <si>
    <t>Exchange-Traded Fund Quotations</t>
    <phoneticPr fontId="3"/>
  </si>
  <si>
    <t>年月</t>
    <phoneticPr fontId="10"/>
  </si>
  <si>
    <t>区分</t>
    <phoneticPr fontId="10"/>
  </si>
  <si>
    <t>Year/Month</t>
    <phoneticPr fontId="10"/>
  </si>
  <si>
    <t>Code</t>
    <phoneticPr fontId="10"/>
  </si>
  <si>
    <t>銘柄名称</t>
    <phoneticPr fontId="10"/>
  </si>
  <si>
    <t>銘柄属性</t>
    <rPh sb="0" eb="2">
      <t>メイガラ</t>
    </rPh>
    <rPh sb="2" eb="4">
      <t>ゾクセイ</t>
    </rPh>
    <phoneticPr fontId="10"/>
  </si>
  <si>
    <t>Attribute</t>
    <phoneticPr fontId="10"/>
  </si>
  <si>
    <t>Date</t>
    <phoneticPr fontId="3"/>
  </si>
  <si>
    <t>Sector</t>
    <phoneticPr fontId="10"/>
  </si>
  <si>
    <t>Trading Unit</t>
    <phoneticPr fontId="3"/>
  </si>
  <si>
    <t>High</t>
    <phoneticPr fontId="3"/>
  </si>
  <si>
    <t>Average Closing Price</t>
    <phoneticPr fontId="10"/>
  </si>
  <si>
    <t>Trading Volume(ToSTNeT)</t>
    <phoneticPr fontId="10"/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</si>
  <si>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</si>
  <si>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</si>
  <si>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</si>
  <si>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</si>
  <si>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2021/01</t>
  </si>
  <si>
    <t>1305</t>
  </si>
  <si>
    <t>ダイワ上場投信－トピックス　受益証券</t>
  </si>
  <si>
    <t>Daiwa ETF-TOPIX</t>
  </si>
  <si>
    <t/>
  </si>
  <si>
    <t>貸借</t>
  </si>
  <si>
    <t>4</t>
  </si>
  <si>
    <t>14</t>
  </si>
  <si>
    <t>29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</si>
  <si>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</si>
  <si>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</si>
  <si>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</si>
  <si>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</si>
  <si>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</si>
  <si>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</si>
  <si>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</si>
  <si>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</si>
  <si>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</si>
  <si>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1311</t>
  </si>
  <si>
    <t>ＮＥＸＴ　ＦＵＮＤＳ　ＴＯＰＩＸ　Ｃｏｒｅ　３０連動型上場投信　受益証券</t>
  </si>
  <si>
    <t>NEXT FUNDS TOPIX Core 30 Exchange Traded Fund</t>
  </si>
  <si>
    <t>1312</t>
  </si>
  <si>
    <t>ＮＥＸＴ　ＦＵＮＤＳ　ラッセル野村小型コア・インデックス連動型上場投信　受益証券</t>
  </si>
  <si>
    <t>NEXT FUNDS Russell/Nomura Small Cap Core Index Exchange Traded Fund</t>
  </si>
  <si>
    <t>1313</t>
  </si>
  <si>
    <t>サムスンＫＯＤＥＸ２００証券上場指数投資信託[株式]　受益証券</t>
  </si>
  <si>
    <t>SAMSUNG KODEX200 SECURITIES EXCHANGE TRADED FUND [STOCK]</t>
  </si>
  <si>
    <t>15</t>
  </si>
  <si>
    <t>1319</t>
  </si>
  <si>
    <t>ＮＥＸＴ　ＦＵＮＤＳ　日経３００株価指数連動型上場投信　受益証券</t>
  </si>
  <si>
    <t>NEXT FUNDS Nikkei 300 Index Exchange Traded Fund</t>
  </si>
  <si>
    <t>27</t>
  </si>
  <si>
    <t>1320</t>
  </si>
  <si>
    <t>ダイワ上場投信－日経２２５　受益証券</t>
  </si>
  <si>
    <t>Daiwa ETF-Nikkei 225</t>
  </si>
  <si>
    <t>6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</si>
  <si>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</si>
  <si>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</si>
  <si>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</si>
  <si>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</si>
  <si>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</si>
  <si>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</si>
  <si>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5</t>
  </si>
  <si>
    <t>1323</t>
  </si>
  <si>
    <t>ＮＥＸＴ　ＦＵＮＤＳ　南アフリカ株式指数・ＦＴＳＥ／ＪＳＥ　Ａｆｒｉｃａ　Ｔｏｐ４０連動型上場投信　受益証券</t>
  </si>
  <si>
    <t>NEXT FUNDS FTSE/JSE Africa Top40 Linked Exchange Traded Fund</t>
  </si>
  <si>
    <t>28</t>
  </si>
  <si>
    <t>1324</t>
  </si>
  <si>
    <t>ＮＥＸＴ　ＦＵＮＤＳ　ロシア株式指数・ＲＴＳ連動型上場投信　受益証券</t>
  </si>
  <si>
    <t>NEXT FUNDS Russia RTS Linked Exchange Traded Fund</t>
  </si>
  <si>
    <t>13</t>
  </si>
  <si>
    <t>1325</t>
  </si>
  <si>
    <t>ＮＥＸＴ　ＦＵＮＤＳ　ブラジル株式指数・ボベスパ連動型上場投信　受益証券</t>
  </si>
  <si>
    <t>NEXT FUNDS Ibovespa Linked Exchange Traded Fund</t>
  </si>
  <si>
    <t>8</t>
  </si>
  <si>
    <t>1326</t>
  </si>
  <si>
    <t>ＳＰＤＲゴールド・シェア　受益証券</t>
  </si>
  <si>
    <t>SPDR Gold Shares</t>
  </si>
  <si>
    <t>18</t>
  </si>
  <si>
    <t>1327</t>
  </si>
  <si>
    <t>イージーＥＴＦ　Ｓ＆Ｐ　ＧＳＣＩ　商品指数　キャップド・コモディティ　３５／２０　クラスＡ米ドル建受益証券</t>
  </si>
  <si>
    <t>S&amp;P GSCI Energy &amp; Metals Capped Component 35/20 THEAM Easy UCITS ETF Class A USD Unit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</si>
  <si>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</si>
  <si>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</si>
  <si>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</si>
  <si>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</si>
  <si>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</si>
  <si>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</si>
  <si>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</si>
  <si>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</si>
  <si>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</si>
  <si>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</si>
  <si>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</si>
  <si>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</si>
  <si>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1344</t>
  </si>
  <si>
    <t>ＭＡＸＩＳ　トピックス・コア３０上場投信　受益証券</t>
  </si>
  <si>
    <t>MAXIS TOPIX Core30 ETF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</si>
  <si>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</si>
  <si>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</si>
  <si>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</si>
  <si>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</si>
  <si>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</si>
  <si>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</si>
  <si>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</si>
  <si>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</si>
  <si>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</si>
  <si>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</si>
  <si>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</si>
  <si>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</si>
  <si>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12</t>
  </si>
  <si>
    <t>22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</si>
  <si>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</si>
  <si>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</si>
  <si>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</si>
  <si>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</si>
  <si>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</si>
  <si>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</si>
  <si>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</si>
  <si>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</si>
  <si>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</si>
  <si>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</si>
  <si>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</si>
  <si>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</si>
  <si>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</si>
  <si>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</si>
  <si>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</si>
  <si>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</si>
  <si>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</si>
  <si>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</si>
  <si>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</si>
  <si>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</si>
  <si>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</si>
  <si>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</si>
  <si>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</si>
  <si>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</si>
  <si>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</si>
  <si>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</si>
  <si>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</si>
  <si>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</si>
  <si>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</si>
  <si>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</si>
  <si>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</si>
  <si>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</si>
  <si>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</si>
  <si>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1386</t>
  </si>
  <si>
    <t>ＵＢＳ　ＥＴＦ　欧州株（ＭＳＣＩヨーロッパ）　受益証券</t>
  </si>
  <si>
    <t>UBS ETF MSCI Europe UCITS ETF-JDR</t>
  </si>
  <si>
    <t>1387</t>
  </si>
  <si>
    <t>ＵＢＳ　ＥＴＦ　ユーロ圏株（ＭＳＣＩ　ＥＭＵ）　受益証券</t>
  </si>
  <si>
    <t>UBS ETF MSCI EMU UCITS ETF-JDR</t>
  </si>
  <si>
    <t>7</t>
  </si>
  <si>
    <t>1388</t>
  </si>
  <si>
    <t>ＵＢＳ　ＥＴＦ　ユーロ圏小型株（ＭＳＣＩ　ＥＭＵ小型株）　受益証券</t>
  </si>
  <si>
    <t>UBS ETF MSCI EMU Small Cap UCITS ETF-JDR</t>
  </si>
  <si>
    <t>25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</si>
  <si>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</si>
  <si>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</si>
  <si>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</si>
  <si>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</si>
  <si>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</si>
  <si>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</si>
  <si>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</si>
  <si>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</si>
  <si>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</si>
  <si>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</si>
  <si>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</si>
  <si>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</si>
  <si>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</si>
  <si>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</si>
  <si>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</si>
  <si>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</si>
  <si>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</si>
  <si>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</si>
  <si>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</si>
  <si>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</si>
  <si>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</si>
  <si>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</si>
  <si>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</si>
  <si>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</si>
  <si>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</si>
  <si>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</si>
  <si>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</si>
  <si>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</si>
  <si>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</si>
  <si>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</si>
  <si>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</si>
  <si>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</si>
  <si>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</si>
  <si>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</si>
  <si>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</si>
  <si>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</si>
  <si>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</si>
  <si>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</si>
  <si>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</si>
  <si>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1460</t>
  </si>
  <si>
    <t>ＭＡＸＩＳ　ＪＡＰＡＮ　クオリティ１５０上場投信　受益証券</t>
  </si>
  <si>
    <t>MAXIS JAPAN Quality 150 Index ETF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</si>
  <si>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</si>
  <si>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</si>
  <si>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</si>
  <si>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</si>
  <si>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</si>
  <si>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</si>
  <si>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</si>
  <si>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</si>
  <si>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</si>
  <si>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</si>
  <si>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</si>
  <si>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</si>
  <si>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</si>
  <si>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</si>
  <si>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</si>
  <si>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1469</t>
  </si>
  <si>
    <t>ＪＰＸ日経４００ベア２倍上場投信（ダブルインバース）　受益証券</t>
  </si>
  <si>
    <t>JPX-Nikkei 400 Bear -2x Double Inverse ETF</t>
  </si>
  <si>
    <t>1470</t>
  </si>
  <si>
    <t>ＮＥＸＴ　ＦＵＮＤＳ　ＪＰＸ日経４００レバレッジ・インデックス連動型上場投信　受益証券</t>
  </si>
  <si>
    <t>NEXT FUNDS JPX-Nikkei 400 Leveraged Index Exchange Traded Fund</t>
  </si>
  <si>
    <t>26</t>
  </si>
  <si>
    <t>1471</t>
  </si>
  <si>
    <t>ＮＥＸＴ　ＦＵＮＤＳ　ＪＰＸ日経４００インバース・インデックス連動型上場投信　受益証券</t>
  </si>
  <si>
    <t>NEXT FUNDS JPX-Nikkei 400 Inverse Index Exchange Traded Fund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</si>
  <si>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</si>
  <si>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</si>
  <si>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</si>
  <si>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</si>
  <si>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</si>
  <si>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</si>
  <si>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</si>
  <si>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</si>
  <si>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</si>
  <si>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</si>
  <si>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</si>
  <si>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</si>
  <si>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</si>
  <si>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</si>
  <si>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</si>
  <si>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</si>
  <si>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</si>
  <si>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</si>
  <si>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</si>
  <si>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</si>
  <si>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</si>
  <si>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</si>
  <si>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</si>
  <si>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</si>
  <si>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21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</si>
  <si>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</si>
  <si>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</si>
  <si>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</si>
  <si>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</si>
  <si>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</si>
  <si>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</si>
  <si>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</si>
  <si>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</si>
  <si>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</si>
  <si>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</si>
  <si>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</si>
  <si>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</si>
  <si>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</si>
  <si>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</si>
  <si>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</si>
  <si>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</si>
  <si>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</si>
  <si>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</si>
  <si>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</si>
  <si>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</si>
  <si>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</si>
  <si>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</si>
  <si>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</si>
  <si>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</si>
  <si>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</si>
  <si>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</si>
  <si>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</si>
  <si>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</si>
  <si>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</si>
  <si>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</si>
  <si>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</si>
  <si>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</si>
  <si>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</si>
  <si>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</si>
  <si>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</si>
  <si>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</si>
  <si>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</si>
  <si>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</si>
  <si>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</si>
  <si>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</si>
  <si>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</si>
  <si>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</si>
  <si>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</si>
  <si>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</si>
  <si>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</si>
  <si>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</si>
  <si>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</si>
  <si>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</si>
  <si>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</si>
  <si>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</si>
  <si>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</si>
  <si>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</si>
  <si>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</si>
  <si>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</si>
  <si>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</si>
  <si>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</si>
  <si>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</si>
  <si>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</si>
  <si>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</si>
  <si>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</si>
  <si>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</si>
  <si>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</si>
  <si>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</si>
  <si>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</si>
  <si>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</si>
  <si>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</si>
  <si>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</si>
  <si>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</si>
  <si>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</si>
  <si>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</si>
  <si>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ＮＡＳＤＡＱ－１００連動型上場投信　受益証券</t>
  </si>
  <si>
    <t>NEXT FUNDS NASDAQ-100 Exchange Traded Fund</t>
  </si>
  <si>
    <t>1546</t>
  </si>
  <si>
    <t>ＮＥＸＴ　ＦＵＮＤＳ　ダウ・ジョーンズ工業株３０種平均株価連動型上場投信　受益証券</t>
  </si>
  <si>
    <t>NEXT FUNDS Dow Jones Industrial Average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</si>
  <si>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</si>
  <si>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</si>
  <si>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</si>
  <si>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</si>
  <si>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</si>
  <si>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</si>
  <si>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</si>
  <si>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ＪＡＳＤＡＱ－ＴＯＰ２０上場投信　受益証券</t>
  </si>
  <si>
    <t>JASDAQ-TOP20 ETF</t>
  </si>
  <si>
    <t>1552</t>
  </si>
  <si>
    <t>国際のＥＴＦ　ＶＩＸ短期先物指数　受益証券</t>
  </si>
  <si>
    <t>KOKUSAI S&amp;P500 VIX SHORT-TERM FUTURES INDEX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</si>
  <si>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</si>
  <si>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</si>
  <si>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</si>
  <si>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</si>
  <si>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</si>
  <si>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</si>
  <si>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</si>
  <si>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</si>
  <si>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</si>
  <si>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</si>
  <si>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</si>
  <si>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</si>
  <si>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</si>
  <si>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</si>
  <si>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</si>
  <si>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20</t>
  </si>
  <si>
    <t>1563</t>
  </si>
  <si>
    <t>マザーズ・コア上場投信　受益証券</t>
  </si>
  <si>
    <t>TSE Mothers Core ETF</t>
  </si>
  <si>
    <t>1566</t>
  </si>
  <si>
    <t>上場インデックスファンド新興国債券　受益証券</t>
  </si>
  <si>
    <t>Listed Index Fund Emerging Bond</t>
  </si>
  <si>
    <t>1567</t>
  </si>
  <si>
    <t>ＭＡＸＩＳトピックスリスクコントロール（５％）上場投信　受益証券</t>
  </si>
  <si>
    <t>MAXIS TOPIX Risk Control (5%) ETF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</si>
  <si>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</si>
  <si>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</si>
  <si>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</si>
  <si>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</si>
  <si>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</si>
  <si>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</si>
  <si>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</si>
  <si>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</si>
  <si>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</si>
  <si>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</si>
  <si>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</si>
  <si>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</si>
  <si>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</si>
  <si>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</si>
  <si>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</si>
  <si>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</si>
  <si>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</si>
  <si>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</si>
  <si>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1574</t>
  </si>
  <si>
    <t>ＭＡＸＩＳトピックスリスクコントロール（１０％）上場投信　受益証券</t>
  </si>
  <si>
    <t>MAXIS TOPIX Risk Control (10%) ETF</t>
  </si>
  <si>
    <t>1575</t>
  </si>
  <si>
    <t>ＣｈｉｎａＡＭＣ　ＣＳＩ　３００　Ｉｎｄｅｘ　ＥＴＦ－ＪＤＲ　受益証券</t>
  </si>
  <si>
    <t>ChinaAMC CSI 300 Index ETF-JDR</t>
  </si>
  <si>
    <t>1576</t>
  </si>
  <si>
    <t>南方　ＦＴＳＥ　中国Ａ株５０　ＥＴＦ　受益証券</t>
  </si>
  <si>
    <t>CSOP FTSE CHINA A50 ETF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</si>
  <si>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</si>
  <si>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</si>
  <si>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</si>
  <si>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</si>
  <si>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</si>
  <si>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</si>
  <si>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</si>
  <si>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</si>
  <si>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</si>
  <si>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</si>
  <si>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</si>
  <si>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</si>
  <si>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</si>
  <si>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</si>
  <si>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</si>
  <si>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1585</t>
  </si>
  <si>
    <t>ダイワ上場投信・ＴＯＰＩＸ　Ｅｘ－Ｆｉｎａｎｃｉａｌｓ　受益証券</t>
  </si>
  <si>
    <t>Daiwa 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</si>
  <si>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</si>
  <si>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</si>
  <si>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</si>
  <si>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</si>
  <si>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</si>
  <si>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</si>
  <si>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</si>
  <si>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</si>
  <si>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</si>
  <si>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</si>
  <si>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</si>
  <si>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</si>
  <si>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</si>
  <si>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</si>
  <si>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</si>
  <si>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</si>
  <si>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</si>
  <si>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</si>
  <si>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</si>
  <si>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</si>
  <si>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</si>
  <si>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1598</t>
  </si>
  <si>
    <t>ＮＥＸＴ　ＦＵＮＤＳ　Ｒ／Ｎファンダメンタル・インデックス上場投信　受益証券</t>
  </si>
  <si>
    <t>NEXT FUNDS Russell/Nomura Fundamental Index ETF</t>
  </si>
  <si>
    <t>1599</t>
  </si>
  <si>
    <t>ダイワ上場投信－ＪＰＸ日経４００　受益証券</t>
  </si>
  <si>
    <t>Daiwa ETF JPX-Nikkei 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</si>
  <si>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</si>
  <si>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</si>
  <si>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</si>
  <si>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</si>
  <si>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</si>
  <si>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</si>
  <si>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</si>
  <si>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</si>
  <si>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</si>
  <si>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</si>
  <si>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</si>
  <si>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</si>
  <si>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</si>
  <si>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</si>
  <si>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</si>
  <si>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</si>
  <si>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</si>
  <si>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</si>
  <si>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</si>
  <si>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</si>
  <si>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</si>
  <si>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</si>
  <si>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</si>
  <si>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</si>
  <si>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</si>
  <si>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</si>
  <si>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</si>
  <si>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</si>
  <si>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</si>
  <si>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</si>
  <si>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</si>
  <si>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</si>
  <si>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</si>
  <si>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</si>
  <si>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</si>
  <si>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</si>
  <si>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</si>
  <si>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</si>
  <si>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</si>
  <si>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</si>
  <si>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</si>
  <si>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</si>
  <si>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</si>
  <si>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</si>
  <si>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</si>
  <si>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</si>
  <si>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</si>
  <si>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</si>
  <si>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</si>
  <si>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</si>
  <si>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</si>
  <si>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</si>
  <si>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</si>
  <si>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</si>
  <si>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</si>
  <si>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</si>
  <si>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</si>
  <si>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</si>
  <si>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</si>
  <si>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</si>
  <si>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</si>
  <si>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</si>
  <si>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</si>
  <si>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</si>
  <si>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</si>
  <si>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</si>
  <si>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</si>
  <si>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</si>
  <si>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</si>
  <si>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</si>
  <si>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</si>
  <si>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</si>
  <si>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</si>
  <si>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</si>
  <si>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</si>
  <si>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</si>
  <si>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</si>
  <si>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</si>
  <si>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</si>
  <si>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</si>
  <si>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</si>
  <si>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</si>
  <si>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</si>
  <si>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</si>
  <si>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1670</t>
  </si>
  <si>
    <t>ＭＡＸＩＳ　Ｓ＆Ｐ三菱系企業群上場投信　受益証券</t>
  </si>
  <si>
    <t>MAXIS S&amp;P Mitsubishi Group ETF</t>
  </si>
  <si>
    <t>確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</si>
  <si>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</si>
  <si>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</si>
  <si>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</si>
  <si>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</si>
  <si>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</si>
  <si>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</si>
  <si>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</si>
  <si>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</si>
  <si>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</si>
  <si>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</si>
  <si>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</si>
  <si>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</si>
  <si>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</si>
  <si>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</si>
  <si>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</si>
  <si>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</si>
  <si>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</si>
  <si>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</si>
  <si>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</si>
  <si>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</si>
  <si>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</si>
  <si>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</si>
  <si>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</si>
  <si>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</si>
  <si>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</si>
  <si>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</si>
  <si>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</si>
  <si>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</si>
  <si>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</si>
  <si>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</si>
  <si>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</si>
  <si>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</si>
  <si>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</si>
  <si>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</si>
  <si>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</si>
  <si>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</si>
  <si>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</si>
  <si>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</si>
  <si>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</si>
  <si>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</si>
  <si>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</si>
  <si>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</si>
  <si>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</si>
  <si>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</si>
  <si>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</si>
  <si>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</si>
  <si>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</si>
  <si>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</si>
  <si>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</si>
  <si>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</si>
  <si>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</si>
  <si>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</si>
  <si>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</si>
  <si>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</si>
  <si>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</si>
  <si>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</si>
  <si>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</si>
  <si>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</si>
  <si>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</si>
  <si>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</si>
  <si>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</si>
  <si>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</si>
  <si>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</si>
  <si>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</si>
  <si>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</si>
  <si>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</si>
  <si>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</si>
  <si>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</si>
  <si>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</si>
  <si>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</si>
  <si>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</si>
  <si>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</si>
  <si>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19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</si>
  <si>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</si>
  <si>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</si>
  <si>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</si>
  <si>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</si>
  <si>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</si>
  <si>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</si>
  <si>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</si>
  <si>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</si>
  <si>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</si>
  <si>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</si>
  <si>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</si>
  <si>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</si>
  <si>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</si>
  <si>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</si>
  <si>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</si>
  <si>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</si>
  <si>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</si>
  <si>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</si>
  <si>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</si>
  <si>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</si>
  <si>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</si>
  <si>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</si>
  <si>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</si>
  <si>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</si>
  <si>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</si>
  <si>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2035</t>
  </si>
  <si>
    <t>ＮＥＸＴ　ＮＯＴＥＳ　日経平均ＶＩ先物指数　ＥＴＮ　受益証券</t>
  </si>
  <si>
    <t>NEXT NOTES Nikkei 225 VI Futures Index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</si>
  <si>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</si>
  <si>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</si>
  <si>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</si>
  <si>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</si>
  <si>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</si>
  <si>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</si>
  <si>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</si>
  <si>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</si>
  <si>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</si>
  <si>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</si>
  <si>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</si>
  <si>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</si>
  <si>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</si>
  <si>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</si>
  <si>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</si>
  <si>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</si>
  <si>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</si>
  <si>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</si>
  <si>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</si>
  <si>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</si>
  <si>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</si>
  <si>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</si>
  <si>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</si>
  <si>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</si>
  <si>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</si>
  <si>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</si>
  <si>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</si>
  <si>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</si>
  <si>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</si>
  <si>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</si>
  <si>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</si>
  <si>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</si>
  <si>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</si>
  <si>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</si>
  <si>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</si>
  <si>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</si>
  <si>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</si>
  <si>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</si>
  <si>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</si>
  <si>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</si>
  <si>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</si>
  <si>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</si>
  <si>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</si>
  <si>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</si>
  <si>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</si>
  <si>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</si>
  <si>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</si>
  <si>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</si>
  <si>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</si>
  <si>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</si>
  <si>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</si>
  <si>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</si>
  <si>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</si>
  <si>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</si>
  <si>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</si>
  <si>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</si>
  <si>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</si>
  <si>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</si>
  <si>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</si>
  <si>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</si>
  <si>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</si>
  <si>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</si>
  <si>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</si>
  <si>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</si>
  <si>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</si>
  <si>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</si>
  <si>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</si>
  <si>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</si>
  <si>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</si>
  <si>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</si>
  <si>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</si>
  <si>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</si>
  <si>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</si>
  <si>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</si>
  <si>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</si>
  <si>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</si>
  <si>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</si>
  <si>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</si>
  <si>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</si>
  <si>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</si>
  <si>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</si>
  <si>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</si>
  <si>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</si>
  <si>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</si>
  <si>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</si>
  <si>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</si>
  <si>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</si>
  <si>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</si>
  <si>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</si>
  <si>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</si>
  <si>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</si>
  <si>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</si>
  <si>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</si>
  <si>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</si>
  <si>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</si>
  <si>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</si>
  <si>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</si>
  <si>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</si>
  <si>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</si>
  <si>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</si>
  <si>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</si>
  <si>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</si>
  <si>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</si>
  <si>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</si>
  <si>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</si>
  <si>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</si>
  <si>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</si>
  <si>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</si>
  <si>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</si>
  <si>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</si>
  <si>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</si>
  <si>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</si>
  <si>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</si>
  <si>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</si>
  <si>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</si>
  <si>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</si>
  <si>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</si>
  <si>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</si>
  <si>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</si>
  <si>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</si>
  <si>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</si>
  <si>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</si>
  <si>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</si>
  <si>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</si>
  <si>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</si>
  <si>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</si>
  <si>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</si>
  <si>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</si>
  <si>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</si>
  <si>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</si>
  <si>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</si>
  <si>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</si>
  <si>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</si>
  <si>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</si>
  <si>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</si>
  <si>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</si>
  <si>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ブルームバーグ・バークレイズ米国投資適格社債（１－１０年）インデックス（為替ヘッジあり）連動型上場投信　受益証券</t>
  </si>
  <si>
    <t>NEXT FUNDS Bloomberg Barclays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</si>
  <si>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</si>
  <si>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</si>
  <si>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</si>
  <si>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</si>
  <si>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</si>
  <si>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</si>
  <si>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</si>
  <si>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</si>
  <si>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</si>
  <si>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</si>
  <si>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</si>
  <si>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</si>
  <si>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</si>
  <si>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</si>
  <si>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</si>
  <si>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</si>
  <si>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</si>
  <si>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</si>
  <si>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</si>
  <si>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</si>
  <si>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</si>
  <si>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</si>
  <si>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</si>
  <si>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</si>
  <si>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</si>
  <si>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</si>
  <si>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</si>
  <si>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</si>
  <si>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</si>
  <si>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</si>
  <si>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</si>
  <si>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</si>
  <si>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</si>
  <si>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</si>
  <si>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</si>
  <si>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</si>
  <si>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</si>
  <si>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</si>
  <si>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</si>
  <si>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</si>
  <si>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</si>
  <si>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</si>
  <si>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</si>
  <si>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</si>
  <si>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</si>
  <si>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</si>
  <si>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</si>
  <si>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</si>
  <si>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</si>
  <si>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</si>
  <si>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</si>
  <si>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</si>
  <si>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</si>
  <si>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</si>
  <si>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</si>
  <si>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</si>
  <si>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</si>
  <si>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</si>
  <si>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</si>
  <si>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iFreeETF-Nikkei225(Quarterly Dividend Type)</t>
  </si>
  <si>
    <t>2625</t>
  </si>
  <si>
    <t>ｉＦｒｅｅＥＴＦ　ＴＯＰＩＸ（年４回決算型）　受益証券</t>
  </si>
  <si>
    <t>iFreeETF-TOPIX(Quarterly Dividend Type)</t>
  </si>
  <si>
    <t>2626</t>
  </si>
  <si>
    <t>グローバルＸ　デジタル・イノベーション－日本株式　ＥＴＦ　受益証券</t>
  </si>
  <si>
    <t>Global X Digital Innovation Japan ETF</t>
  </si>
  <si>
    <t xml:space="preserve">新規上場  </t>
  </si>
  <si>
    <t xml:space="preserve">New Listing  </t>
  </si>
  <si>
    <t xml:space="preserve">2021/01/27  </t>
  </si>
  <si>
    <t>2627</t>
  </si>
  <si>
    <t>グローバルＸ　ｅコマース－日本株式　ＥＴＦ　受益証券</t>
  </si>
  <si>
    <t>Global X E-Commerce Japan ETF</t>
  </si>
  <si>
    <t>2021/02</t>
  </si>
  <si>
    <t>1</t>
  </si>
  <si>
    <t>16</t>
  </si>
  <si>
    <t>17</t>
  </si>
  <si>
    <t>24</t>
  </si>
  <si>
    <t>2</t>
  </si>
  <si>
    <t>3</t>
  </si>
  <si>
    <t>9</t>
  </si>
  <si>
    <t>10</t>
  </si>
  <si>
    <t>2630</t>
  </si>
  <si>
    <t>ＭＡＸＩＳ米国株式（Ｓ＆Ｐ５００）上場投信（為替ヘッジあり）　受益証券</t>
  </si>
  <si>
    <t>MAXIS S&amp;P500 US Equity ETF (JPY Hedged)</t>
  </si>
  <si>
    <t xml:space="preserve">2021/02/25  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</si>
  <si>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</si>
  <si>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</si>
  <si>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</si>
  <si>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</si>
  <si>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</si>
  <si>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</si>
  <si>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2021/03</t>
  </si>
  <si>
    <t>31</t>
  </si>
  <si>
    <t>30</t>
  </si>
  <si>
    <t>23</t>
  </si>
  <si>
    <t>11</t>
  </si>
  <si>
    <t xml:space="preserve">新株落ち  </t>
  </si>
  <si>
    <t xml:space="preserve">ex-subscription right  </t>
  </si>
  <si>
    <t>整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</si>
  <si>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</si>
  <si>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</si>
  <si>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</si>
  <si>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 xml:space="preserve">2021/03/31  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</si>
  <si>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</si>
  <si>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</si>
  <si>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</si>
  <si>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</si>
  <si>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　ＥＳＧ指数連動型上場投信　受益証券</t>
  </si>
  <si>
    <t>NEXT FUNDS S&amp;P 500 ESG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</si>
  <si>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</si>
  <si>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</si>
  <si>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</si>
  <si>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</si>
  <si>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　ＥＳＧ－日本株式　ＥＴＦ　受益証券</t>
  </si>
  <si>
    <t>Global X CleanTech ESG Japan ETF</t>
  </si>
  <si>
    <t>2021/04</t>
  </si>
  <si>
    <t xml:space="preserve">上場廃止  </t>
  </si>
  <si>
    <t xml:space="preserve">Removal  </t>
  </si>
  <si>
    <t xml:space="preserve">2021/04/18  </t>
  </si>
  <si>
    <t>2628</t>
  </si>
  <si>
    <t>ｉＦｒｅｅＥＴＦ　中国科創板５０（ＳＴＡＲ５０）　受益証券</t>
  </si>
  <si>
    <t>iFreeETF China STAR50</t>
  </si>
  <si>
    <t xml:space="preserve">2021/04/08  </t>
  </si>
  <si>
    <t>2629</t>
  </si>
  <si>
    <t>ｉＦｒｅｅＥＴＦ　中国グレーターベイエリア・イノベーション１００（ＧＢＡ１００）　受益証券</t>
  </si>
  <si>
    <t>iFreeETF China GBA100</t>
  </si>
  <si>
    <t>2021/05</t>
  </si>
  <si>
    <t>2021/06</t>
  </si>
  <si>
    <t xml:space="preserve">2021/06/29  </t>
  </si>
  <si>
    <t xml:space="preserve">2021/06/09  </t>
  </si>
  <si>
    <t>2638</t>
  </si>
  <si>
    <t>グローバルＸ　ロボティクス＆ＡＩ－日本株式　ＥＴＦ　受益証券</t>
  </si>
  <si>
    <t>Global X Japan Robotics &amp; AI ETF</t>
  </si>
  <si>
    <t xml:space="preserve">2021/06/23  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</si>
  <si>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</si>
  <si>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</si>
  <si>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</si>
  <si>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</si>
  <si>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</si>
  <si>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</si>
  <si>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</si>
  <si>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　ＥＳＧ－日本株式　ＥＴＦ　受益証券</t>
  </si>
  <si>
    <t>Global X Japan Global Leaders ESG ETF</t>
  </si>
  <si>
    <t>2642</t>
  </si>
  <si>
    <t>ＳＭＴ　ＥＴＦカーボン・エフィシェント日本株　受益証券</t>
  </si>
  <si>
    <t>SMT ETF Carbon Efficient Index Japan Equity</t>
  </si>
  <si>
    <t>2021/07</t>
  </si>
  <si>
    <t>2643</t>
  </si>
  <si>
    <t>ＮＥＸＴ　ＦＵＮＤＳ　ＭＳＣＩジャパンカントリーＥＳＧリーダーズ指数連動型上場投信　受益証券</t>
  </si>
  <si>
    <t>NEXT FUNDS MSCI Japan Country ESG Leaders Index Exchange Traded Fund</t>
  </si>
  <si>
    <t xml:space="preserve">2021/07/16  </t>
  </si>
  <si>
    <t>2021/08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</si>
  <si>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</si>
  <si>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</si>
  <si>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2021/09</t>
  </si>
  <si>
    <t xml:space="preserve">2021/09/17  </t>
  </si>
  <si>
    <t>2644</t>
  </si>
  <si>
    <t>グローバルＸ　半導体関連－日本株式　ＥＴＦ　受益証券</t>
  </si>
  <si>
    <t>Global X Japan Semiconductor ETF</t>
  </si>
  <si>
    <t xml:space="preserve">2021/09/28  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</si>
  <si>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</si>
  <si>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</si>
  <si>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</si>
  <si>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</si>
  <si>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</si>
  <si>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</si>
  <si>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2021/10</t>
  </si>
  <si>
    <t xml:space="preserve">2021/10/09  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</si>
  <si>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</si>
  <si>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</si>
  <si>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</si>
  <si>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 xml:space="preserve">2021/10/29  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</si>
  <si>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</si>
  <si>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</si>
  <si>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</si>
  <si>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－</t>
  </si>
  <si>
    <t>2021/11</t>
  </si>
  <si>
    <t xml:space="preserve">2021/11/05  </t>
  </si>
  <si>
    <t>2021/12</t>
  </si>
  <si>
    <t>2836</t>
  </si>
  <si>
    <t>グローバルＸ　フィンテック－日本株式　ＥＴＦ　受益証券</t>
  </si>
  <si>
    <t>Global X Japan Fintech ETF</t>
  </si>
  <si>
    <t xml:space="preserve">2021/12/08  </t>
  </si>
  <si>
    <t>2837</t>
  </si>
  <si>
    <t>グローバルＸ　中小型リーダーズ　ＥＳＧ－日本株式　ＥＴＦ　受益証券</t>
  </si>
  <si>
    <t>Global X Japan Mid &amp; Small Cap Leaders ESG ETF</t>
  </si>
  <si>
    <t>2838</t>
  </si>
  <si>
    <t>ＭＡＸＩＳ米国国債７－１０年上場投信（為替ヘッジなし）　受益証券</t>
  </si>
  <si>
    <t>MAXIS US Treasury Bond 7-10 Year ETF (Unhedged)</t>
  </si>
  <si>
    <t xml:space="preserve">2021/12/10  </t>
  </si>
  <si>
    <t>2839</t>
  </si>
  <si>
    <t>ＭＡＸＩＳ米国国債７－１０年上場投信（為替ヘッジあり）　受益証券</t>
  </si>
  <si>
    <t>MAXIS US Treasury Bond 7-10 Year ETF (JPY Hedged)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</si>
</sst>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986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9" fontId="2" fillId="0" borderId="0" applyFont="0" applyFill="0" applyBorder="0" applyAlignment="0" applyProtection="0"/>
    <xf numFmtId="0" fontId="12" fillId="0" borderId="0"/>
    <xf numFmtId="0" fontId="8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1" fillId="20" borderId="23" applyNumberFormat="0" applyAlignment="0" applyProtection="0"/>
    <xf numFmtId="0" fontId="22" fillId="21" borderId="24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5" applyNumberFormat="0" applyAlignment="0" applyProtection="0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0" fillId="0" borderId="22">
      <alignment horizontal="left" vertical="center"/>
    </xf>
    <xf numFmtId="0" fontId="31" fillId="0" borderId="26" applyNumberFormat="0" applyFill="0" applyAlignment="0" applyProtection="0"/>
    <xf numFmtId="0" fontId="32" fillId="0" borderId="27" applyNumberFormat="0" applyFill="0" applyAlignment="0" applyProtection="0"/>
    <xf numFmtId="0" fontId="33" fillId="0" borderId="28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3" applyNumberFormat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34" fillId="7" borderId="23" applyNumberFormat="0" applyAlignment="0" applyProtection="0"/>
    <xf numFmtId="0" fontId="7" fillId="0" borderId="0"/>
    <xf numFmtId="0" fontId="35" fillId="0" borderId="29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24" fillId="26" borderId="30" applyNumberFormat="0" applyFon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0" fontId="40" fillId="20" borderId="31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2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8" fillId="0" borderId="33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4" applyNumberFormat="0" applyAlignment="0" applyProtection="0">
      <alignment vertical="center"/>
    </xf>
    <xf numFmtId="0" fontId="52" fillId="21" borderId="24" applyNumberFormat="0" applyAlignment="0" applyProtection="0">
      <alignment vertical="center"/>
    </xf>
    <xf numFmtId="0" fontId="52" fillId="21" borderId="24" applyNumberFormat="0" applyAlignment="0" applyProtection="0">
      <alignment vertical="center"/>
    </xf>
    <xf numFmtId="0" fontId="52" fillId="21" borderId="24" applyNumberFormat="0" applyAlignment="0" applyProtection="0">
      <alignment vertical="center"/>
    </xf>
    <xf numFmtId="0" fontId="52" fillId="21" borderId="24" applyNumberFormat="0" applyAlignment="0" applyProtection="0">
      <alignment vertical="center"/>
    </xf>
    <xf numFmtId="0" fontId="52" fillId="21" borderId="24" applyNumberFormat="0" applyAlignment="0" applyProtection="0">
      <alignment vertical="center"/>
    </xf>
    <xf numFmtId="0" fontId="52" fillId="21" borderId="24" applyNumberFormat="0" applyAlignment="0" applyProtection="0">
      <alignment vertical="center"/>
    </xf>
    <xf numFmtId="0" fontId="52" fillId="21" borderId="24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14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7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8" fillId="26" borderId="30" applyNumberFormat="0" applyFont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1" fillId="20" borderId="2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67" fillId="0" borderId="26" applyNumberFormat="0" applyFill="0" applyAlignment="0" applyProtection="0">
      <alignment vertical="center"/>
    </xf>
    <xf numFmtId="0" fontId="67" fillId="0" borderId="26" applyNumberFormat="0" applyFill="0" applyAlignment="0" applyProtection="0">
      <alignment vertical="center"/>
    </xf>
    <xf numFmtId="0" fontId="67" fillId="0" borderId="26" applyNumberFormat="0" applyFill="0" applyAlignment="0" applyProtection="0">
      <alignment vertical="center"/>
    </xf>
    <xf numFmtId="0" fontId="67" fillId="0" borderId="26" applyNumberFormat="0" applyFill="0" applyAlignment="0" applyProtection="0">
      <alignment vertical="center"/>
    </xf>
    <xf numFmtId="0" fontId="67" fillId="0" borderId="26" applyNumberFormat="0" applyFill="0" applyAlignment="0" applyProtection="0">
      <alignment vertical="center"/>
    </xf>
    <xf numFmtId="0" fontId="67" fillId="0" borderId="26" applyNumberFormat="0" applyFill="0" applyAlignment="0" applyProtection="0">
      <alignment vertical="center"/>
    </xf>
    <xf numFmtId="0" fontId="67" fillId="0" borderId="26" applyNumberFormat="0" applyFill="0" applyAlignment="0" applyProtection="0">
      <alignment vertical="center"/>
    </xf>
    <xf numFmtId="0" fontId="67" fillId="0" borderId="26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8" fillId="0" borderId="27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28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7" applyNumberFormat="0" applyFill="0" applyBorder="0" applyProtection="0"/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0" fontId="73" fillId="20" borderId="31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6" fillId="7" borderId="23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64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9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8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8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14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" fillId="0" borderId="0"/>
    <xf numFmtId="0" fontId="8" fillId="0" borderId="0"/>
    <xf numFmtId="0" fontId="83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3" fillId="0" borderId="0"/>
    <xf numFmtId="0" fontId="8" fillId="0" borderId="0"/>
    <xf numFmtId="0" fontId="83" fillId="0" borderId="0"/>
    <xf numFmtId="0" fontId="1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4" fillId="0" borderId="0">
      <alignment vertical="center"/>
    </xf>
    <xf numFmtId="0" fontId="8" fillId="0" borderId="0"/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8" fillId="0" borderId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  <xf numFmtId="10" fontId="28" fillId="24" borderId="34" applyNumberFormat="0" applyBorder="0" applyAlignment="0" applyProtection="0"/>
  </cellStyleXfs>
  <cellXfs count="90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0" fontId="4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49" fontId="7" fillId="0" borderId="9" xfId="2" applyNumberFormat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0" fontId="2" fillId="0" borderId="14" xfId="1" applyNumberFormat="1" applyFont="1" applyFill="1" applyBorder="1" applyAlignment="1">
      <alignment horizontal="center" vertical="center"/>
    </xf>
    <xf numFmtId="49" fontId="2" fillId="0" borderId="15" xfId="2" applyNumberFormat="1" applyFont="1" applyFill="1" applyBorder="1" applyAlignment="1">
      <alignment horizontal="center" vertical="center"/>
    </xf>
    <xf numFmtId="49" fontId="7" fillId="0" borderId="13" xfId="2" applyNumberFormat="1" applyFont="1" applyFill="1" applyBorder="1" applyAlignment="1">
      <alignment horizontal="center" vertical="center"/>
    </xf>
    <xf numFmtId="49" fontId="2" fillId="0" borderId="16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right" vertical="center"/>
    </xf>
    <xf numFmtId="0" fontId="2" fillId="0" borderId="6" xfId="1" applyNumberFormat="1" applyFont="1" applyFill="1" applyBorder="1" applyAlignment="1">
      <alignment horizontal="right" vertical="center"/>
    </xf>
    <xf numFmtId="0" fontId="2" fillId="0" borderId="18" xfId="1" applyNumberFormat="1" applyFont="1" applyFill="1" applyBorder="1" applyAlignment="1">
      <alignment horizontal="right" vertical="center"/>
    </xf>
    <xf numFmtId="0" fontId="2" fillId="0" borderId="19" xfId="1" applyNumberFormat="1" applyFont="1" applyFill="1" applyBorder="1" applyAlignment="1">
      <alignment horizontal="right" vertical="center"/>
    </xf>
    <xf numFmtId="49" fontId="11" fillId="0" borderId="17" xfId="2" applyNumberFormat="1" applyFont="1" applyFill="1" applyBorder="1" applyAlignment="1">
      <alignment horizontal="right"/>
    </xf>
    <xf numFmtId="49" fontId="11" fillId="0" borderId="20" xfId="2" applyNumberFormat="1" applyFont="1" applyFill="1" applyBorder="1" applyAlignment="1">
      <alignment horizontal="right"/>
    </xf>
    <xf numFmtId="49" fontId="11" fillId="0" borderId="19" xfId="2" applyNumberFormat="1" applyFont="1" applyFill="1" applyBorder="1" applyAlignment="1">
      <alignment horizontal="right"/>
    </xf>
    <xf numFmtId="49" fontId="7" fillId="0" borderId="34" xfId="2" applyNumberFormat="1" applyFont="1" applyFill="1" applyBorder="1" applyAlignment="1">
      <alignment horizontal="left"/>
    </xf>
    <xf numFmtId="0" fontId="7" fillId="0" borderId="0" xfId="1" applyFont="1">
      <alignment vertical="center"/>
    </xf>
    <xf numFmtId="49" fontId="7" fillId="0" borderId="34" xfId="1" applyNumberFormat="1" applyFont="1" applyFill="1" applyBorder="1" applyAlignment="1">
      <alignment horizontal="left" vertical="center"/>
    </xf>
    <xf numFmtId="49" fontId="7" fillId="0" borderId="37" xfId="1" applyNumberFormat="1" applyFont="1" applyFill="1" applyBorder="1" applyAlignment="1">
      <alignment horizontal="left" vertical="center"/>
    </xf>
    <xf numFmtId="49" fontId="7" fillId="0" borderId="38" xfId="1" applyNumberFormat="1" applyFont="1" applyFill="1" applyBorder="1" applyAlignment="1">
      <alignment horizontal="left" vertical="center"/>
    </xf>
    <xf numFmtId="49" fontId="7" fillId="0" borderId="36" xfId="1" applyNumberFormat="1" applyFont="1" applyFill="1" applyBorder="1" applyAlignment="1">
      <alignment horizontal="left" vertical="center"/>
    </xf>
    <xf numFmtId="3" fontId="7" fillId="0" borderId="34" xfId="2" applyNumberFormat="1" applyFont="1" applyFill="1" applyBorder="1" applyAlignment="1">
      <alignment horizontal="right"/>
    </xf>
    <xf numFmtId="49" fontId="7" fillId="0" borderId="36" xfId="2" applyNumberFormat="1" applyFont="1" applyFill="1" applyBorder="1" applyAlignment="1">
      <alignment horizontal="right"/>
    </xf>
    <xf numFmtId="189" fontId="7" fillId="0" borderId="34" xfId="2" applyNumberFormat="1" applyFont="1" applyFill="1" applyBorder="1" applyAlignment="1">
      <alignment horizontal="right"/>
    </xf>
    <xf numFmtId="4" fontId="7" fillId="0" borderId="34" xfId="2" applyNumberFormat="1" applyFont="1" applyFill="1" applyBorder="1" applyAlignment="1">
      <alignment horizontal="right"/>
    </xf>
    <xf numFmtId="4" fontId="7" fillId="0" borderId="35" xfId="2" applyNumberFormat="1" applyFont="1" applyFill="1" applyBorder="1" applyAlignment="1">
      <alignment horizontal="right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49" fontId="7" fillId="0" borderId="9" xfId="2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49" fontId="2" fillId="0" borderId="15" xfId="2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center" vertical="center"/>
    </xf>
    <xf numFmtId="49" fontId="2" fillId="0" borderId="16" xfId="2" applyNumberFormat="1" applyFont="1" applyBorder="1" applyAlignment="1">
      <alignment horizontal="center" vertical="center"/>
    </xf>
    <xf numFmtId="49" fontId="2" fillId="0" borderId="13" xfId="2" applyNumberFormat="1" applyFont="1" applyBorder="1" applyAlignment="1">
      <alignment horizontal="center" vertical="center"/>
    </xf>
    <xf numFmtId="0" fontId="2" fillId="0" borderId="17" xfId="1" applyFont="1" applyBorder="1" applyAlignment="1">
      <alignment horizontal="right" vertical="center"/>
    </xf>
    <xf numFmtId="0" fontId="2" fillId="0" borderId="6" xfId="1" applyFont="1" applyBorder="1" applyAlignment="1">
      <alignment horizontal="right" vertical="center"/>
    </xf>
    <xf numFmtId="0" fontId="2" fillId="0" borderId="18" xfId="1" applyFont="1" applyBorder="1" applyAlignment="1">
      <alignment horizontal="right" vertical="center"/>
    </xf>
    <xf numFmtId="0" fontId="2" fillId="0" borderId="19" xfId="1" applyFont="1" applyBorder="1" applyAlignment="1">
      <alignment horizontal="right" vertical="center"/>
    </xf>
    <xf numFmtId="49" fontId="11" fillId="0" borderId="17" xfId="2" applyNumberFormat="1" applyFont="1" applyBorder="1" applyAlignment="1">
      <alignment horizontal="right"/>
    </xf>
    <xf numFmtId="49" fontId="11" fillId="0" borderId="20" xfId="2" applyNumberFormat="1" applyFont="1" applyBorder="1" applyAlignment="1">
      <alignment horizontal="right"/>
    </xf>
    <xf numFmtId="49" fontId="11" fillId="0" borderId="19" xfId="2" applyNumberFormat="1" applyFont="1" applyBorder="1" applyAlignment="1">
      <alignment horizontal="right"/>
    </xf>
    <xf numFmtId="49" fontId="7" fillId="0" borderId="34" xfId="1" applyNumberFormat="1" applyFont="1" applyBorder="1" applyAlignment="1">
      <alignment horizontal="left" vertical="center"/>
    </xf>
    <xf numFmtId="49" fontId="7" fillId="0" borderId="37" xfId="1" applyNumberFormat="1" applyFont="1" applyBorder="1" applyAlignment="1">
      <alignment horizontal="left" vertical="center"/>
    </xf>
    <xf numFmtId="49" fontId="7" fillId="0" borderId="38" xfId="1" applyNumberFormat="1" applyFont="1" applyBorder="1" applyAlignment="1">
      <alignment horizontal="left" vertical="center"/>
    </xf>
    <xf numFmtId="49" fontId="7" fillId="0" borderId="36" xfId="1" applyNumberFormat="1" applyFont="1" applyBorder="1" applyAlignment="1">
      <alignment horizontal="left" vertical="center"/>
    </xf>
    <xf numFmtId="49" fontId="7" fillId="0" borderId="34" xfId="2" applyNumberFormat="1" applyFont="1" applyBorder="1" applyAlignment="1">
      <alignment horizontal="left"/>
    </xf>
    <xf numFmtId="3" fontId="7" fillId="0" borderId="34" xfId="2" applyNumberFormat="1" applyFont="1" applyBorder="1" applyAlignment="1">
      <alignment horizontal="right"/>
    </xf>
    <xf numFmtId="4" fontId="7" fillId="0" borderId="35" xfId="2" applyNumberFormat="1" applyFont="1" applyBorder="1" applyAlignment="1">
      <alignment horizontal="right"/>
    </xf>
    <xf numFmtId="49" fontId="7" fillId="0" borderId="36" xfId="2" applyNumberFormat="1" applyFont="1" applyBorder="1" applyAlignment="1">
      <alignment horizontal="right"/>
    </xf>
    <xf numFmtId="4" fontId="7" fillId="0" borderId="34" xfId="2" applyNumberFormat="1" applyFont="1" applyBorder="1" applyAlignment="1">
      <alignment horizontal="right"/>
    </xf>
    <xf numFmtId="189" fontId="7" fillId="0" borderId="34" xfId="2" applyNumberFormat="1" applyFont="1" applyBorder="1" applyAlignment="1">
      <alignment horizontal="right"/>
    </xf>
    <xf numFmtId="0" fontId="2" fillId="0" borderId="2" xfId="1" applyFont="1" applyBorder="1" applyAlignment="1">
      <alignment horizontal="left" vertical="top" wrapText="1"/>
    </xf>
    <xf numFmtId="0" fontId="2" fillId="0" borderId="3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5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2" fillId="0" borderId="2" xfId="1" applyFont="1" applyFill="1" applyBorder="1" applyAlignment="1">
      <alignment horizontal="left" vertical="top" wrapText="1"/>
    </xf>
    <xf numFmtId="0" fontId="2" fillId="0" borderId="3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horizontal="left" vertical="top" wrapText="1"/>
    </xf>
    <xf numFmtId="0" fontId="2" fillId="0" borderId="7" xfId="1" applyFont="1" applyFill="1" applyBorder="1" applyAlignment="1">
      <alignment horizontal="left" vertical="top" wrapText="1"/>
    </xf>
    <xf numFmtId="0" fontId="2" fillId="0" borderId="8" xfId="1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86">
    <cellStyle name="_x000c_ーセン_x000c_" xfId="3" xr:uid="{00000000-0005-0000-0000-000000000000}"/>
    <cellStyle name="_x000d__x000a_JournalTemplate=C:\COMFO\CTALK\JOURSTD.TPL_x000d__x000a_LbStateAddress=3 3 0 251 1 89 2 311_x000d__x000a_LbStateJou" xfId="4" xr:uid="{00000000-0005-0000-0000-000001000000}"/>
    <cellStyle name="0,0_x000d__x000a_NA_x000d__x000a_" xfId="5" xr:uid="{00000000-0005-0000-0000-000002000000}"/>
    <cellStyle name="20% - Accent1" xfId="6" xr:uid="{00000000-0005-0000-0000-000003000000}"/>
    <cellStyle name="20% - Accent2" xfId="7" xr:uid="{00000000-0005-0000-0000-000004000000}"/>
    <cellStyle name="20% - Accent3" xfId="8" xr:uid="{00000000-0005-0000-0000-000005000000}"/>
    <cellStyle name="20% - Accent4" xfId="9" xr:uid="{00000000-0005-0000-0000-000006000000}"/>
    <cellStyle name="20% - Accent5" xfId="10" xr:uid="{00000000-0005-0000-0000-000007000000}"/>
    <cellStyle name="20% - Accent6" xfId="11" xr:uid="{00000000-0005-0000-0000-000008000000}"/>
    <cellStyle name="20% - アクセント 1 2" xfId="12" xr:uid="{00000000-0005-0000-0000-000009000000}"/>
    <cellStyle name="20% - アクセント 1 3" xfId="13" xr:uid="{00000000-0005-0000-0000-00000A000000}"/>
    <cellStyle name="20% - アクセント 1 4" xfId="14" xr:uid="{00000000-0005-0000-0000-00000B000000}"/>
    <cellStyle name="20% - アクセント 1 5" xfId="15" xr:uid="{00000000-0005-0000-0000-00000C000000}"/>
    <cellStyle name="20% - アクセント 1 6" xfId="16" xr:uid="{00000000-0005-0000-0000-00000D000000}"/>
    <cellStyle name="20% - アクセント 1 7" xfId="17" xr:uid="{00000000-0005-0000-0000-00000E000000}"/>
    <cellStyle name="20% - アクセント 1 8" xfId="18" xr:uid="{00000000-0005-0000-0000-00000F000000}"/>
    <cellStyle name="20% - アクセント 1 9" xfId="19" xr:uid="{00000000-0005-0000-0000-000010000000}"/>
    <cellStyle name="20% - アクセント 2 2" xfId="20" xr:uid="{00000000-0005-0000-0000-000011000000}"/>
    <cellStyle name="20% - アクセント 2 3" xfId="21" xr:uid="{00000000-0005-0000-0000-000012000000}"/>
    <cellStyle name="20% - アクセント 2 4" xfId="22" xr:uid="{00000000-0005-0000-0000-000013000000}"/>
    <cellStyle name="20% - アクセント 2 5" xfId="23" xr:uid="{00000000-0005-0000-0000-000014000000}"/>
    <cellStyle name="20% - アクセント 2 6" xfId="24" xr:uid="{00000000-0005-0000-0000-000015000000}"/>
    <cellStyle name="20% - アクセント 2 7" xfId="25" xr:uid="{00000000-0005-0000-0000-000016000000}"/>
    <cellStyle name="20% - アクセント 2 8" xfId="26" xr:uid="{00000000-0005-0000-0000-000017000000}"/>
    <cellStyle name="20% - アクセント 2 9" xfId="27" xr:uid="{00000000-0005-0000-0000-000018000000}"/>
    <cellStyle name="20% - アクセント 3 2" xfId="28" xr:uid="{00000000-0005-0000-0000-000019000000}"/>
    <cellStyle name="20% - アクセント 3 3" xfId="29" xr:uid="{00000000-0005-0000-0000-00001A000000}"/>
    <cellStyle name="20% - アクセント 3 4" xfId="30" xr:uid="{00000000-0005-0000-0000-00001B000000}"/>
    <cellStyle name="20% - アクセント 3 5" xfId="31" xr:uid="{00000000-0005-0000-0000-00001C000000}"/>
    <cellStyle name="20% - アクセント 3 6" xfId="32" xr:uid="{00000000-0005-0000-0000-00001D000000}"/>
    <cellStyle name="20% - アクセント 3 7" xfId="33" xr:uid="{00000000-0005-0000-0000-00001E000000}"/>
    <cellStyle name="20% - アクセント 3 8" xfId="34" xr:uid="{00000000-0005-0000-0000-00001F000000}"/>
    <cellStyle name="20% - アクセント 3 9" xfId="35" xr:uid="{00000000-0005-0000-0000-000020000000}"/>
    <cellStyle name="20% - アクセント 4 2" xfId="36" xr:uid="{00000000-0005-0000-0000-000021000000}"/>
    <cellStyle name="20% - アクセント 4 3" xfId="37" xr:uid="{00000000-0005-0000-0000-000022000000}"/>
    <cellStyle name="20% - アクセント 4 4" xfId="38" xr:uid="{00000000-0005-0000-0000-000023000000}"/>
    <cellStyle name="20% - アクセント 4 5" xfId="39" xr:uid="{00000000-0005-0000-0000-000024000000}"/>
    <cellStyle name="20% - アクセント 4 6" xfId="40" xr:uid="{00000000-0005-0000-0000-000025000000}"/>
    <cellStyle name="20% - アクセント 4 7" xfId="41" xr:uid="{00000000-0005-0000-0000-000026000000}"/>
    <cellStyle name="20% - アクセント 4 8" xfId="42" xr:uid="{00000000-0005-0000-0000-000027000000}"/>
    <cellStyle name="20% - アクセント 4 9" xfId="43" xr:uid="{00000000-0005-0000-0000-000028000000}"/>
    <cellStyle name="20% - アクセント 5 2" xfId="44" xr:uid="{00000000-0005-0000-0000-000029000000}"/>
    <cellStyle name="20% - アクセント 5 3" xfId="45" xr:uid="{00000000-0005-0000-0000-00002A000000}"/>
    <cellStyle name="20% - アクセント 5 4" xfId="46" xr:uid="{00000000-0005-0000-0000-00002B000000}"/>
    <cellStyle name="20% - アクセント 5 5" xfId="47" xr:uid="{00000000-0005-0000-0000-00002C000000}"/>
    <cellStyle name="20% - アクセント 5 6" xfId="48" xr:uid="{00000000-0005-0000-0000-00002D000000}"/>
    <cellStyle name="20% - アクセント 5 7" xfId="49" xr:uid="{00000000-0005-0000-0000-00002E000000}"/>
    <cellStyle name="20% - アクセント 5 8" xfId="50" xr:uid="{00000000-0005-0000-0000-00002F000000}"/>
    <cellStyle name="20% - アクセント 5 9" xfId="51" xr:uid="{00000000-0005-0000-0000-000030000000}"/>
    <cellStyle name="20% - アクセント 6 2" xfId="52" xr:uid="{00000000-0005-0000-0000-000031000000}"/>
    <cellStyle name="20% - アクセント 6 3" xfId="53" xr:uid="{00000000-0005-0000-0000-000032000000}"/>
    <cellStyle name="20% - アクセント 6 4" xfId="54" xr:uid="{00000000-0005-0000-0000-000033000000}"/>
    <cellStyle name="20% - アクセント 6 5" xfId="55" xr:uid="{00000000-0005-0000-0000-000034000000}"/>
    <cellStyle name="20% - アクセント 6 6" xfId="56" xr:uid="{00000000-0005-0000-0000-000035000000}"/>
    <cellStyle name="20% - アクセント 6 7" xfId="57" xr:uid="{00000000-0005-0000-0000-000036000000}"/>
    <cellStyle name="20% - アクセント 6 8" xfId="58" xr:uid="{00000000-0005-0000-0000-000037000000}"/>
    <cellStyle name="20% - アクセント 6 9" xfId="59" xr:uid="{00000000-0005-0000-0000-000038000000}"/>
    <cellStyle name="40% - Accent1" xfId="60" xr:uid="{00000000-0005-0000-0000-000039000000}"/>
    <cellStyle name="40% - Accent2" xfId="61" xr:uid="{00000000-0005-0000-0000-00003A000000}"/>
    <cellStyle name="40% - Accent3" xfId="62" xr:uid="{00000000-0005-0000-0000-00003B000000}"/>
    <cellStyle name="40% - Accent4" xfId="63" xr:uid="{00000000-0005-0000-0000-00003C000000}"/>
    <cellStyle name="40% - Accent5" xfId="64" xr:uid="{00000000-0005-0000-0000-00003D000000}"/>
    <cellStyle name="40% - Accent6" xfId="65" xr:uid="{00000000-0005-0000-0000-00003E000000}"/>
    <cellStyle name="40% - アクセント 1 2" xfId="66" xr:uid="{00000000-0005-0000-0000-00003F000000}"/>
    <cellStyle name="40% - アクセント 1 3" xfId="67" xr:uid="{00000000-0005-0000-0000-000040000000}"/>
    <cellStyle name="40% - アクセント 1 4" xfId="68" xr:uid="{00000000-0005-0000-0000-000041000000}"/>
    <cellStyle name="40% - アクセント 1 5" xfId="69" xr:uid="{00000000-0005-0000-0000-000042000000}"/>
    <cellStyle name="40% - アクセント 1 6" xfId="70" xr:uid="{00000000-0005-0000-0000-000043000000}"/>
    <cellStyle name="40% - アクセント 1 7" xfId="71" xr:uid="{00000000-0005-0000-0000-000044000000}"/>
    <cellStyle name="40% - アクセント 1 8" xfId="72" xr:uid="{00000000-0005-0000-0000-000045000000}"/>
    <cellStyle name="40% - アクセント 1 9" xfId="73" xr:uid="{00000000-0005-0000-0000-000046000000}"/>
    <cellStyle name="40% - アクセント 2 2" xfId="74" xr:uid="{00000000-0005-0000-0000-000047000000}"/>
    <cellStyle name="40% - アクセント 2 3" xfId="75" xr:uid="{00000000-0005-0000-0000-000048000000}"/>
    <cellStyle name="40% - アクセント 2 4" xfId="76" xr:uid="{00000000-0005-0000-0000-000049000000}"/>
    <cellStyle name="40% - アクセント 2 5" xfId="77" xr:uid="{00000000-0005-0000-0000-00004A000000}"/>
    <cellStyle name="40% - アクセント 2 6" xfId="78" xr:uid="{00000000-0005-0000-0000-00004B000000}"/>
    <cellStyle name="40% - アクセント 2 7" xfId="79" xr:uid="{00000000-0005-0000-0000-00004C000000}"/>
    <cellStyle name="40% - アクセント 2 8" xfId="80" xr:uid="{00000000-0005-0000-0000-00004D000000}"/>
    <cellStyle name="40% - アクセント 2 9" xfId="81" xr:uid="{00000000-0005-0000-0000-00004E000000}"/>
    <cellStyle name="40% - アクセント 3 2" xfId="82" xr:uid="{00000000-0005-0000-0000-00004F000000}"/>
    <cellStyle name="40% - アクセント 3 3" xfId="83" xr:uid="{00000000-0005-0000-0000-000050000000}"/>
    <cellStyle name="40% - アクセント 3 4" xfId="84" xr:uid="{00000000-0005-0000-0000-000051000000}"/>
    <cellStyle name="40% - アクセント 3 5" xfId="85" xr:uid="{00000000-0005-0000-0000-000052000000}"/>
    <cellStyle name="40% - アクセント 3 6" xfId="86" xr:uid="{00000000-0005-0000-0000-000053000000}"/>
    <cellStyle name="40% - アクセント 3 7" xfId="87" xr:uid="{00000000-0005-0000-0000-000054000000}"/>
    <cellStyle name="40% - アクセント 3 8" xfId="88" xr:uid="{00000000-0005-0000-0000-000055000000}"/>
    <cellStyle name="40% - アクセント 3 9" xfId="89" xr:uid="{00000000-0005-0000-0000-000056000000}"/>
    <cellStyle name="40% - アクセント 4 2" xfId="90" xr:uid="{00000000-0005-0000-0000-000057000000}"/>
    <cellStyle name="40% - アクセント 4 3" xfId="91" xr:uid="{00000000-0005-0000-0000-000058000000}"/>
    <cellStyle name="40% - アクセント 4 4" xfId="92" xr:uid="{00000000-0005-0000-0000-000059000000}"/>
    <cellStyle name="40% - アクセント 4 5" xfId="93" xr:uid="{00000000-0005-0000-0000-00005A000000}"/>
    <cellStyle name="40% - アクセント 4 6" xfId="94" xr:uid="{00000000-0005-0000-0000-00005B000000}"/>
    <cellStyle name="40% - アクセント 4 7" xfId="95" xr:uid="{00000000-0005-0000-0000-00005C000000}"/>
    <cellStyle name="40% - アクセント 4 8" xfId="96" xr:uid="{00000000-0005-0000-0000-00005D000000}"/>
    <cellStyle name="40% - アクセント 4 9" xfId="97" xr:uid="{00000000-0005-0000-0000-00005E000000}"/>
    <cellStyle name="40% - アクセント 5 2" xfId="98" xr:uid="{00000000-0005-0000-0000-00005F000000}"/>
    <cellStyle name="40% - アクセント 5 3" xfId="99" xr:uid="{00000000-0005-0000-0000-000060000000}"/>
    <cellStyle name="40% - アクセント 5 4" xfId="100" xr:uid="{00000000-0005-0000-0000-000061000000}"/>
    <cellStyle name="40% - アクセント 5 5" xfId="101" xr:uid="{00000000-0005-0000-0000-000062000000}"/>
    <cellStyle name="40% - アクセント 5 6" xfId="102" xr:uid="{00000000-0005-0000-0000-000063000000}"/>
    <cellStyle name="40% - アクセント 5 7" xfId="103" xr:uid="{00000000-0005-0000-0000-000064000000}"/>
    <cellStyle name="40% - アクセント 5 8" xfId="104" xr:uid="{00000000-0005-0000-0000-000065000000}"/>
    <cellStyle name="40% - アクセント 5 9" xfId="105" xr:uid="{00000000-0005-0000-0000-000066000000}"/>
    <cellStyle name="40% - アクセント 6 2" xfId="106" xr:uid="{00000000-0005-0000-0000-000067000000}"/>
    <cellStyle name="40% - アクセント 6 3" xfId="107" xr:uid="{00000000-0005-0000-0000-000068000000}"/>
    <cellStyle name="40% - アクセント 6 4" xfId="108" xr:uid="{00000000-0005-0000-0000-000069000000}"/>
    <cellStyle name="40% - アクセント 6 5" xfId="109" xr:uid="{00000000-0005-0000-0000-00006A000000}"/>
    <cellStyle name="40% - アクセント 6 6" xfId="110" xr:uid="{00000000-0005-0000-0000-00006B000000}"/>
    <cellStyle name="40% - アクセント 6 7" xfId="111" xr:uid="{00000000-0005-0000-0000-00006C000000}"/>
    <cellStyle name="40% - アクセント 6 8" xfId="112" xr:uid="{00000000-0005-0000-0000-00006D000000}"/>
    <cellStyle name="40% - アクセント 6 9" xfId="113" xr:uid="{00000000-0005-0000-0000-00006E000000}"/>
    <cellStyle name="60% - Accent1" xfId="114" xr:uid="{00000000-0005-0000-0000-00006F000000}"/>
    <cellStyle name="60% - Accent2" xfId="115" xr:uid="{00000000-0005-0000-0000-000070000000}"/>
    <cellStyle name="60% - Accent3" xfId="116" xr:uid="{00000000-0005-0000-0000-000071000000}"/>
    <cellStyle name="60% - Accent4" xfId="117" xr:uid="{00000000-0005-0000-0000-000072000000}"/>
    <cellStyle name="60% - Accent5" xfId="118" xr:uid="{00000000-0005-0000-0000-000073000000}"/>
    <cellStyle name="60% - Accent6" xfId="119" xr:uid="{00000000-0005-0000-0000-000074000000}"/>
    <cellStyle name="60% - アクセント 1 2" xfId="120" xr:uid="{00000000-0005-0000-0000-000075000000}"/>
    <cellStyle name="60% - アクセント 1 3" xfId="121" xr:uid="{00000000-0005-0000-0000-000076000000}"/>
    <cellStyle name="60% - アクセント 1 4" xfId="122" xr:uid="{00000000-0005-0000-0000-000077000000}"/>
    <cellStyle name="60% - アクセント 1 5" xfId="123" xr:uid="{00000000-0005-0000-0000-000078000000}"/>
    <cellStyle name="60% - アクセント 1 6" xfId="124" xr:uid="{00000000-0005-0000-0000-000079000000}"/>
    <cellStyle name="60% - アクセント 1 7" xfId="125" xr:uid="{00000000-0005-0000-0000-00007A000000}"/>
    <cellStyle name="60% - アクセント 1 8" xfId="126" xr:uid="{00000000-0005-0000-0000-00007B000000}"/>
    <cellStyle name="60% - アクセント 1 9" xfId="127" xr:uid="{00000000-0005-0000-0000-00007C000000}"/>
    <cellStyle name="60% - アクセント 2 2" xfId="128" xr:uid="{00000000-0005-0000-0000-00007D000000}"/>
    <cellStyle name="60% - アクセント 2 3" xfId="129" xr:uid="{00000000-0005-0000-0000-00007E000000}"/>
    <cellStyle name="60% - アクセント 2 4" xfId="130" xr:uid="{00000000-0005-0000-0000-00007F000000}"/>
    <cellStyle name="60% - アクセント 2 5" xfId="131" xr:uid="{00000000-0005-0000-0000-000080000000}"/>
    <cellStyle name="60% - アクセント 2 6" xfId="132" xr:uid="{00000000-0005-0000-0000-000081000000}"/>
    <cellStyle name="60% - アクセント 2 7" xfId="133" xr:uid="{00000000-0005-0000-0000-000082000000}"/>
    <cellStyle name="60% - アクセント 2 8" xfId="134" xr:uid="{00000000-0005-0000-0000-000083000000}"/>
    <cellStyle name="60% - アクセント 2 9" xfId="135" xr:uid="{00000000-0005-0000-0000-000084000000}"/>
    <cellStyle name="60% - アクセント 3 2" xfId="136" xr:uid="{00000000-0005-0000-0000-000085000000}"/>
    <cellStyle name="60% - アクセント 3 3" xfId="137" xr:uid="{00000000-0005-0000-0000-000086000000}"/>
    <cellStyle name="60% - アクセント 3 4" xfId="138" xr:uid="{00000000-0005-0000-0000-000087000000}"/>
    <cellStyle name="60% - アクセント 3 5" xfId="139" xr:uid="{00000000-0005-0000-0000-000088000000}"/>
    <cellStyle name="60% - アクセント 3 6" xfId="140" xr:uid="{00000000-0005-0000-0000-000089000000}"/>
    <cellStyle name="60% - アクセント 3 7" xfId="141" xr:uid="{00000000-0005-0000-0000-00008A000000}"/>
    <cellStyle name="60% - アクセント 3 8" xfId="142" xr:uid="{00000000-0005-0000-0000-00008B000000}"/>
    <cellStyle name="60% - アクセント 3 9" xfId="143" xr:uid="{00000000-0005-0000-0000-00008C000000}"/>
    <cellStyle name="60% - アクセント 4 2" xfId="144" xr:uid="{00000000-0005-0000-0000-00008D000000}"/>
    <cellStyle name="60% - アクセント 4 3" xfId="145" xr:uid="{00000000-0005-0000-0000-00008E000000}"/>
    <cellStyle name="60% - アクセント 4 4" xfId="146" xr:uid="{00000000-0005-0000-0000-00008F000000}"/>
    <cellStyle name="60% - アクセント 4 5" xfId="147" xr:uid="{00000000-0005-0000-0000-000090000000}"/>
    <cellStyle name="60% - アクセント 4 6" xfId="148" xr:uid="{00000000-0005-0000-0000-000091000000}"/>
    <cellStyle name="60% - アクセント 4 7" xfId="149" xr:uid="{00000000-0005-0000-0000-000092000000}"/>
    <cellStyle name="60% - アクセント 4 8" xfId="150" xr:uid="{00000000-0005-0000-0000-000093000000}"/>
    <cellStyle name="60% - アクセント 4 9" xfId="151" xr:uid="{00000000-0005-0000-0000-000094000000}"/>
    <cellStyle name="60% - アクセント 5 2" xfId="152" xr:uid="{00000000-0005-0000-0000-000095000000}"/>
    <cellStyle name="60% - アクセント 5 3" xfId="153" xr:uid="{00000000-0005-0000-0000-000096000000}"/>
    <cellStyle name="60% - アクセント 5 4" xfId="154" xr:uid="{00000000-0005-0000-0000-000097000000}"/>
    <cellStyle name="60% - アクセント 5 5" xfId="155" xr:uid="{00000000-0005-0000-0000-000098000000}"/>
    <cellStyle name="60% - アクセント 5 6" xfId="156" xr:uid="{00000000-0005-0000-0000-000099000000}"/>
    <cellStyle name="60% - アクセント 5 7" xfId="157" xr:uid="{00000000-0005-0000-0000-00009A000000}"/>
    <cellStyle name="60% - アクセント 5 8" xfId="158" xr:uid="{00000000-0005-0000-0000-00009B000000}"/>
    <cellStyle name="60% - アクセント 5 9" xfId="159" xr:uid="{00000000-0005-0000-0000-00009C000000}"/>
    <cellStyle name="60% - アクセント 6 2" xfId="160" xr:uid="{00000000-0005-0000-0000-00009D000000}"/>
    <cellStyle name="60% - アクセント 6 3" xfId="161" xr:uid="{00000000-0005-0000-0000-00009E000000}"/>
    <cellStyle name="60% - アクセント 6 4" xfId="162" xr:uid="{00000000-0005-0000-0000-00009F000000}"/>
    <cellStyle name="60% - アクセント 6 5" xfId="163" xr:uid="{00000000-0005-0000-0000-0000A0000000}"/>
    <cellStyle name="60% - アクセント 6 6" xfId="164" xr:uid="{00000000-0005-0000-0000-0000A1000000}"/>
    <cellStyle name="60% - アクセント 6 7" xfId="165" xr:uid="{00000000-0005-0000-0000-0000A2000000}"/>
    <cellStyle name="60% - アクセント 6 8" xfId="166" xr:uid="{00000000-0005-0000-0000-0000A3000000}"/>
    <cellStyle name="60% - アクセント 6 9" xfId="167" xr:uid="{00000000-0005-0000-0000-0000A4000000}"/>
    <cellStyle name="Accent1" xfId="168" xr:uid="{00000000-0005-0000-0000-0000A5000000}"/>
    <cellStyle name="Accent2" xfId="169" xr:uid="{00000000-0005-0000-0000-0000A6000000}"/>
    <cellStyle name="Accent3" xfId="170" xr:uid="{00000000-0005-0000-0000-0000A7000000}"/>
    <cellStyle name="Accent4" xfId="171" xr:uid="{00000000-0005-0000-0000-0000A8000000}"/>
    <cellStyle name="Accent5" xfId="172" xr:uid="{00000000-0005-0000-0000-0000A9000000}"/>
    <cellStyle name="Accent6" xfId="173" xr:uid="{00000000-0005-0000-0000-0000AA000000}"/>
    <cellStyle name="args.style" xfId="174" xr:uid="{00000000-0005-0000-0000-0000AB000000}"/>
    <cellStyle name="B10" xfId="175" xr:uid="{00000000-0005-0000-0000-0000AC000000}"/>
    <cellStyle name="Bad" xfId="176" xr:uid="{00000000-0005-0000-0000-0000AD000000}"/>
    <cellStyle name="Body" xfId="177" xr:uid="{00000000-0005-0000-0000-0000AE000000}"/>
    <cellStyle name="Calc Currency (0)" xfId="178" xr:uid="{00000000-0005-0000-0000-0000AF000000}"/>
    <cellStyle name="Calc Currency (0) 2" xfId="179" xr:uid="{00000000-0005-0000-0000-0000B0000000}"/>
    <cellStyle name="Calculation" xfId="180" xr:uid="{00000000-0005-0000-0000-0000B1000000}"/>
    <cellStyle name="Calculation 2" xfId="181" xr:uid="{00000000-0005-0000-0000-0000B2000000}"/>
    <cellStyle name="Calculation 2 2" xfId="182" xr:uid="{00000000-0005-0000-0000-0000B3000000}"/>
    <cellStyle name="Calculation 2 2 2" xfId="183" xr:uid="{00000000-0005-0000-0000-0000B4000000}"/>
    <cellStyle name="Calculation 2 3" xfId="184" xr:uid="{00000000-0005-0000-0000-0000B5000000}"/>
    <cellStyle name="Calculation 2 3 2" xfId="185" xr:uid="{00000000-0005-0000-0000-0000B6000000}"/>
    <cellStyle name="Calculation 2 4" xfId="186" xr:uid="{00000000-0005-0000-0000-0000B7000000}"/>
    <cellStyle name="Calculation 2 4 2" xfId="187" xr:uid="{00000000-0005-0000-0000-0000B8000000}"/>
    <cellStyle name="Calculation 2 5" xfId="188" xr:uid="{00000000-0005-0000-0000-0000B9000000}"/>
    <cellStyle name="Calculation 2 5 2" xfId="189" xr:uid="{00000000-0005-0000-0000-0000BA000000}"/>
    <cellStyle name="Calculation 2 6" xfId="190" xr:uid="{00000000-0005-0000-0000-0000BB000000}"/>
    <cellStyle name="Calculation 2 6 2" xfId="191" xr:uid="{00000000-0005-0000-0000-0000BC000000}"/>
    <cellStyle name="Calculation 2 7" xfId="192" xr:uid="{00000000-0005-0000-0000-0000BD000000}"/>
    <cellStyle name="Calculation 3" xfId="193" xr:uid="{00000000-0005-0000-0000-0000BE000000}"/>
    <cellStyle name="Calculation 3 2" xfId="194" xr:uid="{00000000-0005-0000-0000-0000BF000000}"/>
    <cellStyle name="Calculation 4" xfId="195" xr:uid="{00000000-0005-0000-0000-0000C0000000}"/>
    <cellStyle name="Check Cell" xfId="196" xr:uid="{00000000-0005-0000-0000-0000C1000000}"/>
    <cellStyle name="Column Heading" xfId="197" xr:uid="{00000000-0005-0000-0000-0000C2000000}"/>
    <cellStyle name="Comma [0]_laroux" xfId="198" xr:uid="{00000000-0005-0000-0000-0000C3000000}"/>
    <cellStyle name="Comma_laroux" xfId="199" xr:uid="{00000000-0005-0000-0000-0000C4000000}"/>
    <cellStyle name="Currency [0]_laroux" xfId="200" xr:uid="{00000000-0005-0000-0000-0000C5000000}"/>
    <cellStyle name="Currency_laroux" xfId="201" xr:uid="{00000000-0005-0000-0000-0000C6000000}"/>
    <cellStyle name="entry" xfId="202" xr:uid="{00000000-0005-0000-0000-0000C7000000}"/>
    <cellStyle name="Explanatory Text" xfId="203" xr:uid="{00000000-0005-0000-0000-0000C8000000}"/>
    <cellStyle name="Good" xfId="204" xr:uid="{00000000-0005-0000-0000-0000C9000000}"/>
    <cellStyle name="Grey" xfId="205" xr:uid="{00000000-0005-0000-0000-0000CA000000}"/>
    <cellStyle name="Head 1" xfId="206" xr:uid="{00000000-0005-0000-0000-0000CB000000}"/>
    <cellStyle name="Header1" xfId="207" xr:uid="{00000000-0005-0000-0000-0000CC000000}"/>
    <cellStyle name="Header2" xfId="208" xr:uid="{00000000-0005-0000-0000-0000CD000000}"/>
    <cellStyle name="Header2 2" xfId="209" xr:uid="{00000000-0005-0000-0000-0000CE000000}"/>
    <cellStyle name="Header2 2 2" xfId="210" xr:uid="{00000000-0005-0000-0000-0000CF000000}"/>
    <cellStyle name="Header2 2 2 2" xfId="211" xr:uid="{00000000-0005-0000-0000-0000D0000000}"/>
    <cellStyle name="Header2 2 2 3" xfId="212" xr:uid="{00000000-0005-0000-0000-0000D1000000}"/>
    <cellStyle name="Header2 2 2 4" xfId="213" xr:uid="{00000000-0005-0000-0000-0000D2000000}"/>
    <cellStyle name="Header2 2 2 5" xfId="214" xr:uid="{00000000-0005-0000-0000-0000D3000000}"/>
    <cellStyle name="Header2 2 2 6" xfId="215" xr:uid="{00000000-0005-0000-0000-0000D4000000}"/>
    <cellStyle name="Header2 2 2 7" xfId="216" xr:uid="{00000000-0005-0000-0000-0000D5000000}"/>
    <cellStyle name="Header2 2 2 7 2" xfId="217" xr:uid="{00000000-0005-0000-0000-0000D6000000}"/>
    <cellStyle name="Header2 2 3" xfId="218" xr:uid="{00000000-0005-0000-0000-0000D7000000}"/>
    <cellStyle name="Header2 2 3 2" xfId="219" xr:uid="{00000000-0005-0000-0000-0000D8000000}"/>
    <cellStyle name="Header2 2 3 3" xfId="220" xr:uid="{00000000-0005-0000-0000-0000D9000000}"/>
    <cellStyle name="Header2 3" xfId="221" xr:uid="{00000000-0005-0000-0000-0000DA000000}"/>
    <cellStyle name="Header2 3 2" xfId="222" xr:uid="{00000000-0005-0000-0000-0000DB000000}"/>
    <cellStyle name="Header2 3 2 2" xfId="223" xr:uid="{00000000-0005-0000-0000-0000DC000000}"/>
    <cellStyle name="Header2 3 2 3" xfId="224" xr:uid="{00000000-0005-0000-0000-0000DD000000}"/>
    <cellStyle name="Header2 3 2 4" xfId="225" xr:uid="{00000000-0005-0000-0000-0000DE000000}"/>
    <cellStyle name="Header2 3 2 5" xfId="226" xr:uid="{00000000-0005-0000-0000-0000DF000000}"/>
    <cellStyle name="Header2 3 2 6" xfId="227" xr:uid="{00000000-0005-0000-0000-0000E0000000}"/>
    <cellStyle name="Header2 3 2 7" xfId="228" xr:uid="{00000000-0005-0000-0000-0000E1000000}"/>
    <cellStyle name="Header2 3 2 7 2" xfId="229" xr:uid="{00000000-0005-0000-0000-0000E2000000}"/>
    <cellStyle name="Header2 3 3" xfId="230" xr:uid="{00000000-0005-0000-0000-0000E3000000}"/>
    <cellStyle name="Header2 3 4" xfId="231" xr:uid="{00000000-0005-0000-0000-0000E4000000}"/>
    <cellStyle name="Header2 3 5" xfId="232" xr:uid="{00000000-0005-0000-0000-0000E5000000}"/>
    <cellStyle name="Header2 3 6" xfId="233" xr:uid="{00000000-0005-0000-0000-0000E6000000}"/>
    <cellStyle name="Header2 3 7" xfId="234" xr:uid="{00000000-0005-0000-0000-0000E7000000}"/>
    <cellStyle name="Header2 3 8" xfId="235" xr:uid="{00000000-0005-0000-0000-0000E8000000}"/>
    <cellStyle name="Header2 3 9" xfId="236" xr:uid="{00000000-0005-0000-0000-0000E9000000}"/>
    <cellStyle name="Header2 3 9 2" xfId="237" xr:uid="{00000000-0005-0000-0000-0000EA000000}"/>
    <cellStyle name="Header2 3 9 3" xfId="238" xr:uid="{00000000-0005-0000-0000-0000EB000000}"/>
    <cellStyle name="Header2 4" xfId="239" xr:uid="{00000000-0005-0000-0000-0000EC000000}"/>
    <cellStyle name="Header2 4 2" xfId="240" xr:uid="{00000000-0005-0000-0000-0000ED000000}"/>
    <cellStyle name="Header2 4 3" xfId="241" xr:uid="{00000000-0005-0000-0000-0000EE000000}"/>
    <cellStyle name="Header2 4 4" xfId="242" xr:uid="{00000000-0005-0000-0000-0000EF000000}"/>
    <cellStyle name="Header2 4 5" xfId="243" xr:uid="{00000000-0005-0000-0000-0000F0000000}"/>
    <cellStyle name="Header2 4 6" xfId="244" xr:uid="{00000000-0005-0000-0000-0000F1000000}"/>
    <cellStyle name="Header2 4 7" xfId="245" xr:uid="{00000000-0005-0000-0000-0000F2000000}"/>
    <cellStyle name="Header2 4 7 2" xfId="246" xr:uid="{00000000-0005-0000-0000-0000F3000000}"/>
    <cellStyle name="Header2 5" xfId="247" xr:uid="{00000000-0005-0000-0000-0000F4000000}"/>
    <cellStyle name="Header2 6" xfId="248" xr:uid="{00000000-0005-0000-0000-0000F5000000}"/>
    <cellStyle name="Header2 7" xfId="249" xr:uid="{00000000-0005-0000-0000-0000F6000000}"/>
    <cellStyle name="Header2 7 2" xfId="250" xr:uid="{00000000-0005-0000-0000-0000F7000000}"/>
    <cellStyle name="Header2 7 3" xfId="251" xr:uid="{00000000-0005-0000-0000-0000F8000000}"/>
    <cellStyle name="Heading 1" xfId="252" xr:uid="{00000000-0005-0000-0000-0000F9000000}"/>
    <cellStyle name="Heading 2" xfId="253" xr:uid="{00000000-0005-0000-0000-0000FA000000}"/>
    <cellStyle name="Heading 3" xfId="254" xr:uid="{00000000-0005-0000-0000-0000FB000000}"/>
    <cellStyle name="Heading 4" xfId="255" xr:uid="{00000000-0005-0000-0000-0000FC000000}"/>
    <cellStyle name="IBM(401K)" xfId="256" xr:uid="{00000000-0005-0000-0000-0000FD000000}"/>
    <cellStyle name="Input" xfId="257" xr:uid="{00000000-0005-0000-0000-0000FE000000}"/>
    <cellStyle name="Input [yellow]" xfId="258" xr:uid="{00000000-0005-0000-0000-0000FF000000}"/>
    <cellStyle name="Input [yellow] 2" xfId="259" xr:uid="{00000000-0005-0000-0000-000000010000}"/>
    <cellStyle name="Input [yellow] 2 2" xfId="260" xr:uid="{00000000-0005-0000-0000-000001010000}"/>
    <cellStyle name="Input [yellow] 2 2 10" xfId="1940" xr:uid="{00000000-0005-0000-0000-000002010000}"/>
    <cellStyle name="Input [yellow] 2 2 2" xfId="261" xr:uid="{00000000-0005-0000-0000-000003010000}"/>
    <cellStyle name="Input [yellow] 2 2 2 2" xfId="1941" xr:uid="{00000000-0005-0000-0000-000004010000}"/>
    <cellStyle name="Input [yellow] 2 2 3" xfId="262" xr:uid="{00000000-0005-0000-0000-000005010000}"/>
    <cellStyle name="Input [yellow] 2 2 3 2" xfId="1942" xr:uid="{00000000-0005-0000-0000-000006010000}"/>
    <cellStyle name="Input [yellow] 2 2 4" xfId="263" xr:uid="{00000000-0005-0000-0000-000007010000}"/>
    <cellStyle name="Input [yellow] 2 2 4 2" xfId="1943" xr:uid="{00000000-0005-0000-0000-000008010000}"/>
    <cellStyle name="Input [yellow] 2 2 5" xfId="264" xr:uid="{00000000-0005-0000-0000-000009010000}"/>
    <cellStyle name="Input [yellow] 2 2 5 2" xfId="1944" xr:uid="{00000000-0005-0000-0000-00000A010000}"/>
    <cellStyle name="Input [yellow] 2 2 6" xfId="265" xr:uid="{00000000-0005-0000-0000-00000B010000}"/>
    <cellStyle name="Input [yellow] 2 2 6 2" xfId="1945" xr:uid="{00000000-0005-0000-0000-00000C010000}"/>
    <cellStyle name="Input [yellow] 2 2 7" xfId="266" xr:uid="{00000000-0005-0000-0000-00000D010000}"/>
    <cellStyle name="Input [yellow] 2 2 7 2" xfId="1946" xr:uid="{00000000-0005-0000-0000-00000E010000}"/>
    <cellStyle name="Input [yellow] 2 2 8" xfId="267" xr:uid="{00000000-0005-0000-0000-00000F010000}"/>
    <cellStyle name="Input [yellow] 2 2 8 2" xfId="1947" xr:uid="{00000000-0005-0000-0000-000010010000}"/>
    <cellStyle name="Input [yellow] 2 2 9" xfId="268" xr:uid="{00000000-0005-0000-0000-000011010000}"/>
    <cellStyle name="Input [yellow] 2 2 9 2" xfId="1948" xr:uid="{00000000-0005-0000-0000-000012010000}"/>
    <cellStyle name="Input [yellow] 2 3" xfId="269" xr:uid="{00000000-0005-0000-0000-000013010000}"/>
    <cellStyle name="Input [yellow] 2 3 2" xfId="270" xr:uid="{00000000-0005-0000-0000-000014010000}"/>
    <cellStyle name="Input [yellow] 2 3 2 2" xfId="1950" xr:uid="{00000000-0005-0000-0000-000015010000}"/>
    <cellStyle name="Input [yellow] 2 3 3" xfId="271" xr:uid="{00000000-0005-0000-0000-000016010000}"/>
    <cellStyle name="Input [yellow] 2 3 3 2" xfId="1951" xr:uid="{00000000-0005-0000-0000-000017010000}"/>
    <cellStyle name="Input [yellow] 2 3 4" xfId="1949" xr:uid="{00000000-0005-0000-0000-000018010000}"/>
    <cellStyle name="Input [yellow] 2 4" xfId="1939" xr:uid="{00000000-0005-0000-0000-000019010000}"/>
    <cellStyle name="Input [yellow] 3" xfId="272" xr:uid="{00000000-0005-0000-0000-00001A010000}"/>
    <cellStyle name="Input [yellow] 3 10" xfId="1952" xr:uid="{00000000-0005-0000-0000-00001B010000}"/>
    <cellStyle name="Input [yellow] 3 2" xfId="273" xr:uid="{00000000-0005-0000-0000-00001C010000}"/>
    <cellStyle name="Input [yellow] 3 2 10" xfId="1953" xr:uid="{00000000-0005-0000-0000-00001D010000}"/>
    <cellStyle name="Input [yellow] 3 2 2" xfId="274" xr:uid="{00000000-0005-0000-0000-00001E010000}"/>
    <cellStyle name="Input [yellow] 3 2 2 2" xfId="1954" xr:uid="{00000000-0005-0000-0000-00001F010000}"/>
    <cellStyle name="Input [yellow] 3 2 3" xfId="275" xr:uid="{00000000-0005-0000-0000-000020010000}"/>
    <cellStyle name="Input [yellow] 3 2 3 2" xfId="1955" xr:uid="{00000000-0005-0000-0000-000021010000}"/>
    <cellStyle name="Input [yellow] 3 2 4" xfId="276" xr:uid="{00000000-0005-0000-0000-000022010000}"/>
    <cellStyle name="Input [yellow] 3 2 4 2" xfId="1956" xr:uid="{00000000-0005-0000-0000-000023010000}"/>
    <cellStyle name="Input [yellow] 3 2 5" xfId="277" xr:uid="{00000000-0005-0000-0000-000024010000}"/>
    <cellStyle name="Input [yellow] 3 2 5 2" xfId="1957" xr:uid="{00000000-0005-0000-0000-000025010000}"/>
    <cellStyle name="Input [yellow] 3 2 6" xfId="278" xr:uid="{00000000-0005-0000-0000-000026010000}"/>
    <cellStyle name="Input [yellow] 3 2 6 2" xfId="1958" xr:uid="{00000000-0005-0000-0000-000027010000}"/>
    <cellStyle name="Input [yellow] 3 2 7" xfId="279" xr:uid="{00000000-0005-0000-0000-000028010000}"/>
    <cellStyle name="Input [yellow] 3 2 7 2" xfId="1959" xr:uid="{00000000-0005-0000-0000-000029010000}"/>
    <cellStyle name="Input [yellow] 3 2 8" xfId="280" xr:uid="{00000000-0005-0000-0000-00002A010000}"/>
    <cellStyle name="Input [yellow] 3 2 8 2" xfId="1960" xr:uid="{00000000-0005-0000-0000-00002B010000}"/>
    <cellStyle name="Input [yellow] 3 2 9" xfId="281" xr:uid="{00000000-0005-0000-0000-00002C010000}"/>
    <cellStyle name="Input [yellow] 3 2 9 2" xfId="1961" xr:uid="{00000000-0005-0000-0000-00002D010000}"/>
    <cellStyle name="Input [yellow] 3 3" xfId="282" xr:uid="{00000000-0005-0000-0000-00002E010000}"/>
    <cellStyle name="Input [yellow] 3 3 2" xfId="1962" xr:uid="{00000000-0005-0000-0000-00002F010000}"/>
    <cellStyle name="Input [yellow] 3 4" xfId="283" xr:uid="{00000000-0005-0000-0000-000030010000}"/>
    <cellStyle name="Input [yellow] 3 4 2" xfId="1963" xr:uid="{00000000-0005-0000-0000-000031010000}"/>
    <cellStyle name="Input [yellow] 3 5" xfId="284" xr:uid="{00000000-0005-0000-0000-000032010000}"/>
    <cellStyle name="Input [yellow] 3 5 2" xfId="1964" xr:uid="{00000000-0005-0000-0000-000033010000}"/>
    <cellStyle name="Input [yellow] 3 6" xfId="285" xr:uid="{00000000-0005-0000-0000-000034010000}"/>
    <cellStyle name="Input [yellow] 3 6 2" xfId="1965" xr:uid="{00000000-0005-0000-0000-000035010000}"/>
    <cellStyle name="Input [yellow] 3 7" xfId="286" xr:uid="{00000000-0005-0000-0000-000036010000}"/>
    <cellStyle name="Input [yellow] 3 7 2" xfId="1966" xr:uid="{00000000-0005-0000-0000-000037010000}"/>
    <cellStyle name="Input [yellow] 3 8" xfId="287" xr:uid="{00000000-0005-0000-0000-000038010000}"/>
    <cellStyle name="Input [yellow] 3 8 2" xfId="1967" xr:uid="{00000000-0005-0000-0000-000039010000}"/>
    <cellStyle name="Input [yellow] 3 9" xfId="288" xr:uid="{00000000-0005-0000-0000-00003A010000}"/>
    <cellStyle name="Input [yellow] 3 9 2" xfId="289" xr:uid="{00000000-0005-0000-0000-00003B010000}"/>
    <cellStyle name="Input [yellow] 3 9 2 2" xfId="1969" xr:uid="{00000000-0005-0000-0000-00003C010000}"/>
    <cellStyle name="Input [yellow] 3 9 3" xfId="290" xr:uid="{00000000-0005-0000-0000-00003D010000}"/>
    <cellStyle name="Input [yellow] 3 9 3 2" xfId="1970" xr:uid="{00000000-0005-0000-0000-00003E010000}"/>
    <cellStyle name="Input [yellow] 3 9 4" xfId="1968" xr:uid="{00000000-0005-0000-0000-00003F010000}"/>
    <cellStyle name="Input [yellow] 4" xfId="291" xr:uid="{00000000-0005-0000-0000-000040010000}"/>
    <cellStyle name="Input [yellow] 4 2" xfId="292" xr:uid="{00000000-0005-0000-0000-000041010000}"/>
    <cellStyle name="Input [yellow] 4 2 2" xfId="1972" xr:uid="{00000000-0005-0000-0000-000042010000}"/>
    <cellStyle name="Input [yellow] 4 3" xfId="293" xr:uid="{00000000-0005-0000-0000-000043010000}"/>
    <cellStyle name="Input [yellow] 4 3 2" xfId="1973" xr:uid="{00000000-0005-0000-0000-000044010000}"/>
    <cellStyle name="Input [yellow] 4 4" xfId="294" xr:uid="{00000000-0005-0000-0000-000045010000}"/>
    <cellStyle name="Input [yellow] 4 4 2" xfId="1974" xr:uid="{00000000-0005-0000-0000-000046010000}"/>
    <cellStyle name="Input [yellow] 4 5" xfId="295" xr:uid="{00000000-0005-0000-0000-000047010000}"/>
    <cellStyle name="Input [yellow] 4 5 2" xfId="1975" xr:uid="{00000000-0005-0000-0000-000048010000}"/>
    <cellStyle name="Input [yellow] 4 6" xfId="296" xr:uid="{00000000-0005-0000-0000-000049010000}"/>
    <cellStyle name="Input [yellow] 4 6 2" xfId="1976" xr:uid="{00000000-0005-0000-0000-00004A010000}"/>
    <cellStyle name="Input [yellow] 4 7" xfId="297" xr:uid="{00000000-0005-0000-0000-00004B010000}"/>
    <cellStyle name="Input [yellow] 4 7 2" xfId="1977" xr:uid="{00000000-0005-0000-0000-00004C010000}"/>
    <cellStyle name="Input [yellow] 4 8" xfId="298" xr:uid="{00000000-0005-0000-0000-00004D010000}"/>
    <cellStyle name="Input [yellow] 4 8 2" xfId="299" xr:uid="{00000000-0005-0000-0000-00004E010000}"/>
    <cellStyle name="Input [yellow] 4 8 2 2" xfId="1979" xr:uid="{00000000-0005-0000-0000-00004F010000}"/>
    <cellStyle name="Input [yellow] 4 8 3" xfId="300" xr:uid="{00000000-0005-0000-0000-000050010000}"/>
    <cellStyle name="Input [yellow] 4 8 3 2" xfId="1980" xr:uid="{00000000-0005-0000-0000-000051010000}"/>
    <cellStyle name="Input [yellow] 4 8 4" xfId="1978" xr:uid="{00000000-0005-0000-0000-000052010000}"/>
    <cellStyle name="Input [yellow] 4 9" xfId="1971" xr:uid="{00000000-0005-0000-0000-000053010000}"/>
    <cellStyle name="Input [yellow] 5" xfId="301" xr:uid="{00000000-0005-0000-0000-000054010000}"/>
    <cellStyle name="Input [yellow] 5 2" xfId="1981" xr:uid="{00000000-0005-0000-0000-000055010000}"/>
    <cellStyle name="Input [yellow] 6" xfId="302" xr:uid="{00000000-0005-0000-0000-000056010000}"/>
    <cellStyle name="Input [yellow] 6 2" xfId="1982" xr:uid="{00000000-0005-0000-0000-000057010000}"/>
    <cellStyle name="Input [yellow] 7" xfId="303" xr:uid="{00000000-0005-0000-0000-000058010000}"/>
    <cellStyle name="Input [yellow] 7 2" xfId="304" xr:uid="{00000000-0005-0000-0000-000059010000}"/>
    <cellStyle name="Input [yellow] 7 2 2" xfId="1984" xr:uid="{00000000-0005-0000-0000-00005A010000}"/>
    <cellStyle name="Input [yellow] 7 3" xfId="305" xr:uid="{00000000-0005-0000-0000-00005B010000}"/>
    <cellStyle name="Input [yellow] 7 3 2" xfId="1985" xr:uid="{00000000-0005-0000-0000-00005C010000}"/>
    <cellStyle name="Input [yellow] 7 4" xfId="1983" xr:uid="{00000000-0005-0000-0000-00005D010000}"/>
    <cellStyle name="Input [yellow] 8" xfId="1938" xr:uid="{00000000-0005-0000-0000-00005E010000}"/>
    <cellStyle name="Input 10" xfId="306" xr:uid="{00000000-0005-0000-0000-00005F010000}"/>
    <cellStyle name="Input 10 2" xfId="307" xr:uid="{00000000-0005-0000-0000-000060010000}"/>
    <cellStyle name="Input 11" xfId="308" xr:uid="{00000000-0005-0000-0000-000061010000}"/>
    <cellStyle name="Input 11 2" xfId="309" xr:uid="{00000000-0005-0000-0000-000062010000}"/>
    <cellStyle name="Input 12" xfId="310" xr:uid="{00000000-0005-0000-0000-000063010000}"/>
    <cellStyle name="Input 12 2" xfId="311" xr:uid="{00000000-0005-0000-0000-000064010000}"/>
    <cellStyle name="Input 13" xfId="312" xr:uid="{00000000-0005-0000-0000-000065010000}"/>
    <cellStyle name="Input 13 2" xfId="313" xr:uid="{00000000-0005-0000-0000-000066010000}"/>
    <cellStyle name="Input 14" xfId="314" xr:uid="{00000000-0005-0000-0000-000067010000}"/>
    <cellStyle name="Input 14 2" xfId="315" xr:uid="{00000000-0005-0000-0000-000068010000}"/>
    <cellStyle name="Input 15" xfId="316" xr:uid="{00000000-0005-0000-0000-000069010000}"/>
    <cellStyle name="Input 15 2" xfId="317" xr:uid="{00000000-0005-0000-0000-00006A010000}"/>
    <cellStyle name="Input 16" xfId="318" xr:uid="{00000000-0005-0000-0000-00006B010000}"/>
    <cellStyle name="Input 16 2" xfId="319" xr:uid="{00000000-0005-0000-0000-00006C010000}"/>
    <cellStyle name="Input 17" xfId="320" xr:uid="{00000000-0005-0000-0000-00006D010000}"/>
    <cellStyle name="Input 17 2" xfId="321" xr:uid="{00000000-0005-0000-0000-00006E010000}"/>
    <cellStyle name="Input 18" xfId="322" xr:uid="{00000000-0005-0000-0000-00006F010000}"/>
    <cellStyle name="Input 19" xfId="323" xr:uid="{00000000-0005-0000-0000-000070010000}"/>
    <cellStyle name="Input 2" xfId="324" xr:uid="{00000000-0005-0000-0000-000071010000}"/>
    <cellStyle name="Input 2 2" xfId="325" xr:uid="{00000000-0005-0000-0000-000072010000}"/>
    <cellStyle name="Input 2 2 2" xfId="326" xr:uid="{00000000-0005-0000-0000-000073010000}"/>
    <cellStyle name="Input 2 3" xfId="327" xr:uid="{00000000-0005-0000-0000-000074010000}"/>
    <cellStyle name="Input 2 3 2" xfId="328" xr:uid="{00000000-0005-0000-0000-000075010000}"/>
    <cellStyle name="Input 2 4" xfId="329" xr:uid="{00000000-0005-0000-0000-000076010000}"/>
    <cellStyle name="Input 2 4 2" xfId="330" xr:uid="{00000000-0005-0000-0000-000077010000}"/>
    <cellStyle name="Input 2 5" xfId="331" xr:uid="{00000000-0005-0000-0000-000078010000}"/>
    <cellStyle name="Input 2 5 2" xfId="332" xr:uid="{00000000-0005-0000-0000-000079010000}"/>
    <cellStyle name="Input 2 6" xfId="333" xr:uid="{00000000-0005-0000-0000-00007A010000}"/>
    <cellStyle name="Input 2 6 2" xfId="334" xr:uid="{00000000-0005-0000-0000-00007B010000}"/>
    <cellStyle name="Input 2 7" xfId="335" xr:uid="{00000000-0005-0000-0000-00007C010000}"/>
    <cellStyle name="Input 20" xfId="336" xr:uid="{00000000-0005-0000-0000-00007D010000}"/>
    <cellStyle name="Input 21" xfId="337" xr:uid="{00000000-0005-0000-0000-00007E010000}"/>
    <cellStyle name="Input 22" xfId="338" xr:uid="{00000000-0005-0000-0000-00007F010000}"/>
    <cellStyle name="Input 23" xfId="339" xr:uid="{00000000-0005-0000-0000-000080010000}"/>
    <cellStyle name="Input 24" xfId="340" xr:uid="{00000000-0005-0000-0000-000081010000}"/>
    <cellStyle name="Input 25" xfId="341" xr:uid="{00000000-0005-0000-0000-000082010000}"/>
    <cellStyle name="Input 26" xfId="342" xr:uid="{00000000-0005-0000-0000-000083010000}"/>
    <cellStyle name="Input 3" xfId="343" xr:uid="{00000000-0005-0000-0000-000084010000}"/>
    <cellStyle name="Input 3 2" xfId="344" xr:uid="{00000000-0005-0000-0000-000085010000}"/>
    <cellStyle name="Input 4" xfId="345" xr:uid="{00000000-0005-0000-0000-000086010000}"/>
    <cellStyle name="Input 4 2" xfId="346" xr:uid="{00000000-0005-0000-0000-000087010000}"/>
    <cellStyle name="Input 5" xfId="347" xr:uid="{00000000-0005-0000-0000-000088010000}"/>
    <cellStyle name="Input 5 2" xfId="348" xr:uid="{00000000-0005-0000-0000-000089010000}"/>
    <cellStyle name="Input 6" xfId="349" xr:uid="{00000000-0005-0000-0000-00008A010000}"/>
    <cellStyle name="Input 6 2" xfId="350" xr:uid="{00000000-0005-0000-0000-00008B010000}"/>
    <cellStyle name="Input 7" xfId="351" xr:uid="{00000000-0005-0000-0000-00008C010000}"/>
    <cellStyle name="Input 7 2" xfId="352" xr:uid="{00000000-0005-0000-0000-00008D010000}"/>
    <cellStyle name="Input 8" xfId="353" xr:uid="{00000000-0005-0000-0000-00008E010000}"/>
    <cellStyle name="Input 8 2" xfId="354" xr:uid="{00000000-0005-0000-0000-00008F010000}"/>
    <cellStyle name="Input 9" xfId="355" xr:uid="{00000000-0005-0000-0000-000090010000}"/>
    <cellStyle name="Input 9 2" xfId="356" xr:uid="{00000000-0005-0000-0000-000091010000}"/>
    <cellStyle name="J401K" xfId="357" xr:uid="{00000000-0005-0000-0000-000092010000}"/>
    <cellStyle name="Linked Cell" xfId="358" xr:uid="{00000000-0005-0000-0000-000093010000}"/>
    <cellStyle name="Millares [0]_Compra" xfId="359" xr:uid="{00000000-0005-0000-0000-000094010000}"/>
    <cellStyle name="Millares_Compra" xfId="360" xr:uid="{00000000-0005-0000-0000-000095010000}"/>
    <cellStyle name="Moneda [0]_Compra" xfId="361" xr:uid="{00000000-0005-0000-0000-000096010000}"/>
    <cellStyle name="Moneda_Compra" xfId="362" xr:uid="{00000000-0005-0000-0000-000097010000}"/>
    <cellStyle name="Neutral" xfId="363" xr:uid="{00000000-0005-0000-0000-000098010000}"/>
    <cellStyle name="no dec" xfId="364" xr:uid="{00000000-0005-0000-0000-000099010000}"/>
    <cellStyle name="Normal - Style1" xfId="365" xr:uid="{00000000-0005-0000-0000-00009A010000}"/>
    <cellStyle name="Normal - Style1 2" xfId="366" xr:uid="{00000000-0005-0000-0000-00009B010000}"/>
    <cellStyle name="Normal - Style1 2 2" xfId="367" xr:uid="{00000000-0005-0000-0000-00009C010000}"/>
    <cellStyle name="Normal - Style1 2 3" xfId="368" xr:uid="{00000000-0005-0000-0000-00009D010000}"/>
    <cellStyle name="Normal_#18-Internet" xfId="369" xr:uid="{00000000-0005-0000-0000-00009E010000}"/>
    <cellStyle name="Note" xfId="370" xr:uid="{00000000-0005-0000-0000-00009F010000}"/>
    <cellStyle name="Note 2" xfId="371" xr:uid="{00000000-0005-0000-0000-0000A0010000}"/>
    <cellStyle name="Note 2 2" xfId="372" xr:uid="{00000000-0005-0000-0000-0000A1010000}"/>
    <cellStyle name="Note 2 2 2" xfId="373" xr:uid="{00000000-0005-0000-0000-0000A2010000}"/>
    <cellStyle name="Note 2 2 2 2" xfId="374" xr:uid="{00000000-0005-0000-0000-0000A3010000}"/>
    <cellStyle name="Note 2 2 3" xfId="375" xr:uid="{00000000-0005-0000-0000-0000A4010000}"/>
    <cellStyle name="Note 2 2 3 2" xfId="376" xr:uid="{00000000-0005-0000-0000-0000A5010000}"/>
    <cellStyle name="Note 2 2 4" xfId="377" xr:uid="{00000000-0005-0000-0000-0000A6010000}"/>
    <cellStyle name="Note 2 2 4 2" xfId="378" xr:uid="{00000000-0005-0000-0000-0000A7010000}"/>
    <cellStyle name="Note 2 2 5" xfId="379" xr:uid="{00000000-0005-0000-0000-0000A8010000}"/>
    <cellStyle name="Note 2 2 5 2" xfId="380" xr:uid="{00000000-0005-0000-0000-0000A9010000}"/>
    <cellStyle name="Note 2 2 6" xfId="381" xr:uid="{00000000-0005-0000-0000-0000AA010000}"/>
    <cellStyle name="Note 2 2 6 2" xfId="382" xr:uid="{00000000-0005-0000-0000-0000AB010000}"/>
    <cellStyle name="Note 2 2 7" xfId="383" xr:uid="{00000000-0005-0000-0000-0000AC010000}"/>
    <cellStyle name="Note 2 3" xfId="384" xr:uid="{00000000-0005-0000-0000-0000AD010000}"/>
    <cellStyle name="Note 2 3 2" xfId="385" xr:uid="{00000000-0005-0000-0000-0000AE010000}"/>
    <cellStyle name="Note 2 4" xfId="386" xr:uid="{00000000-0005-0000-0000-0000AF010000}"/>
    <cellStyle name="Note 3" xfId="387" xr:uid="{00000000-0005-0000-0000-0000B0010000}"/>
    <cellStyle name="Note 3 2" xfId="388" xr:uid="{00000000-0005-0000-0000-0000B1010000}"/>
    <cellStyle name="Note 3 2 2" xfId="389" xr:uid="{00000000-0005-0000-0000-0000B2010000}"/>
    <cellStyle name="Note 3 2 2 2" xfId="390" xr:uid="{00000000-0005-0000-0000-0000B3010000}"/>
    <cellStyle name="Note 3 2 3" xfId="391" xr:uid="{00000000-0005-0000-0000-0000B4010000}"/>
    <cellStyle name="Note 3 2 3 2" xfId="392" xr:uid="{00000000-0005-0000-0000-0000B5010000}"/>
    <cellStyle name="Note 3 2 4" xfId="393" xr:uid="{00000000-0005-0000-0000-0000B6010000}"/>
    <cellStyle name="Note 3 2 4 2" xfId="394" xr:uid="{00000000-0005-0000-0000-0000B7010000}"/>
    <cellStyle name="Note 3 2 5" xfId="395" xr:uid="{00000000-0005-0000-0000-0000B8010000}"/>
    <cellStyle name="Note 3 2 5 2" xfId="396" xr:uid="{00000000-0005-0000-0000-0000B9010000}"/>
    <cellStyle name="Note 3 2 6" xfId="397" xr:uid="{00000000-0005-0000-0000-0000BA010000}"/>
    <cellStyle name="Note 3 2 6 2" xfId="398" xr:uid="{00000000-0005-0000-0000-0000BB010000}"/>
    <cellStyle name="Note 3 2 7" xfId="399" xr:uid="{00000000-0005-0000-0000-0000BC010000}"/>
    <cellStyle name="Note 3 3" xfId="400" xr:uid="{00000000-0005-0000-0000-0000BD010000}"/>
    <cellStyle name="Note 3 3 2" xfId="401" xr:uid="{00000000-0005-0000-0000-0000BE010000}"/>
    <cellStyle name="Note 3 4" xfId="402" xr:uid="{00000000-0005-0000-0000-0000BF010000}"/>
    <cellStyle name="Note 3 4 2" xfId="403" xr:uid="{00000000-0005-0000-0000-0000C0010000}"/>
    <cellStyle name="Note 3 5" xfId="404" xr:uid="{00000000-0005-0000-0000-0000C1010000}"/>
    <cellStyle name="Note 3 5 2" xfId="405" xr:uid="{00000000-0005-0000-0000-0000C2010000}"/>
    <cellStyle name="Note 3 6" xfId="406" xr:uid="{00000000-0005-0000-0000-0000C3010000}"/>
    <cellStyle name="Note 3 6 2" xfId="407" xr:uid="{00000000-0005-0000-0000-0000C4010000}"/>
    <cellStyle name="Note 3 7" xfId="408" xr:uid="{00000000-0005-0000-0000-0000C5010000}"/>
    <cellStyle name="Note 3 7 2" xfId="409" xr:uid="{00000000-0005-0000-0000-0000C6010000}"/>
    <cellStyle name="Note 3 8" xfId="410" xr:uid="{00000000-0005-0000-0000-0000C7010000}"/>
    <cellStyle name="Note 4" xfId="411" xr:uid="{00000000-0005-0000-0000-0000C8010000}"/>
    <cellStyle name="Note 4 2" xfId="412" xr:uid="{00000000-0005-0000-0000-0000C9010000}"/>
    <cellStyle name="Note 4 2 2" xfId="413" xr:uid="{00000000-0005-0000-0000-0000CA010000}"/>
    <cellStyle name="Note 4 3" xfId="414" xr:uid="{00000000-0005-0000-0000-0000CB010000}"/>
    <cellStyle name="Note 4 3 2" xfId="415" xr:uid="{00000000-0005-0000-0000-0000CC010000}"/>
    <cellStyle name="Note 4 4" xfId="416" xr:uid="{00000000-0005-0000-0000-0000CD010000}"/>
    <cellStyle name="Note 4 4 2" xfId="417" xr:uid="{00000000-0005-0000-0000-0000CE010000}"/>
    <cellStyle name="Note 4 5" xfId="418" xr:uid="{00000000-0005-0000-0000-0000CF010000}"/>
    <cellStyle name="Note 4 5 2" xfId="419" xr:uid="{00000000-0005-0000-0000-0000D0010000}"/>
    <cellStyle name="Note 4 6" xfId="420" xr:uid="{00000000-0005-0000-0000-0000D1010000}"/>
    <cellStyle name="Note 4 6 2" xfId="421" xr:uid="{00000000-0005-0000-0000-0000D2010000}"/>
    <cellStyle name="Note 4 7" xfId="422" xr:uid="{00000000-0005-0000-0000-0000D3010000}"/>
    <cellStyle name="Note 5" xfId="423" xr:uid="{00000000-0005-0000-0000-0000D4010000}"/>
    <cellStyle name="Note 5 2" xfId="424" xr:uid="{00000000-0005-0000-0000-0000D5010000}"/>
    <cellStyle name="Output" xfId="425" xr:uid="{00000000-0005-0000-0000-0000D6010000}"/>
    <cellStyle name="Output 2" xfId="426" xr:uid="{00000000-0005-0000-0000-0000D7010000}"/>
    <cellStyle name="Output 2 2" xfId="427" xr:uid="{00000000-0005-0000-0000-0000D8010000}"/>
    <cellStyle name="Output 2 2 2" xfId="428" xr:uid="{00000000-0005-0000-0000-0000D9010000}"/>
    <cellStyle name="Output 2 3" xfId="429" xr:uid="{00000000-0005-0000-0000-0000DA010000}"/>
    <cellStyle name="Output 2 3 2" xfId="430" xr:uid="{00000000-0005-0000-0000-0000DB010000}"/>
    <cellStyle name="Output 2 4" xfId="431" xr:uid="{00000000-0005-0000-0000-0000DC010000}"/>
    <cellStyle name="Output 2 4 2" xfId="432" xr:uid="{00000000-0005-0000-0000-0000DD010000}"/>
    <cellStyle name="Output 2 5" xfId="433" xr:uid="{00000000-0005-0000-0000-0000DE010000}"/>
    <cellStyle name="Output 2 5 2" xfId="434" xr:uid="{00000000-0005-0000-0000-0000DF010000}"/>
    <cellStyle name="Output 2 6" xfId="435" xr:uid="{00000000-0005-0000-0000-0000E0010000}"/>
    <cellStyle name="Output 2 6 2" xfId="436" xr:uid="{00000000-0005-0000-0000-0000E1010000}"/>
    <cellStyle name="Output 2 7" xfId="437" xr:uid="{00000000-0005-0000-0000-0000E2010000}"/>
    <cellStyle name="Output 3" xfId="438" xr:uid="{00000000-0005-0000-0000-0000E3010000}"/>
    <cellStyle name="Output 3 2" xfId="439" xr:uid="{00000000-0005-0000-0000-0000E4010000}"/>
    <cellStyle name="per.style" xfId="440" xr:uid="{00000000-0005-0000-0000-0000E5010000}"/>
    <cellStyle name="Percent [2]" xfId="441" xr:uid="{00000000-0005-0000-0000-0000E6010000}"/>
    <cellStyle name="price" xfId="442" xr:uid="{00000000-0005-0000-0000-0000E7010000}"/>
    <cellStyle name="PSChar" xfId="443" xr:uid="{00000000-0005-0000-0000-0000E8010000}"/>
    <cellStyle name="PSHeading" xfId="444" xr:uid="{00000000-0005-0000-0000-0000E9010000}"/>
    <cellStyle name="QDF" xfId="445" xr:uid="{00000000-0005-0000-0000-0000EA010000}"/>
    <cellStyle name="revised" xfId="446" xr:uid="{00000000-0005-0000-0000-0000EB010000}"/>
    <cellStyle name="section" xfId="447" xr:uid="{00000000-0005-0000-0000-0000EC010000}"/>
    <cellStyle name="subhead" xfId="448" xr:uid="{00000000-0005-0000-0000-0000ED010000}"/>
    <cellStyle name="title" xfId="449" xr:uid="{00000000-0005-0000-0000-0000EE010000}"/>
    <cellStyle name="Total" xfId="450" xr:uid="{00000000-0005-0000-0000-0000EF010000}"/>
    <cellStyle name="Total 2" xfId="451" xr:uid="{00000000-0005-0000-0000-0000F0010000}"/>
    <cellStyle name="Total 2 2" xfId="452" xr:uid="{00000000-0005-0000-0000-0000F1010000}"/>
    <cellStyle name="Total 2 2 2" xfId="453" xr:uid="{00000000-0005-0000-0000-0000F2010000}"/>
    <cellStyle name="Total 2 3" xfId="454" xr:uid="{00000000-0005-0000-0000-0000F3010000}"/>
    <cellStyle name="Total 2 3 2" xfId="455" xr:uid="{00000000-0005-0000-0000-0000F4010000}"/>
    <cellStyle name="Total 2 4" xfId="456" xr:uid="{00000000-0005-0000-0000-0000F5010000}"/>
    <cellStyle name="Total 2 4 2" xfId="457" xr:uid="{00000000-0005-0000-0000-0000F6010000}"/>
    <cellStyle name="Total 2 5" xfId="458" xr:uid="{00000000-0005-0000-0000-0000F7010000}"/>
    <cellStyle name="Total 2 5 2" xfId="459" xr:uid="{00000000-0005-0000-0000-0000F8010000}"/>
    <cellStyle name="Total 2 6" xfId="460" xr:uid="{00000000-0005-0000-0000-0000F9010000}"/>
    <cellStyle name="Total 2 6 2" xfId="461" xr:uid="{00000000-0005-0000-0000-0000FA010000}"/>
    <cellStyle name="Total 2 7" xfId="462" xr:uid="{00000000-0005-0000-0000-0000FB010000}"/>
    <cellStyle name="Total 3" xfId="463" xr:uid="{00000000-0005-0000-0000-0000FC010000}"/>
    <cellStyle name="Total 3 2" xfId="464" xr:uid="{00000000-0005-0000-0000-0000FD010000}"/>
    <cellStyle name="Warning Text" xfId="465" xr:uid="{00000000-0005-0000-0000-0000FE010000}"/>
    <cellStyle name="アクセント 1 2" xfId="466" xr:uid="{00000000-0005-0000-0000-0000FF010000}"/>
    <cellStyle name="アクセント 1 3" xfId="467" xr:uid="{00000000-0005-0000-0000-000000020000}"/>
    <cellStyle name="アクセント 1 4" xfId="468" xr:uid="{00000000-0005-0000-0000-000001020000}"/>
    <cellStyle name="アクセント 1 5" xfId="469" xr:uid="{00000000-0005-0000-0000-000002020000}"/>
    <cellStyle name="アクセント 1 6" xfId="470" xr:uid="{00000000-0005-0000-0000-000003020000}"/>
    <cellStyle name="アクセント 1 7" xfId="471" xr:uid="{00000000-0005-0000-0000-000004020000}"/>
    <cellStyle name="アクセント 1 8" xfId="472" xr:uid="{00000000-0005-0000-0000-000005020000}"/>
    <cellStyle name="アクセント 1 9" xfId="473" xr:uid="{00000000-0005-0000-0000-000006020000}"/>
    <cellStyle name="アクセント 2 2" xfId="474" xr:uid="{00000000-0005-0000-0000-000007020000}"/>
    <cellStyle name="アクセント 2 3" xfId="475" xr:uid="{00000000-0005-0000-0000-000008020000}"/>
    <cellStyle name="アクセント 2 4" xfId="476" xr:uid="{00000000-0005-0000-0000-000009020000}"/>
    <cellStyle name="アクセント 2 5" xfId="477" xr:uid="{00000000-0005-0000-0000-00000A020000}"/>
    <cellStyle name="アクセント 2 6" xfId="478" xr:uid="{00000000-0005-0000-0000-00000B020000}"/>
    <cellStyle name="アクセント 2 7" xfId="479" xr:uid="{00000000-0005-0000-0000-00000C020000}"/>
    <cellStyle name="アクセント 2 8" xfId="480" xr:uid="{00000000-0005-0000-0000-00000D020000}"/>
    <cellStyle name="アクセント 2 9" xfId="481" xr:uid="{00000000-0005-0000-0000-00000E020000}"/>
    <cellStyle name="アクセント 3 2" xfId="482" xr:uid="{00000000-0005-0000-0000-00000F020000}"/>
    <cellStyle name="アクセント 3 3" xfId="483" xr:uid="{00000000-0005-0000-0000-000010020000}"/>
    <cellStyle name="アクセント 3 4" xfId="484" xr:uid="{00000000-0005-0000-0000-000011020000}"/>
    <cellStyle name="アクセント 3 5" xfId="485" xr:uid="{00000000-0005-0000-0000-000012020000}"/>
    <cellStyle name="アクセント 3 6" xfId="486" xr:uid="{00000000-0005-0000-0000-000013020000}"/>
    <cellStyle name="アクセント 3 7" xfId="487" xr:uid="{00000000-0005-0000-0000-000014020000}"/>
    <cellStyle name="アクセント 3 8" xfId="488" xr:uid="{00000000-0005-0000-0000-000015020000}"/>
    <cellStyle name="アクセント 3 9" xfId="489" xr:uid="{00000000-0005-0000-0000-000016020000}"/>
    <cellStyle name="アクセント 4 2" xfId="490" xr:uid="{00000000-0005-0000-0000-000017020000}"/>
    <cellStyle name="アクセント 4 3" xfId="491" xr:uid="{00000000-0005-0000-0000-000018020000}"/>
    <cellStyle name="アクセント 4 4" xfId="492" xr:uid="{00000000-0005-0000-0000-000019020000}"/>
    <cellStyle name="アクセント 4 5" xfId="493" xr:uid="{00000000-0005-0000-0000-00001A020000}"/>
    <cellStyle name="アクセント 4 6" xfId="494" xr:uid="{00000000-0005-0000-0000-00001B020000}"/>
    <cellStyle name="アクセント 4 7" xfId="495" xr:uid="{00000000-0005-0000-0000-00001C020000}"/>
    <cellStyle name="アクセント 4 8" xfId="496" xr:uid="{00000000-0005-0000-0000-00001D020000}"/>
    <cellStyle name="アクセント 4 9" xfId="497" xr:uid="{00000000-0005-0000-0000-00001E020000}"/>
    <cellStyle name="アクセント 5 2" xfId="498" xr:uid="{00000000-0005-0000-0000-00001F020000}"/>
    <cellStyle name="アクセント 5 3" xfId="499" xr:uid="{00000000-0005-0000-0000-000020020000}"/>
    <cellStyle name="アクセント 5 4" xfId="500" xr:uid="{00000000-0005-0000-0000-000021020000}"/>
    <cellStyle name="アクセント 5 5" xfId="501" xr:uid="{00000000-0005-0000-0000-000022020000}"/>
    <cellStyle name="アクセント 5 6" xfId="502" xr:uid="{00000000-0005-0000-0000-000023020000}"/>
    <cellStyle name="アクセント 5 7" xfId="503" xr:uid="{00000000-0005-0000-0000-000024020000}"/>
    <cellStyle name="アクセント 5 8" xfId="504" xr:uid="{00000000-0005-0000-0000-000025020000}"/>
    <cellStyle name="アクセント 5 9" xfId="505" xr:uid="{00000000-0005-0000-0000-000026020000}"/>
    <cellStyle name="アクセント 6 2" xfId="506" xr:uid="{00000000-0005-0000-0000-000027020000}"/>
    <cellStyle name="アクセント 6 3" xfId="507" xr:uid="{00000000-0005-0000-0000-000028020000}"/>
    <cellStyle name="アクセント 6 4" xfId="508" xr:uid="{00000000-0005-0000-0000-000029020000}"/>
    <cellStyle name="アクセント 6 5" xfId="509" xr:uid="{00000000-0005-0000-0000-00002A020000}"/>
    <cellStyle name="アクセント 6 6" xfId="510" xr:uid="{00000000-0005-0000-0000-00002B020000}"/>
    <cellStyle name="アクセント 6 7" xfId="511" xr:uid="{00000000-0005-0000-0000-00002C020000}"/>
    <cellStyle name="アクセント 6 8" xfId="512" xr:uid="{00000000-0005-0000-0000-00002D020000}"/>
    <cellStyle name="アクセント 6 9" xfId="513" xr:uid="{00000000-0005-0000-0000-00002E020000}"/>
    <cellStyle name="センター" xfId="514" xr:uid="{00000000-0005-0000-0000-00002F020000}"/>
    <cellStyle name="タイトル 2" xfId="515" xr:uid="{00000000-0005-0000-0000-000030020000}"/>
    <cellStyle name="タイトル 3" xfId="516" xr:uid="{00000000-0005-0000-0000-000031020000}"/>
    <cellStyle name="タイトル 4" xfId="517" xr:uid="{00000000-0005-0000-0000-000032020000}"/>
    <cellStyle name="タイトル 5" xfId="518" xr:uid="{00000000-0005-0000-0000-000033020000}"/>
    <cellStyle name="タイトル 6" xfId="519" xr:uid="{00000000-0005-0000-0000-000034020000}"/>
    <cellStyle name="タイトル 7" xfId="520" xr:uid="{00000000-0005-0000-0000-000035020000}"/>
    <cellStyle name="タイトル 8" xfId="521" xr:uid="{00000000-0005-0000-0000-000036020000}"/>
    <cellStyle name="タイトル 9" xfId="522" xr:uid="{00000000-0005-0000-0000-000037020000}"/>
    <cellStyle name="チェック セル 2" xfId="523" xr:uid="{00000000-0005-0000-0000-000038020000}"/>
    <cellStyle name="チェック セル 3" xfId="524" xr:uid="{00000000-0005-0000-0000-000039020000}"/>
    <cellStyle name="チェック セル 4" xfId="525" xr:uid="{00000000-0005-0000-0000-00003A020000}"/>
    <cellStyle name="チェック セル 5" xfId="526" xr:uid="{00000000-0005-0000-0000-00003B020000}"/>
    <cellStyle name="チェック セル 6" xfId="527" xr:uid="{00000000-0005-0000-0000-00003C020000}"/>
    <cellStyle name="チェック セル 7" xfId="528" xr:uid="{00000000-0005-0000-0000-00003D020000}"/>
    <cellStyle name="チェック セル 8" xfId="529" xr:uid="{00000000-0005-0000-0000-00003E020000}"/>
    <cellStyle name="チェック セル 9" xfId="530" xr:uid="{00000000-0005-0000-0000-00003F020000}"/>
    <cellStyle name="チャート" xfId="531" xr:uid="{00000000-0005-0000-0000-000040020000}"/>
    <cellStyle name="どちらでもない 2" xfId="532" xr:uid="{00000000-0005-0000-0000-000041020000}"/>
    <cellStyle name="どちらでもない 3" xfId="533" xr:uid="{00000000-0005-0000-0000-000042020000}"/>
    <cellStyle name="どちらでもない 4" xfId="534" xr:uid="{00000000-0005-0000-0000-000043020000}"/>
    <cellStyle name="どちらでもない 5" xfId="535" xr:uid="{00000000-0005-0000-0000-000044020000}"/>
    <cellStyle name="どちらでもない 6" xfId="536" xr:uid="{00000000-0005-0000-0000-000045020000}"/>
    <cellStyle name="どちらでもない 7" xfId="537" xr:uid="{00000000-0005-0000-0000-000046020000}"/>
    <cellStyle name="どちらでもない 8" xfId="538" xr:uid="{00000000-0005-0000-0000-000047020000}"/>
    <cellStyle name="どちらでもない 9" xfId="539" xr:uid="{00000000-0005-0000-0000-000048020000}"/>
    <cellStyle name="パーセント 2" xfId="540" xr:uid="{00000000-0005-0000-0000-000049020000}"/>
    <cellStyle name="パーセント 2 2" xfId="541" xr:uid="{00000000-0005-0000-0000-00004A020000}"/>
    <cellStyle name="パーセント 3" xfId="542" xr:uid="{00000000-0005-0000-0000-00004B020000}"/>
    <cellStyle name="ハイパーリンク 2" xfId="543" xr:uid="{00000000-0005-0000-0000-00004C020000}"/>
    <cellStyle name="ハイパーリンク 2 2" xfId="544" xr:uid="{00000000-0005-0000-0000-00004D020000}"/>
    <cellStyle name="ハイパーリンク 2 3" xfId="545" xr:uid="{00000000-0005-0000-0000-00004E020000}"/>
    <cellStyle name="ハイパーリンク 3" xfId="546" xr:uid="{00000000-0005-0000-0000-00004F020000}"/>
    <cellStyle name="メモ 2" xfId="547" xr:uid="{00000000-0005-0000-0000-000050020000}"/>
    <cellStyle name="メモ 2 2" xfId="548" xr:uid="{00000000-0005-0000-0000-000051020000}"/>
    <cellStyle name="メモ 2 2 2" xfId="549" xr:uid="{00000000-0005-0000-0000-000052020000}"/>
    <cellStyle name="メモ 2 2 2 2" xfId="550" xr:uid="{00000000-0005-0000-0000-000053020000}"/>
    <cellStyle name="メモ 2 2 2 2 2" xfId="551" xr:uid="{00000000-0005-0000-0000-000054020000}"/>
    <cellStyle name="メモ 2 2 2 3" xfId="552" xr:uid="{00000000-0005-0000-0000-000055020000}"/>
    <cellStyle name="メモ 2 2 2 3 2" xfId="553" xr:uid="{00000000-0005-0000-0000-000056020000}"/>
    <cellStyle name="メモ 2 2 2 4" xfId="554" xr:uid="{00000000-0005-0000-0000-000057020000}"/>
    <cellStyle name="メモ 2 2 2 4 2" xfId="555" xr:uid="{00000000-0005-0000-0000-000058020000}"/>
    <cellStyle name="メモ 2 2 2 5" xfId="556" xr:uid="{00000000-0005-0000-0000-000059020000}"/>
    <cellStyle name="メモ 2 2 2 5 2" xfId="557" xr:uid="{00000000-0005-0000-0000-00005A020000}"/>
    <cellStyle name="メモ 2 2 2 6" xfId="558" xr:uid="{00000000-0005-0000-0000-00005B020000}"/>
    <cellStyle name="メモ 2 2 2 6 2" xfId="559" xr:uid="{00000000-0005-0000-0000-00005C020000}"/>
    <cellStyle name="メモ 2 2 2 7" xfId="560" xr:uid="{00000000-0005-0000-0000-00005D020000}"/>
    <cellStyle name="メモ 2 2 3" xfId="561" xr:uid="{00000000-0005-0000-0000-00005E020000}"/>
    <cellStyle name="メモ 2 2 3 2" xfId="562" xr:uid="{00000000-0005-0000-0000-00005F020000}"/>
    <cellStyle name="メモ 2 2 4" xfId="563" xr:uid="{00000000-0005-0000-0000-000060020000}"/>
    <cellStyle name="メモ 2 3" xfId="564" xr:uid="{00000000-0005-0000-0000-000061020000}"/>
    <cellStyle name="メモ 2 3 2" xfId="565" xr:uid="{00000000-0005-0000-0000-000062020000}"/>
    <cellStyle name="メモ 2 3 2 2" xfId="566" xr:uid="{00000000-0005-0000-0000-000063020000}"/>
    <cellStyle name="メモ 2 3 2 2 2" xfId="567" xr:uid="{00000000-0005-0000-0000-000064020000}"/>
    <cellStyle name="メモ 2 3 2 3" xfId="568" xr:uid="{00000000-0005-0000-0000-000065020000}"/>
    <cellStyle name="メモ 2 3 2 3 2" xfId="569" xr:uid="{00000000-0005-0000-0000-000066020000}"/>
    <cellStyle name="メモ 2 3 2 4" xfId="570" xr:uid="{00000000-0005-0000-0000-000067020000}"/>
    <cellStyle name="メモ 2 3 2 4 2" xfId="571" xr:uid="{00000000-0005-0000-0000-000068020000}"/>
    <cellStyle name="メモ 2 3 2 5" xfId="572" xr:uid="{00000000-0005-0000-0000-000069020000}"/>
    <cellStyle name="メモ 2 3 2 5 2" xfId="573" xr:uid="{00000000-0005-0000-0000-00006A020000}"/>
    <cellStyle name="メモ 2 3 2 6" xfId="574" xr:uid="{00000000-0005-0000-0000-00006B020000}"/>
    <cellStyle name="メモ 2 3 2 6 2" xfId="575" xr:uid="{00000000-0005-0000-0000-00006C020000}"/>
    <cellStyle name="メモ 2 3 2 7" xfId="576" xr:uid="{00000000-0005-0000-0000-00006D020000}"/>
    <cellStyle name="メモ 2 3 3" xfId="577" xr:uid="{00000000-0005-0000-0000-00006E020000}"/>
    <cellStyle name="メモ 2 3 3 2" xfId="578" xr:uid="{00000000-0005-0000-0000-00006F020000}"/>
    <cellStyle name="メモ 2 4" xfId="579" xr:uid="{00000000-0005-0000-0000-000070020000}"/>
    <cellStyle name="メモ 2 4 2" xfId="580" xr:uid="{00000000-0005-0000-0000-000071020000}"/>
    <cellStyle name="メモ 2 4 2 2" xfId="581" xr:uid="{00000000-0005-0000-0000-000072020000}"/>
    <cellStyle name="メモ 2 4 2 2 2" xfId="582" xr:uid="{00000000-0005-0000-0000-000073020000}"/>
    <cellStyle name="メモ 2 4 2 3" xfId="583" xr:uid="{00000000-0005-0000-0000-000074020000}"/>
    <cellStyle name="メモ 2 4 2 3 2" xfId="584" xr:uid="{00000000-0005-0000-0000-000075020000}"/>
    <cellStyle name="メモ 2 4 2 4" xfId="585" xr:uid="{00000000-0005-0000-0000-000076020000}"/>
    <cellStyle name="メモ 2 4 2 4 2" xfId="586" xr:uid="{00000000-0005-0000-0000-000077020000}"/>
    <cellStyle name="メモ 2 4 2 5" xfId="587" xr:uid="{00000000-0005-0000-0000-000078020000}"/>
    <cellStyle name="メモ 2 4 2 5 2" xfId="588" xr:uid="{00000000-0005-0000-0000-000079020000}"/>
    <cellStyle name="メモ 2 4 2 6" xfId="589" xr:uid="{00000000-0005-0000-0000-00007A020000}"/>
    <cellStyle name="メモ 2 4 2 6 2" xfId="590" xr:uid="{00000000-0005-0000-0000-00007B020000}"/>
    <cellStyle name="メモ 2 4 2 7" xfId="591" xr:uid="{00000000-0005-0000-0000-00007C020000}"/>
    <cellStyle name="メモ 2 4 3" xfId="592" xr:uid="{00000000-0005-0000-0000-00007D020000}"/>
    <cellStyle name="メモ 2 4 3 2" xfId="593" xr:uid="{00000000-0005-0000-0000-00007E020000}"/>
    <cellStyle name="メモ 2 4 4" xfId="594" xr:uid="{00000000-0005-0000-0000-00007F020000}"/>
    <cellStyle name="メモ 2 4 4 2" xfId="595" xr:uid="{00000000-0005-0000-0000-000080020000}"/>
    <cellStyle name="メモ 2 4 5" xfId="596" xr:uid="{00000000-0005-0000-0000-000081020000}"/>
    <cellStyle name="メモ 2 4 5 2" xfId="597" xr:uid="{00000000-0005-0000-0000-000082020000}"/>
    <cellStyle name="メモ 2 4 6" xfId="598" xr:uid="{00000000-0005-0000-0000-000083020000}"/>
    <cellStyle name="メモ 2 4 6 2" xfId="599" xr:uid="{00000000-0005-0000-0000-000084020000}"/>
    <cellStyle name="メモ 2 4 7" xfId="600" xr:uid="{00000000-0005-0000-0000-000085020000}"/>
    <cellStyle name="メモ 2 4 7 2" xfId="601" xr:uid="{00000000-0005-0000-0000-000086020000}"/>
    <cellStyle name="メモ 2 4 8" xfId="602" xr:uid="{00000000-0005-0000-0000-000087020000}"/>
    <cellStyle name="メモ 2 5" xfId="603" xr:uid="{00000000-0005-0000-0000-000088020000}"/>
    <cellStyle name="メモ 2 5 2" xfId="604" xr:uid="{00000000-0005-0000-0000-000089020000}"/>
    <cellStyle name="メモ 2 5 2 2" xfId="605" xr:uid="{00000000-0005-0000-0000-00008A020000}"/>
    <cellStyle name="メモ 2 5 2 2 2" xfId="606" xr:uid="{00000000-0005-0000-0000-00008B020000}"/>
    <cellStyle name="メモ 2 5 2 3" xfId="607" xr:uid="{00000000-0005-0000-0000-00008C020000}"/>
    <cellStyle name="メモ 2 5 2 3 2" xfId="608" xr:uid="{00000000-0005-0000-0000-00008D020000}"/>
    <cellStyle name="メモ 2 5 2 4" xfId="609" xr:uid="{00000000-0005-0000-0000-00008E020000}"/>
    <cellStyle name="メモ 2 5 2 4 2" xfId="610" xr:uid="{00000000-0005-0000-0000-00008F020000}"/>
    <cellStyle name="メモ 2 5 2 5" xfId="611" xr:uid="{00000000-0005-0000-0000-000090020000}"/>
    <cellStyle name="メモ 2 5 2 5 2" xfId="612" xr:uid="{00000000-0005-0000-0000-000091020000}"/>
    <cellStyle name="メモ 2 5 2 6" xfId="613" xr:uid="{00000000-0005-0000-0000-000092020000}"/>
    <cellStyle name="メモ 2 5 2 6 2" xfId="614" xr:uid="{00000000-0005-0000-0000-000093020000}"/>
    <cellStyle name="メモ 2 5 2 7" xfId="615" xr:uid="{00000000-0005-0000-0000-000094020000}"/>
    <cellStyle name="メモ 2 5 3" xfId="616" xr:uid="{00000000-0005-0000-0000-000095020000}"/>
    <cellStyle name="メモ 2 5 3 2" xfId="617" xr:uid="{00000000-0005-0000-0000-000096020000}"/>
    <cellStyle name="メモ 2 5 4" xfId="618" xr:uid="{00000000-0005-0000-0000-000097020000}"/>
    <cellStyle name="メモ 2 5 4 2" xfId="619" xr:uid="{00000000-0005-0000-0000-000098020000}"/>
    <cellStyle name="メモ 2 5 5" xfId="620" xr:uid="{00000000-0005-0000-0000-000099020000}"/>
    <cellStyle name="メモ 2 5 5 2" xfId="621" xr:uid="{00000000-0005-0000-0000-00009A020000}"/>
    <cellStyle name="メモ 2 5 6" xfId="622" xr:uid="{00000000-0005-0000-0000-00009B020000}"/>
    <cellStyle name="メモ 2 5 6 2" xfId="623" xr:uid="{00000000-0005-0000-0000-00009C020000}"/>
    <cellStyle name="メモ 2 5 7" xfId="624" xr:uid="{00000000-0005-0000-0000-00009D020000}"/>
    <cellStyle name="メモ 2 5 7 2" xfId="625" xr:uid="{00000000-0005-0000-0000-00009E020000}"/>
    <cellStyle name="メモ 2 5 8" xfId="626" xr:uid="{00000000-0005-0000-0000-00009F020000}"/>
    <cellStyle name="メモ 2 6" xfId="627" xr:uid="{00000000-0005-0000-0000-0000A0020000}"/>
    <cellStyle name="メモ 2 6 2" xfId="628" xr:uid="{00000000-0005-0000-0000-0000A1020000}"/>
    <cellStyle name="メモ 2 6 2 2" xfId="629" xr:uid="{00000000-0005-0000-0000-0000A2020000}"/>
    <cellStyle name="メモ 2 6 2 2 2" xfId="630" xr:uid="{00000000-0005-0000-0000-0000A3020000}"/>
    <cellStyle name="メモ 2 6 2 3" xfId="631" xr:uid="{00000000-0005-0000-0000-0000A4020000}"/>
    <cellStyle name="メモ 2 6 2 3 2" xfId="632" xr:uid="{00000000-0005-0000-0000-0000A5020000}"/>
    <cellStyle name="メモ 2 6 2 4" xfId="633" xr:uid="{00000000-0005-0000-0000-0000A6020000}"/>
    <cellStyle name="メモ 2 6 2 4 2" xfId="634" xr:uid="{00000000-0005-0000-0000-0000A7020000}"/>
    <cellStyle name="メモ 2 6 2 5" xfId="635" xr:uid="{00000000-0005-0000-0000-0000A8020000}"/>
    <cellStyle name="メモ 2 6 2 5 2" xfId="636" xr:uid="{00000000-0005-0000-0000-0000A9020000}"/>
    <cellStyle name="メモ 2 6 2 6" xfId="637" xr:uid="{00000000-0005-0000-0000-0000AA020000}"/>
    <cellStyle name="メモ 2 6 2 6 2" xfId="638" xr:uid="{00000000-0005-0000-0000-0000AB020000}"/>
    <cellStyle name="メモ 2 6 2 7" xfId="639" xr:uid="{00000000-0005-0000-0000-0000AC020000}"/>
    <cellStyle name="メモ 2 6 3" xfId="640" xr:uid="{00000000-0005-0000-0000-0000AD020000}"/>
    <cellStyle name="メモ 2 6 3 2" xfId="641" xr:uid="{00000000-0005-0000-0000-0000AE020000}"/>
    <cellStyle name="メモ 2 6 4" xfId="642" xr:uid="{00000000-0005-0000-0000-0000AF020000}"/>
    <cellStyle name="メモ 2 6 4 2" xfId="643" xr:uid="{00000000-0005-0000-0000-0000B0020000}"/>
    <cellStyle name="メモ 2 6 5" xfId="644" xr:uid="{00000000-0005-0000-0000-0000B1020000}"/>
    <cellStyle name="メモ 2 6 5 2" xfId="645" xr:uid="{00000000-0005-0000-0000-0000B2020000}"/>
    <cellStyle name="メモ 2 6 6" xfId="646" xr:uid="{00000000-0005-0000-0000-0000B3020000}"/>
    <cellStyle name="メモ 2 6 6 2" xfId="647" xr:uid="{00000000-0005-0000-0000-0000B4020000}"/>
    <cellStyle name="メモ 2 6 7" xfId="648" xr:uid="{00000000-0005-0000-0000-0000B5020000}"/>
    <cellStyle name="メモ 2 6 7 2" xfId="649" xr:uid="{00000000-0005-0000-0000-0000B6020000}"/>
    <cellStyle name="メモ 2 6 8" xfId="650" xr:uid="{00000000-0005-0000-0000-0000B7020000}"/>
    <cellStyle name="メモ 2 7" xfId="651" xr:uid="{00000000-0005-0000-0000-0000B8020000}"/>
    <cellStyle name="メモ 2 7 2" xfId="652" xr:uid="{00000000-0005-0000-0000-0000B9020000}"/>
    <cellStyle name="メモ 2 7 2 2" xfId="653" xr:uid="{00000000-0005-0000-0000-0000BA020000}"/>
    <cellStyle name="メモ 2 7 3" xfId="654" xr:uid="{00000000-0005-0000-0000-0000BB020000}"/>
    <cellStyle name="メモ 2 7 3 2" xfId="655" xr:uid="{00000000-0005-0000-0000-0000BC020000}"/>
    <cellStyle name="メモ 2 7 4" xfId="656" xr:uid="{00000000-0005-0000-0000-0000BD020000}"/>
    <cellStyle name="メモ 2 7 4 2" xfId="657" xr:uid="{00000000-0005-0000-0000-0000BE020000}"/>
    <cellStyle name="メモ 2 7 5" xfId="658" xr:uid="{00000000-0005-0000-0000-0000BF020000}"/>
    <cellStyle name="メモ 2 7 5 2" xfId="659" xr:uid="{00000000-0005-0000-0000-0000C0020000}"/>
    <cellStyle name="メモ 2 7 6" xfId="660" xr:uid="{00000000-0005-0000-0000-0000C1020000}"/>
    <cellStyle name="メモ 2 7 6 2" xfId="661" xr:uid="{00000000-0005-0000-0000-0000C2020000}"/>
    <cellStyle name="メモ 2 7 7" xfId="662" xr:uid="{00000000-0005-0000-0000-0000C3020000}"/>
    <cellStyle name="メモ 2 8" xfId="663" xr:uid="{00000000-0005-0000-0000-0000C4020000}"/>
    <cellStyle name="メモ 2 8 2" xfId="664" xr:uid="{00000000-0005-0000-0000-0000C5020000}"/>
    <cellStyle name="メモ 3" xfId="665" xr:uid="{00000000-0005-0000-0000-0000C6020000}"/>
    <cellStyle name="メモ 3 2" xfId="666" xr:uid="{00000000-0005-0000-0000-0000C7020000}"/>
    <cellStyle name="メモ 3 2 2" xfId="667" xr:uid="{00000000-0005-0000-0000-0000C8020000}"/>
    <cellStyle name="メモ 3 2 2 2" xfId="668" xr:uid="{00000000-0005-0000-0000-0000C9020000}"/>
    <cellStyle name="メモ 3 2 3" xfId="669" xr:uid="{00000000-0005-0000-0000-0000CA020000}"/>
    <cellStyle name="メモ 3 2 3 2" xfId="670" xr:uid="{00000000-0005-0000-0000-0000CB020000}"/>
    <cellStyle name="メモ 3 2 4" xfId="671" xr:uid="{00000000-0005-0000-0000-0000CC020000}"/>
    <cellStyle name="メモ 3 2 4 2" xfId="672" xr:uid="{00000000-0005-0000-0000-0000CD020000}"/>
    <cellStyle name="メモ 3 2 5" xfId="673" xr:uid="{00000000-0005-0000-0000-0000CE020000}"/>
    <cellStyle name="メモ 3 2 5 2" xfId="674" xr:uid="{00000000-0005-0000-0000-0000CF020000}"/>
    <cellStyle name="メモ 3 2 6" xfId="675" xr:uid="{00000000-0005-0000-0000-0000D0020000}"/>
    <cellStyle name="メモ 3 2 6 2" xfId="676" xr:uid="{00000000-0005-0000-0000-0000D1020000}"/>
    <cellStyle name="メモ 3 2 7" xfId="677" xr:uid="{00000000-0005-0000-0000-0000D2020000}"/>
    <cellStyle name="メモ 3 3" xfId="678" xr:uid="{00000000-0005-0000-0000-0000D3020000}"/>
    <cellStyle name="メモ 3 3 2" xfId="679" xr:uid="{00000000-0005-0000-0000-0000D4020000}"/>
    <cellStyle name="メモ 3 4" xfId="680" xr:uid="{00000000-0005-0000-0000-0000D5020000}"/>
    <cellStyle name="メモ 3 5" xfId="681" xr:uid="{00000000-0005-0000-0000-0000D6020000}"/>
    <cellStyle name="メモ 4" xfId="682" xr:uid="{00000000-0005-0000-0000-0000D7020000}"/>
    <cellStyle name="メモ 4 2" xfId="683" xr:uid="{00000000-0005-0000-0000-0000D8020000}"/>
    <cellStyle name="メモ 4 2 2" xfId="684" xr:uid="{00000000-0005-0000-0000-0000D9020000}"/>
    <cellStyle name="メモ 4 2 2 2" xfId="685" xr:uid="{00000000-0005-0000-0000-0000DA020000}"/>
    <cellStyle name="メモ 4 2 3" xfId="686" xr:uid="{00000000-0005-0000-0000-0000DB020000}"/>
    <cellStyle name="メモ 4 2 3 2" xfId="687" xr:uid="{00000000-0005-0000-0000-0000DC020000}"/>
    <cellStyle name="メモ 4 2 4" xfId="688" xr:uid="{00000000-0005-0000-0000-0000DD020000}"/>
    <cellStyle name="メモ 4 2 4 2" xfId="689" xr:uid="{00000000-0005-0000-0000-0000DE020000}"/>
    <cellStyle name="メモ 4 2 5" xfId="690" xr:uid="{00000000-0005-0000-0000-0000DF020000}"/>
    <cellStyle name="メモ 4 2 5 2" xfId="691" xr:uid="{00000000-0005-0000-0000-0000E0020000}"/>
    <cellStyle name="メモ 4 2 6" xfId="692" xr:uid="{00000000-0005-0000-0000-0000E1020000}"/>
    <cellStyle name="メモ 4 2 6 2" xfId="693" xr:uid="{00000000-0005-0000-0000-0000E2020000}"/>
    <cellStyle name="メモ 4 2 7" xfId="694" xr:uid="{00000000-0005-0000-0000-0000E3020000}"/>
    <cellStyle name="メモ 4 3" xfId="695" xr:uid="{00000000-0005-0000-0000-0000E4020000}"/>
    <cellStyle name="メモ 4 3 2" xfId="696" xr:uid="{00000000-0005-0000-0000-0000E5020000}"/>
    <cellStyle name="メモ 4 4" xfId="697" xr:uid="{00000000-0005-0000-0000-0000E6020000}"/>
    <cellStyle name="メモ 5" xfId="698" xr:uid="{00000000-0005-0000-0000-0000E7020000}"/>
    <cellStyle name="メモ 5 2" xfId="699" xr:uid="{00000000-0005-0000-0000-0000E8020000}"/>
    <cellStyle name="メモ 5 2 2" xfId="700" xr:uid="{00000000-0005-0000-0000-0000E9020000}"/>
    <cellStyle name="メモ 5 3" xfId="701" xr:uid="{00000000-0005-0000-0000-0000EA020000}"/>
    <cellStyle name="メモ 5 3 2" xfId="702" xr:uid="{00000000-0005-0000-0000-0000EB020000}"/>
    <cellStyle name="メモ 5 4" xfId="703" xr:uid="{00000000-0005-0000-0000-0000EC020000}"/>
    <cellStyle name="メモ 5 4 2" xfId="704" xr:uid="{00000000-0005-0000-0000-0000ED020000}"/>
    <cellStyle name="メモ 5 5" xfId="705" xr:uid="{00000000-0005-0000-0000-0000EE020000}"/>
    <cellStyle name="メモ 5 5 2" xfId="706" xr:uid="{00000000-0005-0000-0000-0000EF020000}"/>
    <cellStyle name="メモ 5 6" xfId="707" xr:uid="{00000000-0005-0000-0000-0000F0020000}"/>
    <cellStyle name="メモ 5 6 2" xfId="708" xr:uid="{00000000-0005-0000-0000-0000F1020000}"/>
    <cellStyle name="メモ 5 7" xfId="709" xr:uid="{00000000-0005-0000-0000-0000F2020000}"/>
    <cellStyle name="メモ 5 7 2" xfId="710" xr:uid="{00000000-0005-0000-0000-0000F3020000}"/>
    <cellStyle name="メモ 6" xfId="711" xr:uid="{00000000-0005-0000-0000-0000F4020000}"/>
    <cellStyle name="メモ 7" xfId="712" xr:uid="{00000000-0005-0000-0000-0000F5020000}"/>
    <cellStyle name="メモ 8" xfId="713" xr:uid="{00000000-0005-0000-0000-0000F6020000}"/>
    <cellStyle name="メモ 9" xfId="714" xr:uid="{00000000-0005-0000-0000-0000F7020000}"/>
    <cellStyle name="リンク セル 2" xfId="715" xr:uid="{00000000-0005-0000-0000-0000F8020000}"/>
    <cellStyle name="リンク セル 3" xfId="716" xr:uid="{00000000-0005-0000-0000-0000F9020000}"/>
    <cellStyle name="リンク セル 4" xfId="717" xr:uid="{00000000-0005-0000-0000-0000FA020000}"/>
    <cellStyle name="リンク セル 5" xfId="718" xr:uid="{00000000-0005-0000-0000-0000FB020000}"/>
    <cellStyle name="リンク セル 6" xfId="719" xr:uid="{00000000-0005-0000-0000-0000FC020000}"/>
    <cellStyle name="リンク セル 7" xfId="720" xr:uid="{00000000-0005-0000-0000-0000FD020000}"/>
    <cellStyle name="リンク セル 8" xfId="721" xr:uid="{00000000-0005-0000-0000-0000FE020000}"/>
    <cellStyle name="リンク セル 9" xfId="722" xr:uid="{00000000-0005-0000-0000-0000FF020000}"/>
    <cellStyle name="_x001d_・_x000c_ﾏ・_x000d_ﾂ・_x0001__x0016__x0011_F5_x0007__x0001__x0001_" xfId="723" xr:uid="{00000000-0005-0000-0000-000000030000}"/>
    <cellStyle name="_x001d_・_x000c_ﾏ・_x000d_ﾂ・_x0001__x0016__x0011_F5_x0007__x0001__x0001_ 2" xfId="724" xr:uid="{00000000-0005-0000-0000-000001030000}"/>
    <cellStyle name="_x001d_・_x000c_ﾏ・_x000d_ﾂ・_x0001__x0016__x0011_F5_x0007__x0001__x0001_ 2 2" xfId="725" xr:uid="{00000000-0005-0000-0000-000002030000}"/>
    <cellStyle name="_x001d_・_x000c_ﾏ・_x000d_ﾂ・_x0001__x0016__x0011_F5_x0007__x0001__x0001_ 2 2 2" xfId="726" xr:uid="{00000000-0005-0000-0000-000003030000}"/>
    <cellStyle name="_x001d_・_x000c_ﾏ・_x000d_ﾂ・_x0001__x0016__x0011_F5_x0007__x0001__x0001_ 2 3" xfId="727" xr:uid="{00000000-0005-0000-0000-000004030000}"/>
    <cellStyle name="_x001d_・_x000c_ﾏ・_x000d_ﾂ・_x0001__x0016__x0011_F5_x0007__x0001__x0001_ 3" xfId="728" xr:uid="{00000000-0005-0000-0000-000005030000}"/>
    <cellStyle name="_x001d_・_x000c_ﾏ・_x000d_ﾂ・_x0001__x0016__x0011_F5_x0007__x0001__x0001_ 3 2" xfId="729" xr:uid="{00000000-0005-0000-0000-000006030000}"/>
    <cellStyle name="悪い 2" xfId="730" xr:uid="{00000000-0005-0000-0000-000007030000}"/>
    <cellStyle name="悪い 3" xfId="731" xr:uid="{00000000-0005-0000-0000-000008030000}"/>
    <cellStyle name="悪い 4" xfId="732" xr:uid="{00000000-0005-0000-0000-000009030000}"/>
    <cellStyle name="悪い 5" xfId="733" xr:uid="{00000000-0005-0000-0000-00000A030000}"/>
    <cellStyle name="悪い 6" xfId="734" xr:uid="{00000000-0005-0000-0000-00000B030000}"/>
    <cellStyle name="悪い 7" xfId="735" xr:uid="{00000000-0005-0000-0000-00000C030000}"/>
    <cellStyle name="悪い 8" xfId="736" xr:uid="{00000000-0005-0000-0000-00000D030000}"/>
    <cellStyle name="悪い 9" xfId="737" xr:uid="{00000000-0005-0000-0000-00000E030000}"/>
    <cellStyle name="計算 2" xfId="738" xr:uid="{00000000-0005-0000-0000-00000F030000}"/>
    <cellStyle name="計算 2 2" xfId="739" xr:uid="{00000000-0005-0000-0000-000010030000}"/>
    <cellStyle name="計算 2 2 2" xfId="740" xr:uid="{00000000-0005-0000-0000-000011030000}"/>
    <cellStyle name="計算 2 2 2 2" xfId="741" xr:uid="{00000000-0005-0000-0000-000012030000}"/>
    <cellStyle name="計算 2 2 2 2 2" xfId="742" xr:uid="{00000000-0005-0000-0000-000013030000}"/>
    <cellStyle name="計算 2 2 2 3" xfId="743" xr:uid="{00000000-0005-0000-0000-000014030000}"/>
    <cellStyle name="計算 2 2 2 3 2" xfId="744" xr:uid="{00000000-0005-0000-0000-000015030000}"/>
    <cellStyle name="計算 2 2 2 4" xfId="745" xr:uid="{00000000-0005-0000-0000-000016030000}"/>
    <cellStyle name="計算 2 2 2 4 2" xfId="746" xr:uid="{00000000-0005-0000-0000-000017030000}"/>
    <cellStyle name="計算 2 2 2 5" xfId="747" xr:uid="{00000000-0005-0000-0000-000018030000}"/>
    <cellStyle name="計算 2 2 2 5 2" xfId="748" xr:uid="{00000000-0005-0000-0000-000019030000}"/>
    <cellStyle name="計算 2 2 2 6" xfId="749" xr:uid="{00000000-0005-0000-0000-00001A030000}"/>
    <cellStyle name="計算 2 2 2 6 2" xfId="750" xr:uid="{00000000-0005-0000-0000-00001B030000}"/>
    <cellStyle name="計算 2 2 2 7" xfId="751" xr:uid="{00000000-0005-0000-0000-00001C030000}"/>
    <cellStyle name="計算 2 2 3" xfId="752" xr:uid="{00000000-0005-0000-0000-00001D030000}"/>
    <cellStyle name="計算 2 2 3 2" xfId="753" xr:uid="{00000000-0005-0000-0000-00001E030000}"/>
    <cellStyle name="計算 2 2 4" xfId="754" xr:uid="{00000000-0005-0000-0000-00001F030000}"/>
    <cellStyle name="計算 2 3" xfId="755" xr:uid="{00000000-0005-0000-0000-000020030000}"/>
    <cellStyle name="計算 2 3 2" xfId="756" xr:uid="{00000000-0005-0000-0000-000021030000}"/>
    <cellStyle name="計算 2 3 2 2" xfId="757" xr:uid="{00000000-0005-0000-0000-000022030000}"/>
    <cellStyle name="計算 2 3 3" xfId="758" xr:uid="{00000000-0005-0000-0000-000023030000}"/>
    <cellStyle name="計算 2 3 3 2" xfId="759" xr:uid="{00000000-0005-0000-0000-000024030000}"/>
    <cellStyle name="計算 2 3 4" xfId="760" xr:uid="{00000000-0005-0000-0000-000025030000}"/>
    <cellStyle name="計算 2 3 4 2" xfId="761" xr:uid="{00000000-0005-0000-0000-000026030000}"/>
    <cellStyle name="計算 2 3 5" xfId="762" xr:uid="{00000000-0005-0000-0000-000027030000}"/>
    <cellStyle name="計算 2 3 5 2" xfId="763" xr:uid="{00000000-0005-0000-0000-000028030000}"/>
    <cellStyle name="計算 2 3 6" xfId="764" xr:uid="{00000000-0005-0000-0000-000029030000}"/>
    <cellStyle name="計算 2 3 6 2" xfId="765" xr:uid="{00000000-0005-0000-0000-00002A030000}"/>
    <cellStyle name="計算 2 3 7" xfId="766" xr:uid="{00000000-0005-0000-0000-00002B030000}"/>
    <cellStyle name="計算 2 4" xfId="767" xr:uid="{00000000-0005-0000-0000-00002C030000}"/>
    <cellStyle name="計算 2 4 2" xfId="768" xr:uid="{00000000-0005-0000-0000-00002D030000}"/>
    <cellStyle name="計算 2 5" xfId="769" xr:uid="{00000000-0005-0000-0000-00002E030000}"/>
    <cellStyle name="計算 3" xfId="770" xr:uid="{00000000-0005-0000-0000-00002F030000}"/>
    <cellStyle name="計算 3 2" xfId="771" xr:uid="{00000000-0005-0000-0000-000030030000}"/>
    <cellStyle name="計算 3 2 2" xfId="772" xr:uid="{00000000-0005-0000-0000-000031030000}"/>
    <cellStyle name="計算 3 2 2 2" xfId="773" xr:uid="{00000000-0005-0000-0000-000032030000}"/>
    <cellStyle name="計算 3 2 3" xfId="774" xr:uid="{00000000-0005-0000-0000-000033030000}"/>
    <cellStyle name="計算 3 2 3 2" xfId="775" xr:uid="{00000000-0005-0000-0000-000034030000}"/>
    <cellStyle name="計算 3 2 4" xfId="776" xr:uid="{00000000-0005-0000-0000-000035030000}"/>
    <cellStyle name="計算 3 2 4 2" xfId="777" xr:uid="{00000000-0005-0000-0000-000036030000}"/>
    <cellStyle name="計算 3 2 5" xfId="778" xr:uid="{00000000-0005-0000-0000-000037030000}"/>
    <cellStyle name="計算 3 2 5 2" xfId="779" xr:uid="{00000000-0005-0000-0000-000038030000}"/>
    <cellStyle name="計算 3 2 6" xfId="780" xr:uid="{00000000-0005-0000-0000-000039030000}"/>
    <cellStyle name="計算 3 2 6 2" xfId="781" xr:uid="{00000000-0005-0000-0000-00003A030000}"/>
    <cellStyle name="計算 3 2 7" xfId="782" xr:uid="{00000000-0005-0000-0000-00003B030000}"/>
    <cellStyle name="計算 3 3" xfId="783" xr:uid="{00000000-0005-0000-0000-00003C030000}"/>
    <cellStyle name="計算 3 3 2" xfId="784" xr:uid="{00000000-0005-0000-0000-00003D030000}"/>
    <cellStyle name="計算 3 4" xfId="785" xr:uid="{00000000-0005-0000-0000-00003E030000}"/>
    <cellStyle name="計算 4" xfId="786" xr:uid="{00000000-0005-0000-0000-00003F030000}"/>
    <cellStyle name="計算 4 2" xfId="787" xr:uid="{00000000-0005-0000-0000-000040030000}"/>
    <cellStyle name="計算 4 2 2" xfId="788" xr:uid="{00000000-0005-0000-0000-000041030000}"/>
    <cellStyle name="計算 4 3" xfId="789" xr:uid="{00000000-0005-0000-0000-000042030000}"/>
    <cellStyle name="計算 4 3 2" xfId="790" xr:uid="{00000000-0005-0000-0000-000043030000}"/>
    <cellStyle name="計算 4 4" xfId="791" xr:uid="{00000000-0005-0000-0000-000044030000}"/>
    <cellStyle name="計算 4 4 2" xfId="792" xr:uid="{00000000-0005-0000-0000-000045030000}"/>
    <cellStyle name="計算 4 5" xfId="793" xr:uid="{00000000-0005-0000-0000-000046030000}"/>
    <cellStyle name="計算 4 5 2" xfId="794" xr:uid="{00000000-0005-0000-0000-000047030000}"/>
    <cellStyle name="計算 4 6" xfId="795" xr:uid="{00000000-0005-0000-0000-000048030000}"/>
    <cellStyle name="計算 4 6 2" xfId="796" xr:uid="{00000000-0005-0000-0000-000049030000}"/>
    <cellStyle name="計算 4 7" xfId="797" xr:uid="{00000000-0005-0000-0000-00004A030000}"/>
    <cellStyle name="計算 5" xfId="798" xr:uid="{00000000-0005-0000-0000-00004B030000}"/>
    <cellStyle name="計算 6" xfId="799" xr:uid="{00000000-0005-0000-0000-00004C030000}"/>
    <cellStyle name="計算 7" xfId="800" xr:uid="{00000000-0005-0000-0000-00004D030000}"/>
    <cellStyle name="計算 8" xfId="801" xr:uid="{00000000-0005-0000-0000-00004E030000}"/>
    <cellStyle name="計算 9" xfId="802" xr:uid="{00000000-0005-0000-0000-00004F030000}"/>
    <cellStyle name="警告文 2" xfId="803" xr:uid="{00000000-0005-0000-0000-000050030000}"/>
    <cellStyle name="警告文 3" xfId="804" xr:uid="{00000000-0005-0000-0000-000051030000}"/>
    <cellStyle name="警告文 4" xfId="805" xr:uid="{00000000-0005-0000-0000-000052030000}"/>
    <cellStyle name="警告文 5" xfId="806" xr:uid="{00000000-0005-0000-0000-000053030000}"/>
    <cellStyle name="警告文 6" xfId="807" xr:uid="{00000000-0005-0000-0000-000054030000}"/>
    <cellStyle name="警告文 7" xfId="808" xr:uid="{00000000-0005-0000-0000-000055030000}"/>
    <cellStyle name="警告文 8" xfId="809" xr:uid="{00000000-0005-0000-0000-000056030000}"/>
    <cellStyle name="警告文 9" xfId="810" xr:uid="{00000000-0005-0000-0000-000057030000}"/>
    <cellStyle name="桁蟻唇Ｆ [0.00]_laroux" xfId="811" xr:uid="{00000000-0005-0000-0000-000058030000}"/>
    <cellStyle name="桁蟻唇Ｆ_A°DAU±ATIsA" xfId="812" xr:uid="{00000000-0005-0000-0000-000059030000}"/>
    <cellStyle name="桁区切り 2" xfId="813" xr:uid="{00000000-0005-0000-0000-00005A030000}"/>
    <cellStyle name="桁区切り 2 2" xfId="814" xr:uid="{00000000-0005-0000-0000-00005B030000}"/>
    <cellStyle name="桁区切り 2 2 2" xfId="815" xr:uid="{00000000-0005-0000-0000-00005C030000}"/>
    <cellStyle name="桁区切り 2 3" xfId="816" xr:uid="{00000000-0005-0000-0000-00005D030000}"/>
    <cellStyle name="桁区切り 2 4" xfId="817" xr:uid="{00000000-0005-0000-0000-00005E030000}"/>
    <cellStyle name="桁区切り 2 4 2" xfId="818" xr:uid="{00000000-0005-0000-0000-00005F030000}"/>
    <cellStyle name="桁区切り 2 4 3" xfId="819" xr:uid="{00000000-0005-0000-0000-000060030000}"/>
    <cellStyle name="桁区切り 2 5" xfId="820" xr:uid="{00000000-0005-0000-0000-000061030000}"/>
    <cellStyle name="桁区切り 2 5 2" xfId="821" xr:uid="{00000000-0005-0000-0000-000062030000}"/>
    <cellStyle name="桁区切り 2 5 3" xfId="822" xr:uid="{00000000-0005-0000-0000-000063030000}"/>
    <cellStyle name="桁区切り 2 6" xfId="823" xr:uid="{00000000-0005-0000-0000-000064030000}"/>
    <cellStyle name="桁区切り 2_バックアップセンタ_切替テストスケジュール_20120406~10" xfId="824" xr:uid="{00000000-0005-0000-0000-000065030000}"/>
    <cellStyle name="桁区切り 3" xfId="825" xr:uid="{00000000-0005-0000-0000-000066030000}"/>
    <cellStyle name="桁区切り 3 2" xfId="826" xr:uid="{00000000-0005-0000-0000-000067030000}"/>
    <cellStyle name="桁区切り 3 2 2" xfId="827" xr:uid="{00000000-0005-0000-0000-000068030000}"/>
    <cellStyle name="桁区切り 3 2 3" xfId="828" xr:uid="{00000000-0005-0000-0000-000069030000}"/>
    <cellStyle name="桁区切り 3 3" xfId="829" xr:uid="{00000000-0005-0000-0000-00006A030000}"/>
    <cellStyle name="桁区切り 4" xfId="830" xr:uid="{00000000-0005-0000-0000-00006B030000}"/>
    <cellStyle name="桁区切り 4 2" xfId="831" xr:uid="{00000000-0005-0000-0000-00006C030000}"/>
    <cellStyle name="桁区切り 4 2 2" xfId="832" xr:uid="{00000000-0005-0000-0000-00006D030000}"/>
    <cellStyle name="桁区切り 4 2 3" xfId="833" xr:uid="{00000000-0005-0000-0000-00006E030000}"/>
    <cellStyle name="桁区切り 4 3" xfId="834" xr:uid="{00000000-0005-0000-0000-00006F030000}"/>
    <cellStyle name="桁区切り 4 4" xfId="835" xr:uid="{00000000-0005-0000-0000-000070030000}"/>
    <cellStyle name="桁区切り 5" xfId="836" xr:uid="{00000000-0005-0000-0000-000071030000}"/>
    <cellStyle name="桁区切り 5 2" xfId="837" xr:uid="{00000000-0005-0000-0000-000072030000}"/>
    <cellStyle name="桁区切り 5 3" xfId="838" xr:uid="{00000000-0005-0000-0000-000073030000}"/>
    <cellStyle name="桁区切り 6" xfId="839" xr:uid="{00000000-0005-0000-0000-000074030000}"/>
    <cellStyle name="見出し 1 2" xfId="840" xr:uid="{00000000-0005-0000-0000-000075030000}"/>
    <cellStyle name="見出し 1 3" xfId="841" xr:uid="{00000000-0005-0000-0000-000076030000}"/>
    <cellStyle name="見出し 1 4" xfId="842" xr:uid="{00000000-0005-0000-0000-000077030000}"/>
    <cellStyle name="見出し 1 5" xfId="843" xr:uid="{00000000-0005-0000-0000-000078030000}"/>
    <cellStyle name="見出し 1 6" xfId="844" xr:uid="{00000000-0005-0000-0000-000079030000}"/>
    <cellStyle name="見出し 1 7" xfId="845" xr:uid="{00000000-0005-0000-0000-00007A030000}"/>
    <cellStyle name="見出し 1 8" xfId="846" xr:uid="{00000000-0005-0000-0000-00007B030000}"/>
    <cellStyle name="見出し 1 9" xfId="847" xr:uid="{00000000-0005-0000-0000-00007C030000}"/>
    <cellStyle name="見出し 2 2" xfId="848" xr:uid="{00000000-0005-0000-0000-00007D030000}"/>
    <cellStyle name="見出し 2 3" xfId="849" xr:uid="{00000000-0005-0000-0000-00007E030000}"/>
    <cellStyle name="見出し 2 4" xfId="850" xr:uid="{00000000-0005-0000-0000-00007F030000}"/>
    <cellStyle name="見出し 2 5" xfId="851" xr:uid="{00000000-0005-0000-0000-000080030000}"/>
    <cellStyle name="見出し 2 6" xfId="852" xr:uid="{00000000-0005-0000-0000-000081030000}"/>
    <cellStyle name="見出し 2 7" xfId="853" xr:uid="{00000000-0005-0000-0000-000082030000}"/>
    <cellStyle name="見出し 2 8" xfId="854" xr:uid="{00000000-0005-0000-0000-000083030000}"/>
    <cellStyle name="見出し 2 9" xfId="855" xr:uid="{00000000-0005-0000-0000-000084030000}"/>
    <cellStyle name="見出し 3 2" xfId="856" xr:uid="{00000000-0005-0000-0000-000085030000}"/>
    <cellStyle name="見出し 3 3" xfId="857" xr:uid="{00000000-0005-0000-0000-000086030000}"/>
    <cellStyle name="見出し 3 4" xfId="858" xr:uid="{00000000-0005-0000-0000-000087030000}"/>
    <cellStyle name="見出し 3 5" xfId="859" xr:uid="{00000000-0005-0000-0000-000088030000}"/>
    <cellStyle name="見出し 3 6" xfId="860" xr:uid="{00000000-0005-0000-0000-000089030000}"/>
    <cellStyle name="見出し 3 7" xfId="861" xr:uid="{00000000-0005-0000-0000-00008A030000}"/>
    <cellStyle name="見出し 3 8" xfId="862" xr:uid="{00000000-0005-0000-0000-00008B030000}"/>
    <cellStyle name="見出し 3 9" xfId="863" xr:uid="{00000000-0005-0000-0000-00008C030000}"/>
    <cellStyle name="見出し 4 2" xfId="864" xr:uid="{00000000-0005-0000-0000-00008D030000}"/>
    <cellStyle name="見出し 4 3" xfId="865" xr:uid="{00000000-0005-0000-0000-00008E030000}"/>
    <cellStyle name="見出し 4 4" xfId="866" xr:uid="{00000000-0005-0000-0000-00008F030000}"/>
    <cellStyle name="見出し 4 5" xfId="867" xr:uid="{00000000-0005-0000-0000-000090030000}"/>
    <cellStyle name="見出し 4 6" xfId="868" xr:uid="{00000000-0005-0000-0000-000091030000}"/>
    <cellStyle name="見出し 4 7" xfId="869" xr:uid="{00000000-0005-0000-0000-000092030000}"/>
    <cellStyle name="見出し 4 8" xfId="870" xr:uid="{00000000-0005-0000-0000-000093030000}"/>
    <cellStyle name="見出し 4 9" xfId="871" xr:uid="{00000000-0005-0000-0000-000094030000}"/>
    <cellStyle name="構成図作成用" xfId="872" xr:uid="{00000000-0005-0000-0000-000095030000}"/>
    <cellStyle name="取り消し" xfId="873" xr:uid="{00000000-0005-0000-0000-000096030000}"/>
    <cellStyle name="集計 2" xfId="874" xr:uid="{00000000-0005-0000-0000-000097030000}"/>
    <cellStyle name="集計 2 2" xfId="875" xr:uid="{00000000-0005-0000-0000-000098030000}"/>
    <cellStyle name="集計 2 2 2" xfId="876" xr:uid="{00000000-0005-0000-0000-000099030000}"/>
    <cellStyle name="集計 2 2 2 2" xfId="877" xr:uid="{00000000-0005-0000-0000-00009A030000}"/>
    <cellStyle name="集計 2 2 2 2 2" xfId="878" xr:uid="{00000000-0005-0000-0000-00009B030000}"/>
    <cellStyle name="集計 2 2 2 3" xfId="879" xr:uid="{00000000-0005-0000-0000-00009C030000}"/>
    <cellStyle name="集計 2 2 2 3 2" xfId="880" xr:uid="{00000000-0005-0000-0000-00009D030000}"/>
    <cellStyle name="集計 2 2 2 4" xfId="881" xr:uid="{00000000-0005-0000-0000-00009E030000}"/>
    <cellStyle name="集計 2 2 2 4 2" xfId="882" xr:uid="{00000000-0005-0000-0000-00009F030000}"/>
    <cellStyle name="集計 2 2 2 5" xfId="883" xr:uid="{00000000-0005-0000-0000-0000A0030000}"/>
    <cellStyle name="集計 2 2 2 5 2" xfId="884" xr:uid="{00000000-0005-0000-0000-0000A1030000}"/>
    <cellStyle name="集計 2 2 2 6" xfId="885" xr:uid="{00000000-0005-0000-0000-0000A2030000}"/>
    <cellStyle name="集計 2 2 2 6 2" xfId="886" xr:uid="{00000000-0005-0000-0000-0000A3030000}"/>
    <cellStyle name="集計 2 2 2 7" xfId="887" xr:uid="{00000000-0005-0000-0000-0000A4030000}"/>
    <cellStyle name="集計 2 2 3" xfId="888" xr:uid="{00000000-0005-0000-0000-0000A5030000}"/>
    <cellStyle name="集計 2 2 3 2" xfId="889" xr:uid="{00000000-0005-0000-0000-0000A6030000}"/>
    <cellStyle name="集計 2 3" xfId="890" xr:uid="{00000000-0005-0000-0000-0000A7030000}"/>
    <cellStyle name="集計 2 3 2" xfId="891" xr:uid="{00000000-0005-0000-0000-0000A8030000}"/>
    <cellStyle name="集計 2 3 2 2" xfId="892" xr:uid="{00000000-0005-0000-0000-0000A9030000}"/>
    <cellStyle name="集計 2 3 3" xfId="893" xr:uid="{00000000-0005-0000-0000-0000AA030000}"/>
    <cellStyle name="集計 2 3 3 2" xfId="894" xr:uid="{00000000-0005-0000-0000-0000AB030000}"/>
    <cellStyle name="集計 2 3 4" xfId="895" xr:uid="{00000000-0005-0000-0000-0000AC030000}"/>
    <cellStyle name="集計 2 3 4 2" xfId="896" xr:uid="{00000000-0005-0000-0000-0000AD030000}"/>
    <cellStyle name="集計 2 3 5" xfId="897" xr:uid="{00000000-0005-0000-0000-0000AE030000}"/>
    <cellStyle name="集計 2 3 5 2" xfId="898" xr:uid="{00000000-0005-0000-0000-0000AF030000}"/>
    <cellStyle name="集計 2 3 6" xfId="899" xr:uid="{00000000-0005-0000-0000-0000B0030000}"/>
    <cellStyle name="集計 2 3 6 2" xfId="900" xr:uid="{00000000-0005-0000-0000-0000B1030000}"/>
    <cellStyle name="集計 2 3 7" xfId="901" xr:uid="{00000000-0005-0000-0000-0000B2030000}"/>
    <cellStyle name="集計 2 4" xfId="902" xr:uid="{00000000-0005-0000-0000-0000B3030000}"/>
    <cellStyle name="集計 2 4 2" xfId="903" xr:uid="{00000000-0005-0000-0000-0000B4030000}"/>
    <cellStyle name="集計 3" xfId="904" xr:uid="{00000000-0005-0000-0000-0000B5030000}"/>
    <cellStyle name="集計 3 2" xfId="905" xr:uid="{00000000-0005-0000-0000-0000B6030000}"/>
    <cellStyle name="集計 3 2 2" xfId="906" xr:uid="{00000000-0005-0000-0000-0000B7030000}"/>
    <cellStyle name="集計 3 2 2 2" xfId="907" xr:uid="{00000000-0005-0000-0000-0000B8030000}"/>
    <cellStyle name="集計 3 2 3" xfId="908" xr:uid="{00000000-0005-0000-0000-0000B9030000}"/>
    <cellStyle name="集計 3 2 3 2" xfId="909" xr:uid="{00000000-0005-0000-0000-0000BA030000}"/>
    <cellStyle name="集計 3 2 4" xfId="910" xr:uid="{00000000-0005-0000-0000-0000BB030000}"/>
    <cellStyle name="集計 3 2 4 2" xfId="911" xr:uid="{00000000-0005-0000-0000-0000BC030000}"/>
    <cellStyle name="集計 3 2 5" xfId="912" xr:uid="{00000000-0005-0000-0000-0000BD030000}"/>
    <cellStyle name="集計 3 2 5 2" xfId="913" xr:uid="{00000000-0005-0000-0000-0000BE030000}"/>
    <cellStyle name="集計 3 2 6" xfId="914" xr:uid="{00000000-0005-0000-0000-0000BF030000}"/>
    <cellStyle name="集計 3 2 6 2" xfId="915" xr:uid="{00000000-0005-0000-0000-0000C0030000}"/>
    <cellStyle name="集計 3 2 7" xfId="916" xr:uid="{00000000-0005-0000-0000-0000C1030000}"/>
    <cellStyle name="集計 3 3" xfId="917" xr:uid="{00000000-0005-0000-0000-0000C2030000}"/>
    <cellStyle name="集計 3 3 2" xfId="918" xr:uid="{00000000-0005-0000-0000-0000C3030000}"/>
    <cellStyle name="集計 3 4" xfId="919" xr:uid="{00000000-0005-0000-0000-0000C4030000}"/>
    <cellStyle name="集計 4" xfId="920" xr:uid="{00000000-0005-0000-0000-0000C5030000}"/>
    <cellStyle name="集計 4 2" xfId="921" xr:uid="{00000000-0005-0000-0000-0000C6030000}"/>
    <cellStyle name="集計 4 2 2" xfId="922" xr:uid="{00000000-0005-0000-0000-0000C7030000}"/>
    <cellStyle name="集計 4 3" xfId="923" xr:uid="{00000000-0005-0000-0000-0000C8030000}"/>
    <cellStyle name="集計 4 3 2" xfId="924" xr:uid="{00000000-0005-0000-0000-0000C9030000}"/>
    <cellStyle name="集計 4 4" xfId="925" xr:uid="{00000000-0005-0000-0000-0000CA030000}"/>
    <cellStyle name="集計 4 4 2" xfId="926" xr:uid="{00000000-0005-0000-0000-0000CB030000}"/>
    <cellStyle name="集計 4 5" xfId="927" xr:uid="{00000000-0005-0000-0000-0000CC030000}"/>
    <cellStyle name="集計 4 5 2" xfId="928" xr:uid="{00000000-0005-0000-0000-0000CD030000}"/>
    <cellStyle name="集計 4 6" xfId="929" xr:uid="{00000000-0005-0000-0000-0000CE030000}"/>
    <cellStyle name="集計 4 6 2" xfId="930" xr:uid="{00000000-0005-0000-0000-0000CF030000}"/>
    <cellStyle name="集計 4 7" xfId="931" xr:uid="{00000000-0005-0000-0000-0000D0030000}"/>
    <cellStyle name="集計 5" xfId="932" xr:uid="{00000000-0005-0000-0000-0000D1030000}"/>
    <cellStyle name="集計 6" xfId="933" xr:uid="{00000000-0005-0000-0000-0000D2030000}"/>
    <cellStyle name="集計 7" xfId="934" xr:uid="{00000000-0005-0000-0000-0000D3030000}"/>
    <cellStyle name="集計 8" xfId="935" xr:uid="{00000000-0005-0000-0000-0000D4030000}"/>
    <cellStyle name="集計 9" xfId="936" xr:uid="{00000000-0005-0000-0000-0000D5030000}"/>
    <cellStyle name="出力 2" xfId="937" xr:uid="{00000000-0005-0000-0000-0000D6030000}"/>
    <cellStyle name="出力 2 2" xfId="938" xr:uid="{00000000-0005-0000-0000-0000D7030000}"/>
    <cellStyle name="出力 2 2 2" xfId="939" xr:uid="{00000000-0005-0000-0000-0000D8030000}"/>
    <cellStyle name="出力 2 2 2 2" xfId="940" xr:uid="{00000000-0005-0000-0000-0000D9030000}"/>
    <cellStyle name="出力 2 2 2 2 2" xfId="941" xr:uid="{00000000-0005-0000-0000-0000DA030000}"/>
    <cellStyle name="出力 2 2 2 3" xfId="942" xr:uid="{00000000-0005-0000-0000-0000DB030000}"/>
    <cellStyle name="出力 2 2 2 3 2" xfId="943" xr:uid="{00000000-0005-0000-0000-0000DC030000}"/>
    <cellStyle name="出力 2 2 2 4" xfId="944" xr:uid="{00000000-0005-0000-0000-0000DD030000}"/>
    <cellStyle name="出力 2 2 2 4 2" xfId="945" xr:uid="{00000000-0005-0000-0000-0000DE030000}"/>
    <cellStyle name="出力 2 2 2 5" xfId="946" xr:uid="{00000000-0005-0000-0000-0000DF030000}"/>
    <cellStyle name="出力 2 2 2 5 2" xfId="947" xr:uid="{00000000-0005-0000-0000-0000E0030000}"/>
    <cellStyle name="出力 2 2 2 6" xfId="948" xr:uid="{00000000-0005-0000-0000-0000E1030000}"/>
    <cellStyle name="出力 2 2 2 6 2" xfId="949" xr:uid="{00000000-0005-0000-0000-0000E2030000}"/>
    <cellStyle name="出力 2 2 2 7" xfId="950" xr:uid="{00000000-0005-0000-0000-0000E3030000}"/>
    <cellStyle name="出力 2 2 3" xfId="951" xr:uid="{00000000-0005-0000-0000-0000E4030000}"/>
    <cellStyle name="出力 2 2 3 2" xfId="952" xr:uid="{00000000-0005-0000-0000-0000E5030000}"/>
    <cellStyle name="出力 2 3" xfId="953" xr:uid="{00000000-0005-0000-0000-0000E6030000}"/>
    <cellStyle name="出力 2 3 2" xfId="954" xr:uid="{00000000-0005-0000-0000-0000E7030000}"/>
    <cellStyle name="出力 2 3 2 2" xfId="955" xr:uid="{00000000-0005-0000-0000-0000E8030000}"/>
    <cellStyle name="出力 2 3 3" xfId="956" xr:uid="{00000000-0005-0000-0000-0000E9030000}"/>
    <cellStyle name="出力 2 3 3 2" xfId="957" xr:uid="{00000000-0005-0000-0000-0000EA030000}"/>
    <cellStyle name="出力 2 3 4" xfId="958" xr:uid="{00000000-0005-0000-0000-0000EB030000}"/>
    <cellStyle name="出力 2 3 4 2" xfId="959" xr:uid="{00000000-0005-0000-0000-0000EC030000}"/>
    <cellStyle name="出力 2 3 5" xfId="960" xr:uid="{00000000-0005-0000-0000-0000ED030000}"/>
    <cellStyle name="出力 2 3 5 2" xfId="961" xr:uid="{00000000-0005-0000-0000-0000EE030000}"/>
    <cellStyle name="出力 2 3 6" xfId="962" xr:uid="{00000000-0005-0000-0000-0000EF030000}"/>
    <cellStyle name="出力 2 3 6 2" xfId="963" xr:uid="{00000000-0005-0000-0000-0000F0030000}"/>
    <cellStyle name="出力 2 3 7" xfId="964" xr:uid="{00000000-0005-0000-0000-0000F1030000}"/>
    <cellStyle name="出力 2 4" xfId="965" xr:uid="{00000000-0005-0000-0000-0000F2030000}"/>
    <cellStyle name="出力 2 4 2" xfId="966" xr:uid="{00000000-0005-0000-0000-0000F3030000}"/>
    <cellStyle name="出力 3" xfId="967" xr:uid="{00000000-0005-0000-0000-0000F4030000}"/>
    <cellStyle name="出力 3 2" xfId="968" xr:uid="{00000000-0005-0000-0000-0000F5030000}"/>
    <cellStyle name="出力 3 2 2" xfId="969" xr:uid="{00000000-0005-0000-0000-0000F6030000}"/>
    <cellStyle name="出力 3 2 2 2" xfId="970" xr:uid="{00000000-0005-0000-0000-0000F7030000}"/>
    <cellStyle name="出力 3 2 3" xfId="971" xr:uid="{00000000-0005-0000-0000-0000F8030000}"/>
    <cellStyle name="出力 3 2 3 2" xfId="972" xr:uid="{00000000-0005-0000-0000-0000F9030000}"/>
    <cellStyle name="出力 3 2 4" xfId="973" xr:uid="{00000000-0005-0000-0000-0000FA030000}"/>
    <cellStyle name="出力 3 2 4 2" xfId="974" xr:uid="{00000000-0005-0000-0000-0000FB030000}"/>
    <cellStyle name="出力 3 2 5" xfId="975" xr:uid="{00000000-0005-0000-0000-0000FC030000}"/>
    <cellStyle name="出力 3 2 5 2" xfId="976" xr:uid="{00000000-0005-0000-0000-0000FD030000}"/>
    <cellStyle name="出力 3 2 6" xfId="977" xr:uid="{00000000-0005-0000-0000-0000FE030000}"/>
    <cellStyle name="出力 3 2 6 2" xfId="978" xr:uid="{00000000-0005-0000-0000-0000FF030000}"/>
    <cellStyle name="出力 3 2 7" xfId="979" xr:uid="{00000000-0005-0000-0000-000000040000}"/>
    <cellStyle name="出力 3 3" xfId="980" xr:uid="{00000000-0005-0000-0000-000001040000}"/>
    <cellStyle name="出力 3 3 2" xfId="981" xr:uid="{00000000-0005-0000-0000-000002040000}"/>
    <cellStyle name="出力 3 4" xfId="982" xr:uid="{00000000-0005-0000-0000-000003040000}"/>
    <cellStyle name="出力 4" xfId="983" xr:uid="{00000000-0005-0000-0000-000004040000}"/>
    <cellStyle name="出力 4 2" xfId="984" xr:uid="{00000000-0005-0000-0000-000005040000}"/>
    <cellStyle name="出力 4 2 2" xfId="985" xr:uid="{00000000-0005-0000-0000-000006040000}"/>
    <cellStyle name="出力 4 3" xfId="986" xr:uid="{00000000-0005-0000-0000-000007040000}"/>
    <cellStyle name="出力 4 3 2" xfId="987" xr:uid="{00000000-0005-0000-0000-000008040000}"/>
    <cellStyle name="出力 4 4" xfId="988" xr:uid="{00000000-0005-0000-0000-000009040000}"/>
    <cellStyle name="出力 4 4 2" xfId="989" xr:uid="{00000000-0005-0000-0000-00000A040000}"/>
    <cellStyle name="出力 4 5" xfId="990" xr:uid="{00000000-0005-0000-0000-00000B040000}"/>
    <cellStyle name="出力 4 5 2" xfId="991" xr:uid="{00000000-0005-0000-0000-00000C040000}"/>
    <cellStyle name="出力 4 6" xfId="992" xr:uid="{00000000-0005-0000-0000-00000D040000}"/>
    <cellStyle name="出力 4 6 2" xfId="993" xr:uid="{00000000-0005-0000-0000-00000E040000}"/>
    <cellStyle name="出力 4 7" xfId="994" xr:uid="{00000000-0005-0000-0000-00000F040000}"/>
    <cellStyle name="出力 5" xfId="995" xr:uid="{00000000-0005-0000-0000-000010040000}"/>
    <cellStyle name="出力 6" xfId="996" xr:uid="{00000000-0005-0000-0000-000011040000}"/>
    <cellStyle name="出力 7" xfId="997" xr:uid="{00000000-0005-0000-0000-000012040000}"/>
    <cellStyle name="出力 8" xfId="998" xr:uid="{00000000-0005-0000-0000-000013040000}"/>
    <cellStyle name="出力 9" xfId="999" xr:uid="{00000000-0005-0000-0000-000014040000}"/>
    <cellStyle name="人月" xfId="1000" xr:uid="{00000000-0005-0000-0000-000015040000}"/>
    <cellStyle name="説明文 2" xfId="1001" xr:uid="{00000000-0005-0000-0000-000016040000}"/>
    <cellStyle name="説明文 3" xfId="1002" xr:uid="{00000000-0005-0000-0000-000017040000}"/>
    <cellStyle name="説明文 4" xfId="1003" xr:uid="{00000000-0005-0000-0000-000018040000}"/>
    <cellStyle name="説明文 5" xfId="1004" xr:uid="{00000000-0005-0000-0000-000019040000}"/>
    <cellStyle name="説明文 6" xfId="1005" xr:uid="{00000000-0005-0000-0000-00001A040000}"/>
    <cellStyle name="説明文 7" xfId="1006" xr:uid="{00000000-0005-0000-0000-00001B040000}"/>
    <cellStyle name="説明文 8" xfId="1007" xr:uid="{00000000-0005-0000-0000-00001C040000}"/>
    <cellStyle name="説明文 9" xfId="1008" xr:uid="{00000000-0005-0000-0000-00001D040000}"/>
    <cellStyle name="脱浦 [0.00]_laroux" xfId="1009" xr:uid="{00000000-0005-0000-0000-00001E040000}"/>
    <cellStyle name="脱浦_laroux" xfId="1010" xr:uid="{00000000-0005-0000-0000-00001F040000}"/>
    <cellStyle name="通貨 [0.00" xfId="1011" xr:uid="{00000000-0005-0000-0000-000020040000}"/>
    <cellStyle name="通貨 [0.00 2" xfId="1012" xr:uid="{00000000-0005-0000-0000-000021040000}"/>
    <cellStyle name="通貨 [0.00 3" xfId="1013" xr:uid="{00000000-0005-0000-0000-000022040000}"/>
    <cellStyle name="通貨 [0.00 4" xfId="1014" xr:uid="{00000000-0005-0000-0000-000023040000}"/>
    <cellStyle name="通貨 [0.00 5" xfId="1015" xr:uid="{00000000-0005-0000-0000-000024040000}"/>
    <cellStyle name="通貨 [0.00 6" xfId="1016" xr:uid="{00000000-0005-0000-0000-000025040000}"/>
    <cellStyle name="通貨 2" xfId="1017" xr:uid="{00000000-0005-0000-0000-000026040000}"/>
    <cellStyle name="通貨 2 2" xfId="1018" xr:uid="{00000000-0005-0000-0000-000027040000}"/>
    <cellStyle name="通貨 2 2 2" xfId="1019" xr:uid="{00000000-0005-0000-0000-000028040000}"/>
    <cellStyle name="通貨 2 2 3" xfId="1020" xr:uid="{00000000-0005-0000-0000-000029040000}"/>
    <cellStyle name="通貨 2 3" xfId="1021" xr:uid="{00000000-0005-0000-0000-00002A040000}"/>
    <cellStyle name="通貨 2 4" xfId="1022" xr:uid="{00000000-0005-0000-0000-00002B040000}"/>
    <cellStyle name="通貨 2 5" xfId="1023" xr:uid="{00000000-0005-0000-0000-00002C040000}"/>
    <cellStyle name="通貨 3" xfId="1024" xr:uid="{00000000-0005-0000-0000-00002D040000}"/>
    <cellStyle name="入力 2" xfId="1025" xr:uid="{00000000-0005-0000-0000-00002E040000}"/>
    <cellStyle name="入力 2 2" xfId="1026" xr:uid="{00000000-0005-0000-0000-00002F040000}"/>
    <cellStyle name="入力 2 2 2" xfId="1027" xr:uid="{00000000-0005-0000-0000-000030040000}"/>
    <cellStyle name="入力 2 2 2 2" xfId="1028" xr:uid="{00000000-0005-0000-0000-000031040000}"/>
    <cellStyle name="入力 2 2 2 2 2" xfId="1029" xr:uid="{00000000-0005-0000-0000-000032040000}"/>
    <cellStyle name="入力 2 2 2 3" xfId="1030" xr:uid="{00000000-0005-0000-0000-000033040000}"/>
    <cellStyle name="入力 2 2 2 3 2" xfId="1031" xr:uid="{00000000-0005-0000-0000-000034040000}"/>
    <cellStyle name="入力 2 2 2 4" xfId="1032" xr:uid="{00000000-0005-0000-0000-000035040000}"/>
    <cellStyle name="入力 2 2 2 4 2" xfId="1033" xr:uid="{00000000-0005-0000-0000-000036040000}"/>
    <cellStyle name="入力 2 2 2 5" xfId="1034" xr:uid="{00000000-0005-0000-0000-000037040000}"/>
    <cellStyle name="入力 2 2 2 5 2" xfId="1035" xr:uid="{00000000-0005-0000-0000-000038040000}"/>
    <cellStyle name="入力 2 2 2 6" xfId="1036" xr:uid="{00000000-0005-0000-0000-000039040000}"/>
    <cellStyle name="入力 2 2 2 6 2" xfId="1037" xr:uid="{00000000-0005-0000-0000-00003A040000}"/>
    <cellStyle name="入力 2 2 2 7" xfId="1038" xr:uid="{00000000-0005-0000-0000-00003B040000}"/>
    <cellStyle name="入力 2 2 3" xfId="1039" xr:uid="{00000000-0005-0000-0000-00003C040000}"/>
    <cellStyle name="入力 2 2 3 2" xfId="1040" xr:uid="{00000000-0005-0000-0000-00003D040000}"/>
    <cellStyle name="入力 2 2 4" xfId="1041" xr:uid="{00000000-0005-0000-0000-00003E040000}"/>
    <cellStyle name="入力 2 3" xfId="1042" xr:uid="{00000000-0005-0000-0000-00003F040000}"/>
    <cellStyle name="入力 2 3 2" xfId="1043" xr:uid="{00000000-0005-0000-0000-000040040000}"/>
    <cellStyle name="入力 2 3 2 2" xfId="1044" xr:uid="{00000000-0005-0000-0000-000041040000}"/>
    <cellStyle name="入力 2 3 3" xfId="1045" xr:uid="{00000000-0005-0000-0000-000042040000}"/>
    <cellStyle name="入力 2 3 3 2" xfId="1046" xr:uid="{00000000-0005-0000-0000-000043040000}"/>
    <cellStyle name="入力 2 3 4" xfId="1047" xr:uid="{00000000-0005-0000-0000-000044040000}"/>
    <cellStyle name="入力 2 3 4 2" xfId="1048" xr:uid="{00000000-0005-0000-0000-000045040000}"/>
    <cellStyle name="入力 2 3 5" xfId="1049" xr:uid="{00000000-0005-0000-0000-000046040000}"/>
    <cellStyle name="入力 2 3 5 2" xfId="1050" xr:uid="{00000000-0005-0000-0000-000047040000}"/>
    <cellStyle name="入力 2 3 6" xfId="1051" xr:uid="{00000000-0005-0000-0000-000048040000}"/>
    <cellStyle name="入力 2 3 6 2" xfId="1052" xr:uid="{00000000-0005-0000-0000-000049040000}"/>
    <cellStyle name="入力 2 3 7" xfId="1053" xr:uid="{00000000-0005-0000-0000-00004A040000}"/>
    <cellStyle name="入力 2 4" xfId="1054" xr:uid="{00000000-0005-0000-0000-00004B040000}"/>
    <cellStyle name="入力 2 4 2" xfId="1055" xr:uid="{00000000-0005-0000-0000-00004C040000}"/>
    <cellStyle name="入力 2 5" xfId="1056" xr:uid="{00000000-0005-0000-0000-00004D040000}"/>
    <cellStyle name="入力 3" xfId="1057" xr:uid="{00000000-0005-0000-0000-00004E040000}"/>
    <cellStyle name="入力 3 2" xfId="1058" xr:uid="{00000000-0005-0000-0000-00004F040000}"/>
    <cellStyle name="入力 3 2 2" xfId="1059" xr:uid="{00000000-0005-0000-0000-000050040000}"/>
    <cellStyle name="入力 3 2 2 2" xfId="1060" xr:uid="{00000000-0005-0000-0000-000051040000}"/>
    <cellStyle name="入力 3 2 3" xfId="1061" xr:uid="{00000000-0005-0000-0000-000052040000}"/>
    <cellStyle name="入力 3 2 3 2" xfId="1062" xr:uid="{00000000-0005-0000-0000-000053040000}"/>
    <cellStyle name="入力 3 2 4" xfId="1063" xr:uid="{00000000-0005-0000-0000-000054040000}"/>
    <cellStyle name="入力 3 2 4 2" xfId="1064" xr:uid="{00000000-0005-0000-0000-000055040000}"/>
    <cellStyle name="入力 3 2 5" xfId="1065" xr:uid="{00000000-0005-0000-0000-000056040000}"/>
    <cellStyle name="入力 3 2 5 2" xfId="1066" xr:uid="{00000000-0005-0000-0000-000057040000}"/>
    <cellStyle name="入力 3 2 6" xfId="1067" xr:uid="{00000000-0005-0000-0000-000058040000}"/>
    <cellStyle name="入力 3 2 6 2" xfId="1068" xr:uid="{00000000-0005-0000-0000-000059040000}"/>
    <cellStyle name="入力 3 2 7" xfId="1069" xr:uid="{00000000-0005-0000-0000-00005A040000}"/>
    <cellStyle name="入力 3 3" xfId="1070" xr:uid="{00000000-0005-0000-0000-00005B040000}"/>
    <cellStyle name="入力 3 3 2" xfId="1071" xr:uid="{00000000-0005-0000-0000-00005C040000}"/>
    <cellStyle name="入力 3 4" xfId="1072" xr:uid="{00000000-0005-0000-0000-00005D040000}"/>
    <cellStyle name="入力 4" xfId="1073" xr:uid="{00000000-0005-0000-0000-00005E040000}"/>
    <cellStyle name="入力 4 2" xfId="1074" xr:uid="{00000000-0005-0000-0000-00005F040000}"/>
    <cellStyle name="入力 4 2 2" xfId="1075" xr:uid="{00000000-0005-0000-0000-000060040000}"/>
    <cellStyle name="入力 4 3" xfId="1076" xr:uid="{00000000-0005-0000-0000-000061040000}"/>
    <cellStyle name="入力 4 3 2" xfId="1077" xr:uid="{00000000-0005-0000-0000-000062040000}"/>
    <cellStyle name="入力 4 4" xfId="1078" xr:uid="{00000000-0005-0000-0000-000063040000}"/>
    <cellStyle name="入力 4 4 2" xfId="1079" xr:uid="{00000000-0005-0000-0000-000064040000}"/>
    <cellStyle name="入力 4 5" xfId="1080" xr:uid="{00000000-0005-0000-0000-000065040000}"/>
    <cellStyle name="入力 4 5 2" xfId="1081" xr:uid="{00000000-0005-0000-0000-000066040000}"/>
    <cellStyle name="入力 4 6" xfId="1082" xr:uid="{00000000-0005-0000-0000-000067040000}"/>
    <cellStyle name="入力 4 6 2" xfId="1083" xr:uid="{00000000-0005-0000-0000-000068040000}"/>
    <cellStyle name="入力 4 7" xfId="1084" xr:uid="{00000000-0005-0000-0000-000069040000}"/>
    <cellStyle name="入力 5" xfId="1085" xr:uid="{00000000-0005-0000-0000-00006A040000}"/>
    <cellStyle name="入力 6" xfId="1086" xr:uid="{00000000-0005-0000-0000-00006B040000}"/>
    <cellStyle name="入力 7" xfId="1087" xr:uid="{00000000-0005-0000-0000-00006C040000}"/>
    <cellStyle name="入力 8" xfId="1088" xr:uid="{00000000-0005-0000-0000-00006D040000}"/>
    <cellStyle name="入力 9" xfId="1089" xr:uid="{00000000-0005-0000-0000-00006E040000}"/>
    <cellStyle name="標準" xfId="0" builtinId="0"/>
    <cellStyle name="標準 10" xfId="1090" xr:uid="{00000000-0005-0000-0000-000070040000}"/>
    <cellStyle name="標準 10 2" xfId="1091" xr:uid="{00000000-0005-0000-0000-000071040000}"/>
    <cellStyle name="標準 10 3" xfId="2" xr:uid="{00000000-0005-0000-0000-000072040000}"/>
    <cellStyle name="標準 10 4" xfId="1092" xr:uid="{00000000-0005-0000-0000-000073040000}"/>
    <cellStyle name="標準 10 5" xfId="1093" xr:uid="{00000000-0005-0000-0000-000074040000}"/>
    <cellStyle name="標準 100" xfId="1094" xr:uid="{00000000-0005-0000-0000-000075040000}"/>
    <cellStyle name="標準 100 2" xfId="1095" xr:uid="{00000000-0005-0000-0000-000076040000}"/>
    <cellStyle name="標準 100 2 2" xfId="1096" xr:uid="{00000000-0005-0000-0000-000077040000}"/>
    <cellStyle name="標準 100 2 2 2" xfId="1097" xr:uid="{00000000-0005-0000-0000-000078040000}"/>
    <cellStyle name="標準 100 2 2 3" xfId="1098" xr:uid="{00000000-0005-0000-0000-000079040000}"/>
    <cellStyle name="標準 100 2 2 4" xfId="1099" xr:uid="{00000000-0005-0000-0000-00007A040000}"/>
    <cellStyle name="標準 100 2 3" xfId="1100" xr:uid="{00000000-0005-0000-0000-00007B040000}"/>
    <cellStyle name="標準 100 2 4" xfId="1101" xr:uid="{00000000-0005-0000-0000-00007C040000}"/>
    <cellStyle name="標準 100 2 5" xfId="1102" xr:uid="{00000000-0005-0000-0000-00007D040000}"/>
    <cellStyle name="標準 100 3" xfId="1103" xr:uid="{00000000-0005-0000-0000-00007E040000}"/>
    <cellStyle name="標準 100 3 2" xfId="1104" xr:uid="{00000000-0005-0000-0000-00007F040000}"/>
    <cellStyle name="標準 100 3 3" xfId="1105" xr:uid="{00000000-0005-0000-0000-000080040000}"/>
    <cellStyle name="標準 100 3 4" xfId="1106" xr:uid="{00000000-0005-0000-0000-000081040000}"/>
    <cellStyle name="標準 100 4" xfId="1107" xr:uid="{00000000-0005-0000-0000-000082040000}"/>
    <cellStyle name="標準 100 5" xfId="1108" xr:uid="{00000000-0005-0000-0000-000083040000}"/>
    <cellStyle name="標準 100 6" xfId="1109" xr:uid="{00000000-0005-0000-0000-000084040000}"/>
    <cellStyle name="標準 101" xfId="1110" xr:uid="{00000000-0005-0000-0000-000085040000}"/>
    <cellStyle name="標準 102" xfId="1111" xr:uid="{00000000-0005-0000-0000-000086040000}"/>
    <cellStyle name="標準 102 2" xfId="1112" xr:uid="{00000000-0005-0000-0000-000087040000}"/>
    <cellStyle name="標準 102 2 2" xfId="1113" xr:uid="{00000000-0005-0000-0000-000088040000}"/>
    <cellStyle name="標準 102 2 3" xfId="1114" xr:uid="{00000000-0005-0000-0000-000089040000}"/>
    <cellStyle name="標準 102 2 4" xfId="1115" xr:uid="{00000000-0005-0000-0000-00008A040000}"/>
    <cellStyle name="標準 102 3" xfId="1116" xr:uid="{00000000-0005-0000-0000-00008B040000}"/>
    <cellStyle name="標準 102 4" xfId="1117" xr:uid="{00000000-0005-0000-0000-00008C040000}"/>
    <cellStyle name="標準 102 5" xfId="1118" xr:uid="{00000000-0005-0000-0000-00008D040000}"/>
    <cellStyle name="標準 103" xfId="1119" xr:uid="{00000000-0005-0000-0000-00008E040000}"/>
    <cellStyle name="標準 104" xfId="1120" xr:uid="{00000000-0005-0000-0000-00008F040000}"/>
    <cellStyle name="標準 104 2" xfId="1121" xr:uid="{00000000-0005-0000-0000-000090040000}"/>
    <cellStyle name="標準 104 3" xfId="1122" xr:uid="{00000000-0005-0000-0000-000091040000}"/>
    <cellStyle name="標準 104 4" xfId="1123" xr:uid="{00000000-0005-0000-0000-000092040000}"/>
    <cellStyle name="標準 105" xfId="1124" xr:uid="{00000000-0005-0000-0000-000093040000}"/>
    <cellStyle name="標準 106" xfId="1125" xr:uid="{00000000-0005-0000-0000-000094040000}"/>
    <cellStyle name="標準 107" xfId="1126" xr:uid="{00000000-0005-0000-0000-000095040000}"/>
    <cellStyle name="標準 108" xfId="1127" xr:uid="{00000000-0005-0000-0000-000096040000}"/>
    <cellStyle name="標準 109" xfId="1128" xr:uid="{00000000-0005-0000-0000-000097040000}"/>
    <cellStyle name="標準 11" xfId="1129" xr:uid="{00000000-0005-0000-0000-000098040000}"/>
    <cellStyle name="標準 11 2" xfId="1130" xr:uid="{00000000-0005-0000-0000-000099040000}"/>
    <cellStyle name="標準 11 3" xfId="1131" xr:uid="{00000000-0005-0000-0000-00009A040000}"/>
    <cellStyle name="標準 110" xfId="1132" xr:uid="{00000000-0005-0000-0000-00009B040000}"/>
    <cellStyle name="標準 111" xfId="1133" xr:uid="{00000000-0005-0000-0000-00009C040000}"/>
    <cellStyle name="標準 112" xfId="1134" xr:uid="{00000000-0005-0000-0000-00009D040000}"/>
    <cellStyle name="標準 113" xfId="1135" xr:uid="{00000000-0005-0000-0000-00009E040000}"/>
    <cellStyle name="標準 114" xfId="1136" xr:uid="{00000000-0005-0000-0000-00009F040000}"/>
    <cellStyle name="標準 115" xfId="1137" xr:uid="{00000000-0005-0000-0000-0000A0040000}"/>
    <cellStyle name="標準 116" xfId="1138" xr:uid="{00000000-0005-0000-0000-0000A1040000}"/>
    <cellStyle name="標準 117" xfId="1139" xr:uid="{00000000-0005-0000-0000-0000A2040000}"/>
    <cellStyle name="標準 118" xfId="1140" xr:uid="{00000000-0005-0000-0000-0000A3040000}"/>
    <cellStyle name="標準 119" xfId="1141" xr:uid="{00000000-0005-0000-0000-0000A4040000}"/>
    <cellStyle name="標準 12" xfId="1142" xr:uid="{00000000-0005-0000-0000-0000A5040000}"/>
    <cellStyle name="標準 12 2" xfId="1143" xr:uid="{00000000-0005-0000-0000-0000A6040000}"/>
    <cellStyle name="標準 12 2 2" xfId="1144" xr:uid="{00000000-0005-0000-0000-0000A7040000}"/>
    <cellStyle name="標準 12 2 3" xfId="1145" xr:uid="{00000000-0005-0000-0000-0000A8040000}"/>
    <cellStyle name="標準 12 3" xfId="1146" xr:uid="{00000000-0005-0000-0000-0000A9040000}"/>
    <cellStyle name="標準 12 3 2" xfId="1147" xr:uid="{00000000-0005-0000-0000-0000AA040000}"/>
    <cellStyle name="標準 12 3 3" xfId="1148" xr:uid="{00000000-0005-0000-0000-0000AB040000}"/>
    <cellStyle name="標準 120" xfId="1149" xr:uid="{00000000-0005-0000-0000-0000AC040000}"/>
    <cellStyle name="標準 121" xfId="1150" xr:uid="{00000000-0005-0000-0000-0000AD040000}"/>
    <cellStyle name="標準 122" xfId="1151" xr:uid="{00000000-0005-0000-0000-0000AE040000}"/>
    <cellStyle name="標準 123" xfId="1152" xr:uid="{00000000-0005-0000-0000-0000AF040000}"/>
    <cellStyle name="標準 124" xfId="1153" xr:uid="{00000000-0005-0000-0000-0000B0040000}"/>
    <cellStyle name="標準 125" xfId="1154" xr:uid="{00000000-0005-0000-0000-0000B1040000}"/>
    <cellStyle name="標準 126" xfId="1155" xr:uid="{00000000-0005-0000-0000-0000B2040000}"/>
    <cellStyle name="標準 127" xfId="1156" xr:uid="{00000000-0005-0000-0000-0000B3040000}"/>
    <cellStyle name="標準 128" xfId="1157" xr:uid="{00000000-0005-0000-0000-0000B4040000}"/>
    <cellStyle name="標準 129" xfId="1158" xr:uid="{00000000-0005-0000-0000-0000B5040000}"/>
    <cellStyle name="標準 13" xfId="1159" xr:uid="{00000000-0005-0000-0000-0000B6040000}"/>
    <cellStyle name="標準 13 2" xfId="1160" xr:uid="{00000000-0005-0000-0000-0000B7040000}"/>
    <cellStyle name="標準 13 3" xfId="1161" xr:uid="{00000000-0005-0000-0000-0000B8040000}"/>
    <cellStyle name="標準 13 4" xfId="1162" xr:uid="{00000000-0005-0000-0000-0000B9040000}"/>
    <cellStyle name="標準 13 5" xfId="1163" xr:uid="{00000000-0005-0000-0000-0000BA040000}"/>
    <cellStyle name="標準 130" xfId="1164" xr:uid="{00000000-0005-0000-0000-0000BB040000}"/>
    <cellStyle name="標準 131" xfId="1165" xr:uid="{00000000-0005-0000-0000-0000BC040000}"/>
    <cellStyle name="標準 132" xfId="1" xr:uid="{00000000-0005-0000-0000-0000BD040000}"/>
    <cellStyle name="標準 136" xfId="1166" xr:uid="{00000000-0005-0000-0000-0000BE040000}"/>
    <cellStyle name="標準 14" xfId="1167" xr:uid="{00000000-0005-0000-0000-0000BF040000}"/>
    <cellStyle name="標準 14 2" xfId="1168" xr:uid="{00000000-0005-0000-0000-0000C0040000}"/>
    <cellStyle name="標準 14 2 2" xfId="1169" xr:uid="{00000000-0005-0000-0000-0000C1040000}"/>
    <cellStyle name="標準 14 2 3" xfId="1170" xr:uid="{00000000-0005-0000-0000-0000C2040000}"/>
    <cellStyle name="標準 14 3" xfId="1171" xr:uid="{00000000-0005-0000-0000-0000C3040000}"/>
    <cellStyle name="標準 14 4" xfId="1172" xr:uid="{00000000-0005-0000-0000-0000C4040000}"/>
    <cellStyle name="標準 15" xfId="1173" xr:uid="{00000000-0005-0000-0000-0000C5040000}"/>
    <cellStyle name="標準 15 2" xfId="1174" xr:uid="{00000000-0005-0000-0000-0000C6040000}"/>
    <cellStyle name="標準 15 2 2" xfId="1175" xr:uid="{00000000-0005-0000-0000-0000C7040000}"/>
    <cellStyle name="標準 15 2 3" xfId="1176" xr:uid="{00000000-0005-0000-0000-0000C8040000}"/>
    <cellStyle name="標準 15 3" xfId="1177" xr:uid="{00000000-0005-0000-0000-0000C9040000}"/>
    <cellStyle name="標準 15 4" xfId="1178" xr:uid="{00000000-0005-0000-0000-0000CA040000}"/>
    <cellStyle name="標準 15 5" xfId="1179" xr:uid="{00000000-0005-0000-0000-0000CB040000}"/>
    <cellStyle name="標準 15 6" xfId="1180" xr:uid="{00000000-0005-0000-0000-0000CC040000}"/>
    <cellStyle name="標準 16" xfId="1181" xr:uid="{00000000-0005-0000-0000-0000CD040000}"/>
    <cellStyle name="標準 16 2" xfId="1182" xr:uid="{00000000-0005-0000-0000-0000CE040000}"/>
    <cellStyle name="標準 16 2 2" xfId="1183" xr:uid="{00000000-0005-0000-0000-0000CF040000}"/>
    <cellStyle name="標準 16 2 3" xfId="1184" xr:uid="{00000000-0005-0000-0000-0000D0040000}"/>
    <cellStyle name="標準 16 3" xfId="1185" xr:uid="{00000000-0005-0000-0000-0000D1040000}"/>
    <cellStyle name="標準 16 4" xfId="1186" xr:uid="{00000000-0005-0000-0000-0000D2040000}"/>
    <cellStyle name="標準 16 5" xfId="1187" xr:uid="{00000000-0005-0000-0000-0000D3040000}"/>
    <cellStyle name="標準 17" xfId="1188" xr:uid="{00000000-0005-0000-0000-0000D4040000}"/>
    <cellStyle name="標準 17 2" xfId="1189" xr:uid="{00000000-0005-0000-0000-0000D5040000}"/>
    <cellStyle name="標準 17 2 2" xfId="1190" xr:uid="{00000000-0005-0000-0000-0000D6040000}"/>
    <cellStyle name="標準 17 2 3" xfId="1191" xr:uid="{00000000-0005-0000-0000-0000D7040000}"/>
    <cellStyle name="標準 17 3" xfId="1192" xr:uid="{00000000-0005-0000-0000-0000D8040000}"/>
    <cellStyle name="標準 17 4" xfId="1193" xr:uid="{00000000-0005-0000-0000-0000D9040000}"/>
    <cellStyle name="標準 17 5" xfId="1194" xr:uid="{00000000-0005-0000-0000-0000DA040000}"/>
    <cellStyle name="標準 18" xfId="1195" xr:uid="{00000000-0005-0000-0000-0000DB040000}"/>
    <cellStyle name="標準 18 2" xfId="1196" xr:uid="{00000000-0005-0000-0000-0000DC040000}"/>
    <cellStyle name="標準 18 2 2" xfId="1197" xr:uid="{00000000-0005-0000-0000-0000DD040000}"/>
    <cellStyle name="標準 18 2 3" xfId="1198" xr:uid="{00000000-0005-0000-0000-0000DE040000}"/>
    <cellStyle name="標準 18 2 4" xfId="1199" xr:uid="{00000000-0005-0000-0000-0000DF040000}"/>
    <cellStyle name="標準 18 3" xfId="1200" xr:uid="{00000000-0005-0000-0000-0000E0040000}"/>
    <cellStyle name="標準 18 4" xfId="1201" xr:uid="{00000000-0005-0000-0000-0000E1040000}"/>
    <cellStyle name="標準 18 5" xfId="1202" xr:uid="{00000000-0005-0000-0000-0000E2040000}"/>
    <cellStyle name="標準 18 6" xfId="1203" xr:uid="{00000000-0005-0000-0000-0000E3040000}"/>
    <cellStyle name="標準 19" xfId="1204" xr:uid="{00000000-0005-0000-0000-0000E4040000}"/>
    <cellStyle name="標準 19 2" xfId="1205" xr:uid="{00000000-0005-0000-0000-0000E5040000}"/>
    <cellStyle name="標準 19 3" xfId="1206" xr:uid="{00000000-0005-0000-0000-0000E6040000}"/>
    <cellStyle name="標準 2" xfId="1207" xr:uid="{00000000-0005-0000-0000-0000E7040000}"/>
    <cellStyle name="標準 2 10" xfId="1208" xr:uid="{00000000-0005-0000-0000-0000E8040000}"/>
    <cellStyle name="標準 2 11" xfId="1209" xr:uid="{00000000-0005-0000-0000-0000E9040000}"/>
    <cellStyle name="標準 2 12" xfId="1210" xr:uid="{00000000-0005-0000-0000-0000EA040000}"/>
    <cellStyle name="標準 2 13" xfId="1211" xr:uid="{00000000-0005-0000-0000-0000EB040000}"/>
    <cellStyle name="標準 2 2" xfId="1212" xr:uid="{00000000-0005-0000-0000-0000EC040000}"/>
    <cellStyle name="標準 2 2 2" xfId="1213" xr:uid="{00000000-0005-0000-0000-0000ED040000}"/>
    <cellStyle name="標準 2 2 2 2" xfId="1214" xr:uid="{00000000-0005-0000-0000-0000EE040000}"/>
    <cellStyle name="標準 2 2 2 2 2" xfId="1215" xr:uid="{00000000-0005-0000-0000-0000EF040000}"/>
    <cellStyle name="標準 2 2 2 2 3" xfId="1216" xr:uid="{00000000-0005-0000-0000-0000F0040000}"/>
    <cellStyle name="標準 2 2 2 3" xfId="1217" xr:uid="{00000000-0005-0000-0000-0000F1040000}"/>
    <cellStyle name="標準 2 2 3" xfId="1218" xr:uid="{00000000-0005-0000-0000-0000F2040000}"/>
    <cellStyle name="標準 2 2 3 2" xfId="1219" xr:uid="{00000000-0005-0000-0000-0000F3040000}"/>
    <cellStyle name="標準 2 2 3 3" xfId="1220" xr:uid="{00000000-0005-0000-0000-0000F4040000}"/>
    <cellStyle name="標準 2 2 4" xfId="1221" xr:uid="{00000000-0005-0000-0000-0000F5040000}"/>
    <cellStyle name="標準 2 2 4 2" xfId="1222" xr:uid="{00000000-0005-0000-0000-0000F6040000}"/>
    <cellStyle name="標準 2 2 4 3" xfId="1223" xr:uid="{00000000-0005-0000-0000-0000F7040000}"/>
    <cellStyle name="標準 2 2 5" xfId="1224" xr:uid="{00000000-0005-0000-0000-0000F8040000}"/>
    <cellStyle name="標準 2 2 5 2" xfId="1225" xr:uid="{00000000-0005-0000-0000-0000F9040000}"/>
    <cellStyle name="標準 2 2 5 3" xfId="1226" xr:uid="{00000000-0005-0000-0000-0000FA040000}"/>
    <cellStyle name="標準 2 2 6" xfId="1227" xr:uid="{00000000-0005-0000-0000-0000FB040000}"/>
    <cellStyle name="標準 2 2 6 2" xfId="1228" xr:uid="{00000000-0005-0000-0000-0000FC040000}"/>
    <cellStyle name="標準 2 2 6 3" xfId="1229" xr:uid="{00000000-0005-0000-0000-0000FD040000}"/>
    <cellStyle name="標準 2 2 7" xfId="1230" xr:uid="{00000000-0005-0000-0000-0000FE040000}"/>
    <cellStyle name="標準 2 2 8" xfId="1231" xr:uid="{00000000-0005-0000-0000-0000FF040000}"/>
    <cellStyle name="標準 2 2_(別紙1)参加者テスト仕様書(JPN)_ver1.81" xfId="1232" xr:uid="{00000000-0005-0000-0000-000000050000}"/>
    <cellStyle name="標準 2 3" xfId="1233" xr:uid="{00000000-0005-0000-0000-000001050000}"/>
    <cellStyle name="標準 2 3 2" xfId="1234" xr:uid="{00000000-0005-0000-0000-000002050000}"/>
    <cellStyle name="標準 2 3 2 2" xfId="1235" xr:uid="{00000000-0005-0000-0000-000003050000}"/>
    <cellStyle name="標準 2 3 3" xfId="1236" xr:uid="{00000000-0005-0000-0000-000004050000}"/>
    <cellStyle name="標準 2 3 3 2" xfId="1237" xr:uid="{00000000-0005-0000-0000-000005050000}"/>
    <cellStyle name="標準 2 3 3 3" xfId="1238" xr:uid="{00000000-0005-0000-0000-000006050000}"/>
    <cellStyle name="標準 2 3 4" xfId="1239" xr:uid="{00000000-0005-0000-0000-000007050000}"/>
    <cellStyle name="標準 2 4" xfId="1240" xr:uid="{00000000-0005-0000-0000-000008050000}"/>
    <cellStyle name="標準 2 4 2" xfId="1241" xr:uid="{00000000-0005-0000-0000-000009050000}"/>
    <cellStyle name="標準 2 4 2 2" xfId="1242" xr:uid="{00000000-0005-0000-0000-00000A050000}"/>
    <cellStyle name="標準 2 4 3" xfId="1243" xr:uid="{00000000-0005-0000-0000-00000B050000}"/>
    <cellStyle name="標準 2 5" xfId="1244" xr:uid="{00000000-0005-0000-0000-00000C050000}"/>
    <cellStyle name="標準 2 5 2" xfId="1245" xr:uid="{00000000-0005-0000-0000-00000D050000}"/>
    <cellStyle name="標準 2 5 3" xfId="1246" xr:uid="{00000000-0005-0000-0000-00000E050000}"/>
    <cellStyle name="標準 2 6" xfId="1247" xr:uid="{00000000-0005-0000-0000-00000F050000}"/>
    <cellStyle name="標準 2 6 2" xfId="1248" xr:uid="{00000000-0005-0000-0000-000010050000}"/>
    <cellStyle name="標準 2 6 3" xfId="1249" xr:uid="{00000000-0005-0000-0000-000011050000}"/>
    <cellStyle name="標準 2 6 4" xfId="1250" xr:uid="{00000000-0005-0000-0000-000012050000}"/>
    <cellStyle name="標準 2 7" xfId="1251" xr:uid="{00000000-0005-0000-0000-000013050000}"/>
    <cellStyle name="標準 2 7 2" xfId="1252" xr:uid="{00000000-0005-0000-0000-000014050000}"/>
    <cellStyle name="標準 2 8" xfId="1253" xr:uid="{00000000-0005-0000-0000-000015050000}"/>
    <cellStyle name="標準 2 8 2" xfId="1254" xr:uid="{00000000-0005-0000-0000-000016050000}"/>
    <cellStyle name="標準 2 9" xfId="1255" xr:uid="{00000000-0005-0000-0000-000017050000}"/>
    <cellStyle name="標準 2_(別紙1)参加者テスト仕様書(JPN)_ver1.81" xfId="1256" xr:uid="{00000000-0005-0000-0000-000018050000}"/>
    <cellStyle name="標準 20" xfId="1257" xr:uid="{00000000-0005-0000-0000-000019050000}"/>
    <cellStyle name="標準 20 2" xfId="1258" xr:uid="{00000000-0005-0000-0000-00001A050000}"/>
    <cellStyle name="標準 20 3" xfId="1259" xr:uid="{00000000-0005-0000-0000-00001B050000}"/>
    <cellStyle name="標準 20 4" xfId="1260" xr:uid="{00000000-0005-0000-0000-00001C050000}"/>
    <cellStyle name="標準 20 5" xfId="1261" xr:uid="{00000000-0005-0000-0000-00001D050000}"/>
    <cellStyle name="標準 21" xfId="1262" xr:uid="{00000000-0005-0000-0000-00001E050000}"/>
    <cellStyle name="標準 21 2" xfId="1263" xr:uid="{00000000-0005-0000-0000-00001F050000}"/>
    <cellStyle name="標準 21 2 2" xfId="1264" xr:uid="{00000000-0005-0000-0000-000020050000}"/>
    <cellStyle name="標準 21 3" xfId="1265" xr:uid="{00000000-0005-0000-0000-000021050000}"/>
    <cellStyle name="標準 21 3 2" xfId="1266" xr:uid="{00000000-0005-0000-0000-000022050000}"/>
    <cellStyle name="標準 21 4" xfId="1267" xr:uid="{00000000-0005-0000-0000-000023050000}"/>
    <cellStyle name="標準 21 5" xfId="1268" xr:uid="{00000000-0005-0000-0000-000024050000}"/>
    <cellStyle name="標準 22" xfId="1269" xr:uid="{00000000-0005-0000-0000-000025050000}"/>
    <cellStyle name="標準 22 2" xfId="1270" xr:uid="{00000000-0005-0000-0000-000026050000}"/>
    <cellStyle name="標準 22 3" xfId="1271" xr:uid="{00000000-0005-0000-0000-000027050000}"/>
    <cellStyle name="標準 23" xfId="1272" xr:uid="{00000000-0005-0000-0000-000028050000}"/>
    <cellStyle name="標準 23 2" xfId="1273" xr:uid="{00000000-0005-0000-0000-000029050000}"/>
    <cellStyle name="標準 23 3" xfId="1274" xr:uid="{00000000-0005-0000-0000-00002A050000}"/>
    <cellStyle name="標準 24" xfId="1275" xr:uid="{00000000-0005-0000-0000-00002B050000}"/>
    <cellStyle name="標準 24 2" xfId="1276" xr:uid="{00000000-0005-0000-0000-00002C050000}"/>
    <cellStyle name="標準 24 3" xfId="1277" xr:uid="{00000000-0005-0000-0000-00002D050000}"/>
    <cellStyle name="標準 25" xfId="1278" xr:uid="{00000000-0005-0000-0000-00002E050000}"/>
    <cellStyle name="標準 26" xfId="1279" xr:uid="{00000000-0005-0000-0000-00002F050000}"/>
    <cellStyle name="標準 27" xfId="1280" xr:uid="{00000000-0005-0000-0000-000030050000}"/>
    <cellStyle name="標準 28" xfId="1281" xr:uid="{00000000-0005-0000-0000-000031050000}"/>
    <cellStyle name="標準 29" xfId="1282" xr:uid="{00000000-0005-0000-0000-000032050000}"/>
    <cellStyle name="標準 3" xfId="1283" xr:uid="{00000000-0005-0000-0000-000033050000}"/>
    <cellStyle name="標準 3 10" xfId="1284" xr:uid="{00000000-0005-0000-0000-000034050000}"/>
    <cellStyle name="標準 3 11" xfId="1285" xr:uid="{00000000-0005-0000-0000-000035050000}"/>
    <cellStyle name="標準 3 2" xfId="1286" xr:uid="{00000000-0005-0000-0000-000036050000}"/>
    <cellStyle name="標準 3 2 2" xfId="1287" xr:uid="{00000000-0005-0000-0000-000037050000}"/>
    <cellStyle name="標準 3 2 2 2" xfId="1288" xr:uid="{00000000-0005-0000-0000-000038050000}"/>
    <cellStyle name="標準 3 2 2 3" xfId="1289" xr:uid="{00000000-0005-0000-0000-000039050000}"/>
    <cellStyle name="標準 3 2 3" xfId="1290" xr:uid="{00000000-0005-0000-0000-00003A050000}"/>
    <cellStyle name="標準 3 2 3 2" xfId="1291" xr:uid="{00000000-0005-0000-0000-00003B050000}"/>
    <cellStyle name="標準 3 2 3 3" xfId="1292" xr:uid="{00000000-0005-0000-0000-00003C050000}"/>
    <cellStyle name="標準 3 2 4" xfId="1293" xr:uid="{00000000-0005-0000-0000-00003D050000}"/>
    <cellStyle name="標準 3 2 5" xfId="1294" xr:uid="{00000000-0005-0000-0000-00003E050000}"/>
    <cellStyle name="標準 3 3" xfId="1295" xr:uid="{00000000-0005-0000-0000-00003F050000}"/>
    <cellStyle name="標準 3 4" xfId="1296" xr:uid="{00000000-0005-0000-0000-000040050000}"/>
    <cellStyle name="標準 3 4 2" xfId="1297" xr:uid="{00000000-0005-0000-0000-000041050000}"/>
    <cellStyle name="標準 3 4 3" xfId="1298" xr:uid="{00000000-0005-0000-0000-000042050000}"/>
    <cellStyle name="標準 3 5" xfId="1299" xr:uid="{00000000-0005-0000-0000-000043050000}"/>
    <cellStyle name="標準 3 5 2" xfId="1300" xr:uid="{00000000-0005-0000-0000-000044050000}"/>
    <cellStyle name="標準 3 5 3" xfId="1301" xr:uid="{00000000-0005-0000-0000-000045050000}"/>
    <cellStyle name="標準 3 6" xfId="1302" xr:uid="{00000000-0005-0000-0000-000046050000}"/>
    <cellStyle name="標準 3 6 2" xfId="1303" xr:uid="{00000000-0005-0000-0000-000047050000}"/>
    <cellStyle name="標準 3 7" xfId="1304" xr:uid="{00000000-0005-0000-0000-000048050000}"/>
    <cellStyle name="標準 3 8" xfId="1305" xr:uid="{00000000-0005-0000-0000-000049050000}"/>
    <cellStyle name="標準 3 9" xfId="1306" xr:uid="{00000000-0005-0000-0000-00004A050000}"/>
    <cellStyle name="標準 3_【Quick取得データ配信ツール(仮)】課題管理表（EUC）_20121210" xfId="1307" xr:uid="{00000000-0005-0000-0000-00004B050000}"/>
    <cellStyle name="標準 30" xfId="1308" xr:uid="{00000000-0005-0000-0000-00004C050000}"/>
    <cellStyle name="標準 31" xfId="1309" xr:uid="{00000000-0005-0000-0000-00004D050000}"/>
    <cellStyle name="標準 31 2" xfId="1310" xr:uid="{00000000-0005-0000-0000-00004E050000}"/>
    <cellStyle name="標準 31 3" xfId="1311" xr:uid="{00000000-0005-0000-0000-00004F050000}"/>
    <cellStyle name="標準 32" xfId="1312" xr:uid="{00000000-0005-0000-0000-000050050000}"/>
    <cellStyle name="標準 32 2" xfId="1313" xr:uid="{00000000-0005-0000-0000-000051050000}"/>
    <cellStyle name="標準 32 3" xfId="1314" xr:uid="{00000000-0005-0000-0000-000052050000}"/>
    <cellStyle name="標準 33" xfId="1315" xr:uid="{00000000-0005-0000-0000-000053050000}"/>
    <cellStyle name="標準 33 2" xfId="1316" xr:uid="{00000000-0005-0000-0000-000054050000}"/>
    <cellStyle name="標準 33 3" xfId="1317" xr:uid="{00000000-0005-0000-0000-000055050000}"/>
    <cellStyle name="標準 34" xfId="1318" xr:uid="{00000000-0005-0000-0000-000056050000}"/>
    <cellStyle name="標準 34 2" xfId="1319" xr:uid="{00000000-0005-0000-0000-000057050000}"/>
    <cellStyle name="標準 34 3" xfId="1320" xr:uid="{00000000-0005-0000-0000-000058050000}"/>
    <cellStyle name="標準 35" xfId="1321" xr:uid="{00000000-0005-0000-0000-000059050000}"/>
    <cellStyle name="標準 35 2" xfId="1322" xr:uid="{00000000-0005-0000-0000-00005A050000}"/>
    <cellStyle name="標準 35 3" xfId="1323" xr:uid="{00000000-0005-0000-0000-00005B050000}"/>
    <cellStyle name="標準 36" xfId="1324" xr:uid="{00000000-0005-0000-0000-00005C050000}"/>
    <cellStyle name="標準 36 2" xfId="1325" xr:uid="{00000000-0005-0000-0000-00005D050000}"/>
    <cellStyle name="標準 36 3" xfId="1326" xr:uid="{00000000-0005-0000-0000-00005E050000}"/>
    <cellStyle name="標準 37" xfId="1327" xr:uid="{00000000-0005-0000-0000-00005F050000}"/>
    <cellStyle name="標準 37 2" xfId="1328" xr:uid="{00000000-0005-0000-0000-000060050000}"/>
    <cellStyle name="標準 37 3" xfId="1329" xr:uid="{00000000-0005-0000-0000-000061050000}"/>
    <cellStyle name="標準 38" xfId="1330" xr:uid="{00000000-0005-0000-0000-000062050000}"/>
    <cellStyle name="標準 39" xfId="1331" xr:uid="{00000000-0005-0000-0000-000063050000}"/>
    <cellStyle name="標準 39 2" xfId="1332" xr:uid="{00000000-0005-0000-0000-000064050000}"/>
    <cellStyle name="標準 39 3" xfId="1333" xr:uid="{00000000-0005-0000-0000-000065050000}"/>
    <cellStyle name="標準 4" xfId="1334" xr:uid="{00000000-0005-0000-0000-000066050000}"/>
    <cellStyle name="標準 4 2" xfId="1335" xr:uid="{00000000-0005-0000-0000-000067050000}"/>
    <cellStyle name="標準 4 2 2" xfId="1336" xr:uid="{00000000-0005-0000-0000-000068050000}"/>
    <cellStyle name="標準 4 2 2 2" xfId="1337" xr:uid="{00000000-0005-0000-0000-000069050000}"/>
    <cellStyle name="標準 4 2 2 3" xfId="1338" xr:uid="{00000000-0005-0000-0000-00006A050000}"/>
    <cellStyle name="標準 4 2 3" xfId="1339" xr:uid="{00000000-0005-0000-0000-00006B050000}"/>
    <cellStyle name="標準 4 3" xfId="1340" xr:uid="{00000000-0005-0000-0000-00006C050000}"/>
    <cellStyle name="標準 4 3 2" xfId="1341" xr:uid="{00000000-0005-0000-0000-00006D050000}"/>
    <cellStyle name="標準 4 3 3" xfId="1342" xr:uid="{00000000-0005-0000-0000-00006E050000}"/>
    <cellStyle name="標準 4 4" xfId="1343" xr:uid="{00000000-0005-0000-0000-00006F050000}"/>
    <cellStyle name="標準 4 4 2" xfId="1344" xr:uid="{00000000-0005-0000-0000-000070050000}"/>
    <cellStyle name="標準 4 4 3" xfId="1345" xr:uid="{00000000-0005-0000-0000-000071050000}"/>
    <cellStyle name="標準 4 5" xfId="1346" xr:uid="{00000000-0005-0000-0000-000072050000}"/>
    <cellStyle name="標準 4 6" xfId="1347" xr:uid="{00000000-0005-0000-0000-000073050000}"/>
    <cellStyle name="標準 4_20121011__1_F⇒O_【証拠金１本化】課題管理（清算）" xfId="1348" xr:uid="{00000000-0005-0000-0000-000074050000}"/>
    <cellStyle name="標準 40" xfId="1349" xr:uid="{00000000-0005-0000-0000-000075050000}"/>
    <cellStyle name="標準 41" xfId="1350" xr:uid="{00000000-0005-0000-0000-000076050000}"/>
    <cellStyle name="標準 42" xfId="1351" xr:uid="{00000000-0005-0000-0000-000077050000}"/>
    <cellStyle name="標準 43" xfId="1352" xr:uid="{00000000-0005-0000-0000-000078050000}"/>
    <cellStyle name="標準 44" xfId="1353" xr:uid="{00000000-0005-0000-0000-000079050000}"/>
    <cellStyle name="標準 45" xfId="1354" xr:uid="{00000000-0005-0000-0000-00007A050000}"/>
    <cellStyle name="標準 46" xfId="1355" xr:uid="{00000000-0005-0000-0000-00007B050000}"/>
    <cellStyle name="標準 47" xfId="1356" xr:uid="{00000000-0005-0000-0000-00007C050000}"/>
    <cellStyle name="標準 48" xfId="1357" xr:uid="{00000000-0005-0000-0000-00007D050000}"/>
    <cellStyle name="標準 49" xfId="1358" xr:uid="{00000000-0005-0000-0000-00007E050000}"/>
    <cellStyle name="標準 5" xfId="1359" xr:uid="{00000000-0005-0000-0000-00007F050000}"/>
    <cellStyle name="標準 5 2" xfId="1360" xr:uid="{00000000-0005-0000-0000-000080050000}"/>
    <cellStyle name="標準 5 2 2" xfId="1361" xr:uid="{00000000-0005-0000-0000-000081050000}"/>
    <cellStyle name="標準 5 2 2 2" xfId="1362" xr:uid="{00000000-0005-0000-0000-000082050000}"/>
    <cellStyle name="標準 5 2 2 3" xfId="1363" xr:uid="{00000000-0005-0000-0000-000083050000}"/>
    <cellStyle name="標準 5 2 3" xfId="1364" xr:uid="{00000000-0005-0000-0000-000084050000}"/>
    <cellStyle name="標準 5 2 3 2" xfId="1365" xr:uid="{00000000-0005-0000-0000-000085050000}"/>
    <cellStyle name="標準 5 2 3 3" xfId="1366" xr:uid="{00000000-0005-0000-0000-000086050000}"/>
    <cellStyle name="標準 5 3" xfId="1367" xr:uid="{00000000-0005-0000-0000-000087050000}"/>
    <cellStyle name="標準 5 4" xfId="1368" xr:uid="{00000000-0005-0000-0000-000088050000}"/>
    <cellStyle name="標準 5 4 2" xfId="1369" xr:uid="{00000000-0005-0000-0000-000089050000}"/>
    <cellStyle name="標準 5_バックアップセンタ_切替テストスケジュール_20120406~10" xfId="1370" xr:uid="{00000000-0005-0000-0000-00008A050000}"/>
    <cellStyle name="標準 50" xfId="1371" xr:uid="{00000000-0005-0000-0000-00008B050000}"/>
    <cellStyle name="標準 51" xfId="1372" xr:uid="{00000000-0005-0000-0000-00008C050000}"/>
    <cellStyle name="標準 52" xfId="1373" xr:uid="{00000000-0005-0000-0000-00008D050000}"/>
    <cellStyle name="標準 53" xfId="1374" xr:uid="{00000000-0005-0000-0000-00008E050000}"/>
    <cellStyle name="標準 54" xfId="1375" xr:uid="{00000000-0005-0000-0000-00008F050000}"/>
    <cellStyle name="標準 55" xfId="1376" xr:uid="{00000000-0005-0000-0000-000090050000}"/>
    <cellStyle name="標準 56" xfId="1377" xr:uid="{00000000-0005-0000-0000-000091050000}"/>
    <cellStyle name="標準 57" xfId="1378" xr:uid="{00000000-0005-0000-0000-000092050000}"/>
    <cellStyle name="標準 58" xfId="1379" xr:uid="{00000000-0005-0000-0000-000093050000}"/>
    <cellStyle name="標準 59" xfId="1380" xr:uid="{00000000-0005-0000-0000-000094050000}"/>
    <cellStyle name="標準 6" xfId="1381" xr:uid="{00000000-0005-0000-0000-000095050000}"/>
    <cellStyle name="標準 6 2" xfId="1382" xr:uid="{00000000-0005-0000-0000-000096050000}"/>
    <cellStyle name="標準 6 2 2" xfId="1383" xr:uid="{00000000-0005-0000-0000-000097050000}"/>
    <cellStyle name="標準 6 2 3" xfId="1384" xr:uid="{00000000-0005-0000-0000-000098050000}"/>
    <cellStyle name="標準 6 2 4" xfId="1385" xr:uid="{00000000-0005-0000-0000-000099050000}"/>
    <cellStyle name="標準 6 3" xfId="1386" xr:uid="{00000000-0005-0000-0000-00009A050000}"/>
    <cellStyle name="標準 6_バックアップセンタ_切替テストスケジュール_20120406~10" xfId="1387" xr:uid="{00000000-0005-0000-0000-00009B050000}"/>
    <cellStyle name="標準 60" xfId="1388" xr:uid="{00000000-0005-0000-0000-00009C050000}"/>
    <cellStyle name="標準 61" xfId="1389" xr:uid="{00000000-0005-0000-0000-00009D050000}"/>
    <cellStyle name="標準 62" xfId="1390" xr:uid="{00000000-0005-0000-0000-00009E050000}"/>
    <cellStyle name="標準 63" xfId="1391" xr:uid="{00000000-0005-0000-0000-00009F050000}"/>
    <cellStyle name="標準 64" xfId="1392" xr:uid="{00000000-0005-0000-0000-0000A0050000}"/>
    <cellStyle name="標準 65" xfId="1393" xr:uid="{00000000-0005-0000-0000-0000A1050000}"/>
    <cellStyle name="標準 66" xfId="1394" xr:uid="{00000000-0005-0000-0000-0000A2050000}"/>
    <cellStyle name="標準 67" xfId="1395" xr:uid="{00000000-0005-0000-0000-0000A3050000}"/>
    <cellStyle name="標準 68" xfId="1396" xr:uid="{00000000-0005-0000-0000-0000A4050000}"/>
    <cellStyle name="標準 69" xfId="1397" xr:uid="{00000000-0005-0000-0000-0000A5050000}"/>
    <cellStyle name="標準 69 2" xfId="1398" xr:uid="{00000000-0005-0000-0000-0000A6050000}"/>
    <cellStyle name="標準 69 2 2" xfId="1399" xr:uid="{00000000-0005-0000-0000-0000A7050000}"/>
    <cellStyle name="標準 69 2 2 2" xfId="1400" xr:uid="{00000000-0005-0000-0000-0000A8050000}"/>
    <cellStyle name="標準 69 2 2 3" xfId="1401" xr:uid="{00000000-0005-0000-0000-0000A9050000}"/>
    <cellStyle name="標準 69 2 2 4" xfId="1402" xr:uid="{00000000-0005-0000-0000-0000AA050000}"/>
    <cellStyle name="標準 69 2 3" xfId="1403" xr:uid="{00000000-0005-0000-0000-0000AB050000}"/>
    <cellStyle name="標準 69 2 4" xfId="1404" xr:uid="{00000000-0005-0000-0000-0000AC050000}"/>
    <cellStyle name="標準 69 2 5" xfId="1405" xr:uid="{00000000-0005-0000-0000-0000AD050000}"/>
    <cellStyle name="標準 69 3" xfId="1406" xr:uid="{00000000-0005-0000-0000-0000AE050000}"/>
    <cellStyle name="標準 69 3 2" xfId="1407" xr:uid="{00000000-0005-0000-0000-0000AF050000}"/>
    <cellStyle name="標準 69 3 3" xfId="1408" xr:uid="{00000000-0005-0000-0000-0000B0050000}"/>
    <cellStyle name="標準 69 3 4" xfId="1409" xr:uid="{00000000-0005-0000-0000-0000B1050000}"/>
    <cellStyle name="標準 69 4" xfId="1410" xr:uid="{00000000-0005-0000-0000-0000B2050000}"/>
    <cellStyle name="標準 69 5" xfId="1411" xr:uid="{00000000-0005-0000-0000-0000B3050000}"/>
    <cellStyle name="標準 69 6" xfId="1412" xr:uid="{00000000-0005-0000-0000-0000B4050000}"/>
    <cellStyle name="標準 69 7" xfId="1413" xr:uid="{00000000-0005-0000-0000-0000B5050000}"/>
    <cellStyle name="標準 69 8" xfId="1414" xr:uid="{00000000-0005-0000-0000-0000B6050000}"/>
    <cellStyle name="標準 7" xfId="1415" xr:uid="{00000000-0005-0000-0000-0000B7050000}"/>
    <cellStyle name="標準 7 2" xfId="1416" xr:uid="{00000000-0005-0000-0000-0000B8050000}"/>
    <cellStyle name="標準 7 2 2" xfId="1417" xr:uid="{00000000-0005-0000-0000-0000B9050000}"/>
    <cellStyle name="標準 7 2 3" xfId="1418" xr:uid="{00000000-0005-0000-0000-0000BA050000}"/>
    <cellStyle name="標準 7 3" xfId="1419" xr:uid="{00000000-0005-0000-0000-0000BB050000}"/>
    <cellStyle name="標準 7 3 2" xfId="1420" xr:uid="{00000000-0005-0000-0000-0000BC050000}"/>
    <cellStyle name="標準 7 3 3" xfId="1421" xr:uid="{00000000-0005-0000-0000-0000BD050000}"/>
    <cellStyle name="標準 7 4" xfId="1422" xr:uid="{00000000-0005-0000-0000-0000BE050000}"/>
    <cellStyle name="標準 7 4 2" xfId="1423" xr:uid="{00000000-0005-0000-0000-0000BF050000}"/>
    <cellStyle name="標準 7 4 3" xfId="1424" xr:uid="{00000000-0005-0000-0000-0000C0050000}"/>
    <cellStyle name="標準 7 5" xfId="1425" xr:uid="{00000000-0005-0000-0000-0000C1050000}"/>
    <cellStyle name="標準 70" xfId="1426" xr:uid="{00000000-0005-0000-0000-0000C2050000}"/>
    <cellStyle name="標準 70 2" xfId="1427" xr:uid="{00000000-0005-0000-0000-0000C3050000}"/>
    <cellStyle name="標準 70 2 2" xfId="1428" xr:uid="{00000000-0005-0000-0000-0000C4050000}"/>
    <cellStyle name="標準 70 2 2 2" xfId="1429" xr:uid="{00000000-0005-0000-0000-0000C5050000}"/>
    <cellStyle name="標準 70 2 2 3" xfId="1430" xr:uid="{00000000-0005-0000-0000-0000C6050000}"/>
    <cellStyle name="標準 70 2 2 4" xfId="1431" xr:uid="{00000000-0005-0000-0000-0000C7050000}"/>
    <cellStyle name="標準 70 2 3" xfId="1432" xr:uid="{00000000-0005-0000-0000-0000C8050000}"/>
    <cellStyle name="標準 70 2 4" xfId="1433" xr:uid="{00000000-0005-0000-0000-0000C9050000}"/>
    <cellStyle name="標準 70 2 5" xfId="1434" xr:uid="{00000000-0005-0000-0000-0000CA050000}"/>
    <cellStyle name="標準 70 3" xfId="1435" xr:uid="{00000000-0005-0000-0000-0000CB050000}"/>
    <cellStyle name="標準 70 3 2" xfId="1436" xr:uid="{00000000-0005-0000-0000-0000CC050000}"/>
    <cellStyle name="標準 70 3 3" xfId="1437" xr:uid="{00000000-0005-0000-0000-0000CD050000}"/>
    <cellStyle name="標準 70 3 4" xfId="1438" xr:uid="{00000000-0005-0000-0000-0000CE050000}"/>
    <cellStyle name="標準 70 4" xfId="1439" xr:uid="{00000000-0005-0000-0000-0000CF050000}"/>
    <cellStyle name="標準 70 5" xfId="1440" xr:uid="{00000000-0005-0000-0000-0000D0050000}"/>
    <cellStyle name="標準 70 6" xfId="1441" xr:uid="{00000000-0005-0000-0000-0000D1050000}"/>
    <cellStyle name="標準 70 7" xfId="1442" xr:uid="{00000000-0005-0000-0000-0000D2050000}"/>
    <cellStyle name="標準 70 8" xfId="1443" xr:uid="{00000000-0005-0000-0000-0000D3050000}"/>
    <cellStyle name="標準 71" xfId="1444" xr:uid="{00000000-0005-0000-0000-0000D4050000}"/>
    <cellStyle name="標準 71 2" xfId="1445" xr:uid="{00000000-0005-0000-0000-0000D5050000}"/>
    <cellStyle name="標準 71 2 2" xfId="1446" xr:uid="{00000000-0005-0000-0000-0000D6050000}"/>
    <cellStyle name="標準 71 2 2 2" xfId="1447" xr:uid="{00000000-0005-0000-0000-0000D7050000}"/>
    <cellStyle name="標準 71 2 2 3" xfId="1448" xr:uid="{00000000-0005-0000-0000-0000D8050000}"/>
    <cellStyle name="標準 71 2 2 4" xfId="1449" xr:uid="{00000000-0005-0000-0000-0000D9050000}"/>
    <cellStyle name="標準 71 2 3" xfId="1450" xr:uid="{00000000-0005-0000-0000-0000DA050000}"/>
    <cellStyle name="標準 71 2 4" xfId="1451" xr:uid="{00000000-0005-0000-0000-0000DB050000}"/>
    <cellStyle name="標準 71 2 5" xfId="1452" xr:uid="{00000000-0005-0000-0000-0000DC050000}"/>
    <cellStyle name="標準 71 3" xfId="1453" xr:uid="{00000000-0005-0000-0000-0000DD050000}"/>
    <cellStyle name="標準 71 3 2" xfId="1454" xr:uid="{00000000-0005-0000-0000-0000DE050000}"/>
    <cellStyle name="標準 71 3 3" xfId="1455" xr:uid="{00000000-0005-0000-0000-0000DF050000}"/>
    <cellStyle name="標準 71 3 4" xfId="1456" xr:uid="{00000000-0005-0000-0000-0000E0050000}"/>
    <cellStyle name="標準 71 4" xfId="1457" xr:uid="{00000000-0005-0000-0000-0000E1050000}"/>
    <cellStyle name="標準 71 5" xfId="1458" xr:uid="{00000000-0005-0000-0000-0000E2050000}"/>
    <cellStyle name="標準 71 6" xfId="1459" xr:uid="{00000000-0005-0000-0000-0000E3050000}"/>
    <cellStyle name="標準 71 7" xfId="1460" xr:uid="{00000000-0005-0000-0000-0000E4050000}"/>
    <cellStyle name="標準 71 8" xfId="1461" xr:uid="{00000000-0005-0000-0000-0000E5050000}"/>
    <cellStyle name="標準 72" xfId="1462" xr:uid="{00000000-0005-0000-0000-0000E6050000}"/>
    <cellStyle name="標準 72 2" xfId="1463" xr:uid="{00000000-0005-0000-0000-0000E7050000}"/>
    <cellStyle name="標準 72 2 2" xfId="1464" xr:uid="{00000000-0005-0000-0000-0000E8050000}"/>
    <cellStyle name="標準 72 2 2 2" xfId="1465" xr:uid="{00000000-0005-0000-0000-0000E9050000}"/>
    <cellStyle name="標準 72 2 2 3" xfId="1466" xr:uid="{00000000-0005-0000-0000-0000EA050000}"/>
    <cellStyle name="標準 72 2 2 4" xfId="1467" xr:uid="{00000000-0005-0000-0000-0000EB050000}"/>
    <cellStyle name="標準 72 2 3" xfId="1468" xr:uid="{00000000-0005-0000-0000-0000EC050000}"/>
    <cellStyle name="標準 72 2 4" xfId="1469" xr:uid="{00000000-0005-0000-0000-0000ED050000}"/>
    <cellStyle name="標準 72 2 5" xfId="1470" xr:uid="{00000000-0005-0000-0000-0000EE050000}"/>
    <cellStyle name="標準 72 3" xfId="1471" xr:uid="{00000000-0005-0000-0000-0000EF050000}"/>
    <cellStyle name="標準 72 3 2" xfId="1472" xr:uid="{00000000-0005-0000-0000-0000F0050000}"/>
    <cellStyle name="標準 72 3 3" xfId="1473" xr:uid="{00000000-0005-0000-0000-0000F1050000}"/>
    <cellStyle name="標準 72 3 4" xfId="1474" xr:uid="{00000000-0005-0000-0000-0000F2050000}"/>
    <cellStyle name="標準 72 4" xfId="1475" xr:uid="{00000000-0005-0000-0000-0000F3050000}"/>
    <cellStyle name="標準 72 5" xfId="1476" xr:uid="{00000000-0005-0000-0000-0000F4050000}"/>
    <cellStyle name="標準 72 6" xfId="1477" xr:uid="{00000000-0005-0000-0000-0000F5050000}"/>
    <cellStyle name="標準 72 7" xfId="1478" xr:uid="{00000000-0005-0000-0000-0000F6050000}"/>
    <cellStyle name="標準 72 8" xfId="1479" xr:uid="{00000000-0005-0000-0000-0000F7050000}"/>
    <cellStyle name="標準 73" xfId="1480" xr:uid="{00000000-0005-0000-0000-0000F8050000}"/>
    <cellStyle name="標準 73 2" xfId="1481" xr:uid="{00000000-0005-0000-0000-0000F9050000}"/>
    <cellStyle name="標準 73 2 2" xfId="1482" xr:uid="{00000000-0005-0000-0000-0000FA050000}"/>
    <cellStyle name="標準 73 2 2 2" xfId="1483" xr:uid="{00000000-0005-0000-0000-0000FB050000}"/>
    <cellStyle name="標準 73 2 2 3" xfId="1484" xr:uid="{00000000-0005-0000-0000-0000FC050000}"/>
    <cellStyle name="標準 73 2 2 4" xfId="1485" xr:uid="{00000000-0005-0000-0000-0000FD050000}"/>
    <cellStyle name="標準 73 2 3" xfId="1486" xr:uid="{00000000-0005-0000-0000-0000FE050000}"/>
    <cellStyle name="標準 73 2 4" xfId="1487" xr:uid="{00000000-0005-0000-0000-0000FF050000}"/>
    <cellStyle name="標準 73 2 5" xfId="1488" xr:uid="{00000000-0005-0000-0000-000000060000}"/>
    <cellStyle name="標準 73 3" xfId="1489" xr:uid="{00000000-0005-0000-0000-000001060000}"/>
    <cellStyle name="標準 73 3 2" xfId="1490" xr:uid="{00000000-0005-0000-0000-000002060000}"/>
    <cellStyle name="標準 73 3 3" xfId="1491" xr:uid="{00000000-0005-0000-0000-000003060000}"/>
    <cellStyle name="標準 73 3 4" xfId="1492" xr:uid="{00000000-0005-0000-0000-000004060000}"/>
    <cellStyle name="標準 73 4" xfId="1493" xr:uid="{00000000-0005-0000-0000-000005060000}"/>
    <cellStyle name="標準 73 5" xfId="1494" xr:uid="{00000000-0005-0000-0000-000006060000}"/>
    <cellStyle name="標準 73 6" xfId="1495" xr:uid="{00000000-0005-0000-0000-000007060000}"/>
    <cellStyle name="標準 74" xfId="1496" xr:uid="{00000000-0005-0000-0000-000008060000}"/>
    <cellStyle name="標準 74 2" xfId="1497" xr:uid="{00000000-0005-0000-0000-000009060000}"/>
    <cellStyle name="標準 74 2 2" xfId="1498" xr:uid="{00000000-0005-0000-0000-00000A060000}"/>
    <cellStyle name="標準 74 2 2 2" xfId="1499" xr:uid="{00000000-0005-0000-0000-00000B060000}"/>
    <cellStyle name="標準 74 2 2 3" xfId="1500" xr:uid="{00000000-0005-0000-0000-00000C060000}"/>
    <cellStyle name="標準 74 2 2 4" xfId="1501" xr:uid="{00000000-0005-0000-0000-00000D060000}"/>
    <cellStyle name="標準 74 2 3" xfId="1502" xr:uid="{00000000-0005-0000-0000-00000E060000}"/>
    <cellStyle name="標準 74 2 4" xfId="1503" xr:uid="{00000000-0005-0000-0000-00000F060000}"/>
    <cellStyle name="標準 74 2 5" xfId="1504" xr:uid="{00000000-0005-0000-0000-000010060000}"/>
    <cellStyle name="標準 74 3" xfId="1505" xr:uid="{00000000-0005-0000-0000-000011060000}"/>
    <cellStyle name="標準 74 3 2" xfId="1506" xr:uid="{00000000-0005-0000-0000-000012060000}"/>
    <cellStyle name="標準 74 3 3" xfId="1507" xr:uid="{00000000-0005-0000-0000-000013060000}"/>
    <cellStyle name="標準 74 3 4" xfId="1508" xr:uid="{00000000-0005-0000-0000-000014060000}"/>
    <cellStyle name="標準 74 4" xfId="1509" xr:uid="{00000000-0005-0000-0000-000015060000}"/>
    <cellStyle name="標準 74 5" xfId="1510" xr:uid="{00000000-0005-0000-0000-000016060000}"/>
    <cellStyle name="標準 74 6" xfId="1511" xr:uid="{00000000-0005-0000-0000-000017060000}"/>
    <cellStyle name="標準 75" xfId="1512" xr:uid="{00000000-0005-0000-0000-000018060000}"/>
    <cellStyle name="標準 75 2" xfId="1513" xr:uid="{00000000-0005-0000-0000-000019060000}"/>
    <cellStyle name="標準 75 2 2" xfId="1514" xr:uid="{00000000-0005-0000-0000-00001A060000}"/>
    <cellStyle name="標準 75 2 2 2" xfId="1515" xr:uid="{00000000-0005-0000-0000-00001B060000}"/>
    <cellStyle name="標準 75 2 2 3" xfId="1516" xr:uid="{00000000-0005-0000-0000-00001C060000}"/>
    <cellStyle name="標準 75 2 2 4" xfId="1517" xr:uid="{00000000-0005-0000-0000-00001D060000}"/>
    <cellStyle name="標準 75 2 3" xfId="1518" xr:uid="{00000000-0005-0000-0000-00001E060000}"/>
    <cellStyle name="標準 75 2 4" xfId="1519" xr:uid="{00000000-0005-0000-0000-00001F060000}"/>
    <cellStyle name="標準 75 2 5" xfId="1520" xr:uid="{00000000-0005-0000-0000-000020060000}"/>
    <cellStyle name="標準 75 3" xfId="1521" xr:uid="{00000000-0005-0000-0000-000021060000}"/>
    <cellStyle name="標準 75 3 2" xfId="1522" xr:uid="{00000000-0005-0000-0000-000022060000}"/>
    <cellStyle name="標準 75 3 3" xfId="1523" xr:uid="{00000000-0005-0000-0000-000023060000}"/>
    <cellStyle name="標準 75 3 4" xfId="1524" xr:uid="{00000000-0005-0000-0000-000024060000}"/>
    <cellStyle name="標準 75 4" xfId="1525" xr:uid="{00000000-0005-0000-0000-000025060000}"/>
    <cellStyle name="標準 75 5" xfId="1526" xr:uid="{00000000-0005-0000-0000-000026060000}"/>
    <cellStyle name="標準 75 6" xfId="1527" xr:uid="{00000000-0005-0000-0000-000027060000}"/>
    <cellStyle name="標準 76" xfId="1528" xr:uid="{00000000-0005-0000-0000-000028060000}"/>
    <cellStyle name="標準 76 2" xfId="1529" xr:uid="{00000000-0005-0000-0000-000029060000}"/>
    <cellStyle name="標準 76 2 2" xfId="1530" xr:uid="{00000000-0005-0000-0000-00002A060000}"/>
    <cellStyle name="標準 76 2 2 2" xfId="1531" xr:uid="{00000000-0005-0000-0000-00002B060000}"/>
    <cellStyle name="標準 76 2 2 3" xfId="1532" xr:uid="{00000000-0005-0000-0000-00002C060000}"/>
    <cellStyle name="標準 76 2 2 4" xfId="1533" xr:uid="{00000000-0005-0000-0000-00002D060000}"/>
    <cellStyle name="標準 76 2 3" xfId="1534" xr:uid="{00000000-0005-0000-0000-00002E060000}"/>
    <cellStyle name="標準 76 2 4" xfId="1535" xr:uid="{00000000-0005-0000-0000-00002F060000}"/>
    <cellStyle name="標準 76 2 5" xfId="1536" xr:uid="{00000000-0005-0000-0000-000030060000}"/>
    <cellStyle name="標準 76 3" xfId="1537" xr:uid="{00000000-0005-0000-0000-000031060000}"/>
    <cellStyle name="標準 76 3 2" xfId="1538" xr:uid="{00000000-0005-0000-0000-000032060000}"/>
    <cellStyle name="標準 76 3 3" xfId="1539" xr:uid="{00000000-0005-0000-0000-000033060000}"/>
    <cellStyle name="標準 76 3 4" xfId="1540" xr:uid="{00000000-0005-0000-0000-000034060000}"/>
    <cellStyle name="標準 76 4" xfId="1541" xr:uid="{00000000-0005-0000-0000-000035060000}"/>
    <cellStyle name="標準 76 5" xfId="1542" xr:uid="{00000000-0005-0000-0000-000036060000}"/>
    <cellStyle name="標準 76 6" xfId="1543" xr:uid="{00000000-0005-0000-0000-000037060000}"/>
    <cellStyle name="標準 77" xfId="1544" xr:uid="{00000000-0005-0000-0000-000038060000}"/>
    <cellStyle name="標準 77 2" xfId="1545" xr:uid="{00000000-0005-0000-0000-000039060000}"/>
    <cellStyle name="標準 77 2 2" xfId="1546" xr:uid="{00000000-0005-0000-0000-00003A060000}"/>
    <cellStyle name="標準 77 2 2 2" xfId="1547" xr:uid="{00000000-0005-0000-0000-00003B060000}"/>
    <cellStyle name="標準 77 2 2 3" xfId="1548" xr:uid="{00000000-0005-0000-0000-00003C060000}"/>
    <cellStyle name="標準 77 2 2 4" xfId="1549" xr:uid="{00000000-0005-0000-0000-00003D060000}"/>
    <cellStyle name="標準 77 2 3" xfId="1550" xr:uid="{00000000-0005-0000-0000-00003E060000}"/>
    <cellStyle name="標準 77 2 4" xfId="1551" xr:uid="{00000000-0005-0000-0000-00003F060000}"/>
    <cellStyle name="標準 77 2 5" xfId="1552" xr:uid="{00000000-0005-0000-0000-000040060000}"/>
    <cellStyle name="標準 77 3" xfId="1553" xr:uid="{00000000-0005-0000-0000-000041060000}"/>
    <cellStyle name="標準 77 3 2" xfId="1554" xr:uid="{00000000-0005-0000-0000-000042060000}"/>
    <cellStyle name="標準 77 3 3" xfId="1555" xr:uid="{00000000-0005-0000-0000-000043060000}"/>
    <cellStyle name="標準 77 3 4" xfId="1556" xr:uid="{00000000-0005-0000-0000-000044060000}"/>
    <cellStyle name="標準 77 4" xfId="1557" xr:uid="{00000000-0005-0000-0000-000045060000}"/>
    <cellStyle name="標準 77 5" xfId="1558" xr:uid="{00000000-0005-0000-0000-000046060000}"/>
    <cellStyle name="標準 77 6" xfId="1559" xr:uid="{00000000-0005-0000-0000-000047060000}"/>
    <cellStyle name="標準 78" xfId="1560" xr:uid="{00000000-0005-0000-0000-000048060000}"/>
    <cellStyle name="標準 78 2" xfId="1561" xr:uid="{00000000-0005-0000-0000-000049060000}"/>
    <cellStyle name="標準 78 2 2" xfId="1562" xr:uid="{00000000-0005-0000-0000-00004A060000}"/>
    <cellStyle name="標準 78 2 2 2" xfId="1563" xr:uid="{00000000-0005-0000-0000-00004B060000}"/>
    <cellStyle name="標準 78 2 2 3" xfId="1564" xr:uid="{00000000-0005-0000-0000-00004C060000}"/>
    <cellStyle name="標準 78 2 2 4" xfId="1565" xr:uid="{00000000-0005-0000-0000-00004D060000}"/>
    <cellStyle name="標準 78 2 3" xfId="1566" xr:uid="{00000000-0005-0000-0000-00004E060000}"/>
    <cellStyle name="標準 78 2 4" xfId="1567" xr:uid="{00000000-0005-0000-0000-00004F060000}"/>
    <cellStyle name="標準 78 2 5" xfId="1568" xr:uid="{00000000-0005-0000-0000-000050060000}"/>
    <cellStyle name="標準 78 3" xfId="1569" xr:uid="{00000000-0005-0000-0000-000051060000}"/>
    <cellStyle name="標準 78 3 2" xfId="1570" xr:uid="{00000000-0005-0000-0000-000052060000}"/>
    <cellStyle name="標準 78 3 3" xfId="1571" xr:uid="{00000000-0005-0000-0000-000053060000}"/>
    <cellStyle name="標準 78 3 4" xfId="1572" xr:uid="{00000000-0005-0000-0000-000054060000}"/>
    <cellStyle name="標準 78 4" xfId="1573" xr:uid="{00000000-0005-0000-0000-000055060000}"/>
    <cellStyle name="標準 78 5" xfId="1574" xr:uid="{00000000-0005-0000-0000-000056060000}"/>
    <cellStyle name="標準 78 6" xfId="1575" xr:uid="{00000000-0005-0000-0000-000057060000}"/>
    <cellStyle name="標準 79" xfId="1576" xr:uid="{00000000-0005-0000-0000-000058060000}"/>
    <cellStyle name="標準 79 2" xfId="1577" xr:uid="{00000000-0005-0000-0000-000059060000}"/>
    <cellStyle name="標準 79 2 2" xfId="1578" xr:uid="{00000000-0005-0000-0000-00005A060000}"/>
    <cellStyle name="標準 79 2 2 2" xfId="1579" xr:uid="{00000000-0005-0000-0000-00005B060000}"/>
    <cellStyle name="標準 79 2 2 3" xfId="1580" xr:uid="{00000000-0005-0000-0000-00005C060000}"/>
    <cellStyle name="標準 79 2 2 4" xfId="1581" xr:uid="{00000000-0005-0000-0000-00005D060000}"/>
    <cellStyle name="標準 79 2 3" xfId="1582" xr:uid="{00000000-0005-0000-0000-00005E060000}"/>
    <cellStyle name="標準 79 2 4" xfId="1583" xr:uid="{00000000-0005-0000-0000-00005F060000}"/>
    <cellStyle name="標準 79 2 5" xfId="1584" xr:uid="{00000000-0005-0000-0000-000060060000}"/>
    <cellStyle name="標準 79 3" xfId="1585" xr:uid="{00000000-0005-0000-0000-000061060000}"/>
    <cellStyle name="標準 79 3 2" xfId="1586" xr:uid="{00000000-0005-0000-0000-000062060000}"/>
    <cellStyle name="標準 79 3 3" xfId="1587" xr:uid="{00000000-0005-0000-0000-000063060000}"/>
    <cellStyle name="標準 79 3 4" xfId="1588" xr:uid="{00000000-0005-0000-0000-000064060000}"/>
    <cellStyle name="標準 79 4" xfId="1589" xr:uid="{00000000-0005-0000-0000-000065060000}"/>
    <cellStyle name="標準 79 5" xfId="1590" xr:uid="{00000000-0005-0000-0000-000066060000}"/>
    <cellStyle name="標準 79 6" xfId="1591" xr:uid="{00000000-0005-0000-0000-000067060000}"/>
    <cellStyle name="標準 8" xfId="1592" xr:uid="{00000000-0005-0000-0000-000068060000}"/>
    <cellStyle name="標準 8 2" xfId="1593" xr:uid="{00000000-0005-0000-0000-000069060000}"/>
    <cellStyle name="標準 8 3" xfId="1594" xr:uid="{00000000-0005-0000-0000-00006A060000}"/>
    <cellStyle name="標準 8 4" xfId="1595" xr:uid="{00000000-0005-0000-0000-00006B060000}"/>
    <cellStyle name="標準 8 5" xfId="1596" xr:uid="{00000000-0005-0000-0000-00006C060000}"/>
    <cellStyle name="標準 8 6" xfId="1597" xr:uid="{00000000-0005-0000-0000-00006D060000}"/>
    <cellStyle name="標準 80" xfId="1598" xr:uid="{00000000-0005-0000-0000-00006E060000}"/>
    <cellStyle name="標準 80 2" xfId="1599" xr:uid="{00000000-0005-0000-0000-00006F060000}"/>
    <cellStyle name="標準 80 2 2" xfId="1600" xr:uid="{00000000-0005-0000-0000-000070060000}"/>
    <cellStyle name="標準 80 2 2 2" xfId="1601" xr:uid="{00000000-0005-0000-0000-000071060000}"/>
    <cellStyle name="標準 80 2 2 3" xfId="1602" xr:uid="{00000000-0005-0000-0000-000072060000}"/>
    <cellStyle name="標準 80 2 2 4" xfId="1603" xr:uid="{00000000-0005-0000-0000-000073060000}"/>
    <cellStyle name="標準 80 2 3" xfId="1604" xr:uid="{00000000-0005-0000-0000-000074060000}"/>
    <cellStyle name="標準 80 2 4" xfId="1605" xr:uid="{00000000-0005-0000-0000-000075060000}"/>
    <cellStyle name="標準 80 2 5" xfId="1606" xr:uid="{00000000-0005-0000-0000-000076060000}"/>
    <cellStyle name="標準 80 3" xfId="1607" xr:uid="{00000000-0005-0000-0000-000077060000}"/>
    <cellStyle name="標準 80 3 2" xfId="1608" xr:uid="{00000000-0005-0000-0000-000078060000}"/>
    <cellStyle name="標準 80 3 3" xfId="1609" xr:uid="{00000000-0005-0000-0000-000079060000}"/>
    <cellStyle name="標準 80 3 4" xfId="1610" xr:uid="{00000000-0005-0000-0000-00007A060000}"/>
    <cellStyle name="標準 80 4" xfId="1611" xr:uid="{00000000-0005-0000-0000-00007B060000}"/>
    <cellStyle name="標準 80 5" xfId="1612" xr:uid="{00000000-0005-0000-0000-00007C060000}"/>
    <cellStyle name="標準 80 6" xfId="1613" xr:uid="{00000000-0005-0000-0000-00007D060000}"/>
    <cellStyle name="標準 81" xfId="1614" xr:uid="{00000000-0005-0000-0000-00007E060000}"/>
    <cellStyle name="標準 81 2" xfId="1615" xr:uid="{00000000-0005-0000-0000-00007F060000}"/>
    <cellStyle name="標準 81 2 2" xfId="1616" xr:uid="{00000000-0005-0000-0000-000080060000}"/>
    <cellStyle name="標準 81 2 2 2" xfId="1617" xr:uid="{00000000-0005-0000-0000-000081060000}"/>
    <cellStyle name="標準 81 2 2 3" xfId="1618" xr:uid="{00000000-0005-0000-0000-000082060000}"/>
    <cellStyle name="標準 81 2 2 4" xfId="1619" xr:uid="{00000000-0005-0000-0000-000083060000}"/>
    <cellStyle name="標準 81 2 3" xfId="1620" xr:uid="{00000000-0005-0000-0000-000084060000}"/>
    <cellStyle name="標準 81 2 4" xfId="1621" xr:uid="{00000000-0005-0000-0000-000085060000}"/>
    <cellStyle name="標準 81 2 5" xfId="1622" xr:uid="{00000000-0005-0000-0000-000086060000}"/>
    <cellStyle name="標準 81 3" xfId="1623" xr:uid="{00000000-0005-0000-0000-000087060000}"/>
    <cellStyle name="標準 81 3 2" xfId="1624" xr:uid="{00000000-0005-0000-0000-000088060000}"/>
    <cellStyle name="標準 81 3 3" xfId="1625" xr:uid="{00000000-0005-0000-0000-000089060000}"/>
    <cellStyle name="標準 81 3 4" xfId="1626" xr:uid="{00000000-0005-0000-0000-00008A060000}"/>
    <cellStyle name="標準 81 4" xfId="1627" xr:uid="{00000000-0005-0000-0000-00008B060000}"/>
    <cellStyle name="標準 81 5" xfId="1628" xr:uid="{00000000-0005-0000-0000-00008C060000}"/>
    <cellStyle name="標準 81 6" xfId="1629" xr:uid="{00000000-0005-0000-0000-00008D060000}"/>
    <cellStyle name="標準 82" xfId="1630" xr:uid="{00000000-0005-0000-0000-00008E060000}"/>
    <cellStyle name="標準 82 2" xfId="1631" xr:uid="{00000000-0005-0000-0000-00008F060000}"/>
    <cellStyle name="標準 82 2 2" xfId="1632" xr:uid="{00000000-0005-0000-0000-000090060000}"/>
    <cellStyle name="標準 82 2 2 2" xfId="1633" xr:uid="{00000000-0005-0000-0000-000091060000}"/>
    <cellStyle name="標準 82 2 2 3" xfId="1634" xr:uid="{00000000-0005-0000-0000-000092060000}"/>
    <cellStyle name="標準 82 2 2 4" xfId="1635" xr:uid="{00000000-0005-0000-0000-000093060000}"/>
    <cellStyle name="標準 82 2 3" xfId="1636" xr:uid="{00000000-0005-0000-0000-000094060000}"/>
    <cellStyle name="標準 82 2 4" xfId="1637" xr:uid="{00000000-0005-0000-0000-000095060000}"/>
    <cellStyle name="標準 82 2 5" xfId="1638" xr:uid="{00000000-0005-0000-0000-000096060000}"/>
    <cellStyle name="標準 82 3" xfId="1639" xr:uid="{00000000-0005-0000-0000-000097060000}"/>
    <cellStyle name="標準 82 3 2" xfId="1640" xr:uid="{00000000-0005-0000-0000-000098060000}"/>
    <cellStyle name="標準 82 3 3" xfId="1641" xr:uid="{00000000-0005-0000-0000-000099060000}"/>
    <cellStyle name="標準 82 3 4" xfId="1642" xr:uid="{00000000-0005-0000-0000-00009A060000}"/>
    <cellStyle name="標準 82 4" xfId="1643" xr:uid="{00000000-0005-0000-0000-00009B060000}"/>
    <cellStyle name="標準 82 5" xfId="1644" xr:uid="{00000000-0005-0000-0000-00009C060000}"/>
    <cellStyle name="標準 82 6" xfId="1645" xr:uid="{00000000-0005-0000-0000-00009D060000}"/>
    <cellStyle name="標準 83" xfId="1646" xr:uid="{00000000-0005-0000-0000-00009E060000}"/>
    <cellStyle name="標準 83 2" xfId="1647" xr:uid="{00000000-0005-0000-0000-00009F060000}"/>
    <cellStyle name="標準 83 2 2" xfId="1648" xr:uid="{00000000-0005-0000-0000-0000A0060000}"/>
    <cellStyle name="標準 83 2 2 2" xfId="1649" xr:uid="{00000000-0005-0000-0000-0000A1060000}"/>
    <cellStyle name="標準 83 2 2 3" xfId="1650" xr:uid="{00000000-0005-0000-0000-0000A2060000}"/>
    <cellStyle name="標準 83 2 2 4" xfId="1651" xr:uid="{00000000-0005-0000-0000-0000A3060000}"/>
    <cellStyle name="標準 83 2 3" xfId="1652" xr:uid="{00000000-0005-0000-0000-0000A4060000}"/>
    <cellStyle name="標準 83 2 4" xfId="1653" xr:uid="{00000000-0005-0000-0000-0000A5060000}"/>
    <cellStyle name="標準 83 2 5" xfId="1654" xr:uid="{00000000-0005-0000-0000-0000A6060000}"/>
    <cellStyle name="標準 83 3" xfId="1655" xr:uid="{00000000-0005-0000-0000-0000A7060000}"/>
    <cellStyle name="標準 83 3 2" xfId="1656" xr:uid="{00000000-0005-0000-0000-0000A8060000}"/>
    <cellStyle name="標準 83 3 3" xfId="1657" xr:uid="{00000000-0005-0000-0000-0000A9060000}"/>
    <cellStyle name="標準 83 3 4" xfId="1658" xr:uid="{00000000-0005-0000-0000-0000AA060000}"/>
    <cellStyle name="標準 83 4" xfId="1659" xr:uid="{00000000-0005-0000-0000-0000AB060000}"/>
    <cellStyle name="標準 83 5" xfId="1660" xr:uid="{00000000-0005-0000-0000-0000AC060000}"/>
    <cellStyle name="標準 83 6" xfId="1661" xr:uid="{00000000-0005-0000-0000-0000AD060000}"/>
    <cellStyle name="標準 84" xfId="1662" xr:uid="{00000000-0005-0000-0000-0000AE060000}"/>
    <cellStyle name="標準 84 2" xfId="1663" xr:uid="{00000000-0005-0000-0000-0000AF060000}"/>
    <cellStyle name="標準 84 2 2" xfId="1664" xr:uid="{00000000-0005-0000-0000-0000B0060000}"/>
    <cellStyle name="標準 84 2 2 2" xfId="1665" xr:uid="{00000000-0005-0000-0000-0000B1060000}"/>
    <cellStyle name="標準 84 2 2 3" xfId="1666" xr:uid="{00000000-0005-0000-0000-0000B2060000}"/>
    <cellStyle name="標準 84 2 2 4" xfId="1667" xr:uid="{00000000-0005-0000-0000-0000B3060000}"/>
    <cellStyle name="標準 84 2 3" xfId="1668" xr:uid="{00000000-0005-0000-0000-0000B4060000}"/>
    <cellStyle name="標準 84 2 4" xfId="1669" xr:uid="{00000000-0005-0000-0000-0000B5060000}"/>
    <cellStyle name="標準 84 2 5" xfId="1670" xr:uid="{00000000-0005-0000-0000-0000B6060000}"/>
    <cellStyle name="標準 84 3" xfId="1671" xr:uid="{00000000-0005-0000-0000-0000B7060000}"/>
    <cellStyle name="標準 84 3 2" xfId="1672" xr:uid="{00000000-0005-0000-0000-0000B8060000}"/>
    <cellStyle name="標準 84 3 3" xfId="1673" xr:uid="{00000000-0005-0000-0000-0000B9060000}"/>
    <cellStyle name="標準 84 3 4" xfId="1674" xr:uid="{00000000-0005-0000-0000-0000BA060000}"/>
    <cellStyle name="標準 84 4" xfId="1675" xr:uid="{00000000-0005-0000-0000-0000BB060000}"/>
    <cellStyle name="標準 84 5" xfId="1676" xr:uid="{00000000-0005-0000-0000-0000BC060000}"/>
    <cellStyle name="標準 84 6" xfId="1677" xr:uid="{00000000-0005-0000-0000-0000BD060000}"/>
    <cellStyle name="標準 85" xfId="1678" xr:uid="{00000000-0005-0000-0000-0000BE060000}"/>
    <cellStyle name="標準 85 2" xfId="1679" xr:uid="{00000000-0005-0000-0000-0000BF060000}"/>
    <cellStyle name="標準 85 2 2" xfId="1680" xr:uid="{00000000-0005-0000-0000-0000C0060000}"/>
    <cellStyle name="標準 85 2 2 2" xfId="1681" xr:uid="{00000000-0005-0000-0000-0000C1060000}"/>
    <cellStyle name="標準 85 2 2 3" xfId="1682" xr:uid="{00000000-0005-0000-0000-0000C2060000}"/>
    <cellStyle name="標準 85 2 2 4" xfId="1683" xr:uid="{00000000-0005-0000-0000-0000C3060000}"/>
    <cellStyle name="標準 85 2 3" xfId="1684" xr:uid="{00000000-0005-0000-0000-0000C4060000}"/>
    <cellStyle name="標準 85 2 4" xfId="1685" xr:uid="{00000000-0005-0000-0000-0000C5060000}"/>
    <cellStyle name="標準 85 2 5" xfId="1686" xr:uid="{00000000-0005-0000-0000-0000C6060000}"/>
    <cellStyle name="標準 85 3" xfId="1687" xr:uid="{00000000-0005-0000-0000-0000C7060000}"/>
    <cellStyle name="標準 85 3 2" xfId="1688" xr:uid="{00000000-0005-0000-0000-0000C8060000}"/>
    <cellStyle name="標準 85 3 3" xfId="1689" xr:uid="{00000000-0005-0000-0000-0000C9060000}"/>
    <cellStyle name="標準 85 3 4" xfId="1690" xr:uid="{00000000-0005-0000-0000-0000CA060000}"/>
    <cellStyle name="標準 85 4" xfId="1691" xr:uid="{00000000-0005-0000-0000-0000CB060000}"/>
    <cellStyle name="標準 85 5" xfId="1692" xr:uid="{00000000-0005-0000-0000-0000CC060000}"/>
    <cellStyle name="標準 85 6" xfId="1693" xr:uid="{00000000-0005-0000-0000-0000CD060000}"/>
    <cellStyle name="標準 86" xfId="1694" xr:uid="{00000000-0005-0000-0000-0000CE060000}"/>
    <cellStyle name="標準 86 2" xfId="1695" xr:uid="{00000000-0005-0000-0000-0000CF060000}"/>
    <cellStyle name="標準 86 2 2" xfId="1696" xr:uid="{00000000-0005-0000-0000-0000D0060000}"/>
    <cellStyle name="標準 86 2 2 2" xfId="1697" xr:uid="{00000000-0005-0000-0000-0000D1060000}"/>
    <cellStyle name="標準 86 2 2 3" xfId="1698" xr:uid="{00000000-0005-0000-0000-0000D2060000}"/>
    <cellStyle name="標準 86 2 2 4" xfId="1699" xr:uid="{00000000-0005-0000-0000-0000D3060000}"/>
    <cellStyle name="標準 86 2 3" xfId="1700" xr:uid="{00000000-0005-0000-0000-0000D4060000}"/>
    <cellStyle name="標準 86 2 4" xfId="1701" xr:uid="{00000000-0005-0000-0000-0000D5060000}"/>
    <cellStyle name="標準 86 2 5" xfId="1702" xr:uid="{00000000-0005-0000-0000-0000D6060000}"/>
    <cellStyle name="標準 86 3" xfId="1703" xr:uid="{00000000-0005-0000-0000-0000D7060000}"/>
    <cellStyle name="標準 86 3 2" xfId="1704" xr:uid="{00000000-0005-0000-0000-0000D8060000}"/>
    <cellStyle name="標準 86 3 3" xfId="1705" xr:uid="{00000000-0005-0000-0000-0000D9060000}"/>
    <cellStyle name="標準 86 3 4" xfId="1706" xr:uid="{00000000-0005-0000-0000-0000DA060000}"/>
    <cellStyle name="標準 86 4" xfId="1707" xr:uid="{00000000-0005-0000-0000-0000DB060000}"/>
    <cellStyle name="標準 86 5" xfId="1708" xr:uid="{00000000-0005-0000-0000-0000DC060000}"/>
    <cellStyle name="標準 86 6" xfId="1709" xr:uid="{00000000-0005-0000-0000-0000DD060000}"/>
    <cellStyle name="標準 87" xfId="1710" xr:uid="{00000000-0005-0000-0000-0000DE060000}"/>
    <cellStyle name="標準 87 2" xfId="1711" xr:uid="{00000000-0005-0000-0000-0000DF060000}"/>
    <cellStyle name="標準 87 2 2" xfId="1712" xr:uid="{00000000-0005-0000-0000-0000E0060000}"/>
    <cellStyle name="標準 87 2 2 2" xfId="1713" xr:uid="{00000000-0005-0000-0000-0000E1060000}"/>
    <cellStyle name="標準 87 2 2 3" xfId="1714" xr:uid="{00000000-0005-0000-0000-0000E2060000}"/>
    <cellStyle name="標準 87 2 2 4" xfId="1715" xr:uid="{00000000-0005-0000-0000-0000E3060000}"/>
    <cellStyle name="標準 87 2 3" xfId="1716" xr:uid="{00000000-0005-0000-0000-0000E4060000}"/>
    <cellStyle name="標準 87 2 4" xfId="1717" xr:uid="{00000000-0005-0000-0000-0000E5060000}"/>
    <cellStyle name="標準 87 2 5" xfId="1718" xr:uid="{00000000-0005-0000-0000-0000E6060000}"/>
    <cellStyle name="標準 87 3" xfId="1719" xr:uid="{00000000-0005-0000-0000-0000E7060000}"/>
    <cellStyle name="標準 87 3 2" xfId="1720" xr:uid="{00000000-0005-0000-0000-0000E8060000}"/>
    <cellStyle name="標準 87 3 3" xfId="1721" xr:uid="{00000000-0005-0000-0000-0000E9060000}"/>
    <cellStyle name="標準 87 3 4" xfId="1722" xr:uid="{00000000-0005-0000-0000-0000EA060000}"/>
    <cellStyle name="標準 87 4" xfId="1723" xr:uid="{00000000-0005-0000-0000-0000EB060000}"/>
    <cellStyle name="標準 87 5" xfId="1724" xr:uid="{00000000-0005-0000-0000-0000EC060000}"/>
    <cellStyle name="標準 87 6" xfId="1725" xr:uid="{00000000-0005-0000-0000-0000ED060000}"/>
    <cellStyle name="標準 88" xfId="1726" xr:uid="{00000000-0005-0000-0000-0000EE060000}"/>
    <cellStyle name="標準 88 2" xfId="1727" xr:uid="{00000000-0005-0000-0000-0000EF060000}"/>
    <cellStyle name="標準 88 2 2" xfId="1728" xr:uid="{00000000-0005-0000-0000-0000F0060000}"/>
    <cellStyle name="標準 88 2 2 2" xfId="1729" xr:uid="{00000000-0005-0000-0000-0000F1060000}"/>
    <cellStyle name="標準 88 2 2 3" xfId="1730" xr:uid="{00000000-0005-0000-0000-0000F2060000}"/>
    <cellStyle name="標準 88 2 2 4" xfId="1731" xr:uid="{00000000-0005-0000-0000-0000F3060000}"/>
    <cellStyle name="標準 88 2 3" xfId="1732" xr:uid="{00000000-0005-0000-0000-0000F4060000}"/>
    <cellStyle name="標準 88 2 4" xfId="1733" xr:uid="{00000000-0005-0000-0000-0000F5060000}"/>
    <cellStyle name="標準 88 2 5" xfId="1734" xr:uid="{00000000-0005-0000-0000-0000F6060000}"/>
    <cellStyle name="標準 88 3" xfId="1735" xr:uid="{00000000-0005-0000-0000-0000F7060000}"/>
    <cellStyle name="標準 88 3 2" xfId="1736" xr:uid="{00000000-0005-0000-0000-0000F8060000}"/>
    <cellStyle name="標準 88 3 3" xfId="1737" xr:uid="{00000000-0005-0000-0000-0000F9060000}"/>
    <cellStyle name="標準 88 3 4" xfId="1738" xr:uid="{00000000-0005-0000-0000-0000FA060000}"/>
    <cellStyle name="標準 88 4" xfId="1739" xr:uid="{00000000-0005-0000-0000-0000FB060000}"/>
    <cellStyle name="標準 88 5" xfId="1740" xr:uid="{00000000-0005-0000-0000-0000FC060000}"/>
    <cellStyle name="標準 88 6" xfId="1741" xr:uid="{00000000-0005-0000-0000-0000FD060000}"/>
    <cellStyle name="標準 89" xfId="1742" xr:uid="{00000000-0005-0000-0000-0000FE060000}"/>
    <cellStyle name="標準 89 2" xfId="1743" xr:uid="{00000000-0005-0000-0000-0000FF060000}"/>
    <cellStyle name="標準 89 2 2" xfId="1744" xr:uid="{00000000-0005-0000-0000-000000070000}"/>
    <cellStyle name="標準 89 2 2 2" xfId="1745" xr:uid="{00000000-0005-0000-0000-000001070000}"/>
    <cellStyle name="標準 89 2 2 3" xfId="1746" xr:uid="{00000000-0005-0000-0000-000002070000}"/>
    <cellStyle name="標準 89 2 2 4" xfId="1747" xr:uid="{00000000-0005-0000-0000-000003070000}"/>
    <cellStyle name="標準 89 2 3" xfId="1748" xr:uid="{00000000-0005-0000-0000-000004070000}"/>
    <cellStyle name="標準 89 2 4" xfId="1749" xr:uid="{00000000-0005-0000-0000-000005070000}"/>
    <cellStyle name="標準 89 2 5" xfId="1750" xr:uid="{00000000-0005-0000-0000-000006070000}"/>
    <cellStyle name="標準 89 3" xfId="1751" xr:uid="{00000000-0005-0000-0000-000007070000}"/>
    <cellStyle name="標準 89 3 2" xfId="1752" xr:uid="{00000000-0005-0000-0000-000008070000}"/>
    <cellStyle name="標準 89 3 3" xfId="1753" xr:uid="{00000000-0005-0000-0000-000009070000}"/>
    <cellStyle name="標準 89 3 4" xfId="1754" xr:uid="{00000000-0005-0000-0000-00000A070000}"/>
    <cellStyle name="標準 89 4" xfId="1755" xr:uid="{00000000-0005-0000-0000-00000B070000}"/>
    <cellStyle name="標準 89 5" xfId="1756" xr:uid="{00000000-0005-0000-0000-00000C070000}"/>
    <cellStyle name="標準 89 6" xfId="1757" xr:uid="{00000000-0005-0000-0000-00000D070000}"/>
    <cellStyle name="標準 9" xfId="1758" xr:uid="{00000000-0005-0000-0000-00000E070000}"/>
    <cellStyle name="標準 9 2" xfId="1759" xr:uid="{00000000-0005-0000-0000-00000F070000}"/>
    <cellStyle name="標準 9 3" xfId="1760" xr:uid="{00000000-0005-0000-0000-000010070000}"/>
    <cellStyle name="標準 90" xfId="1761" xr:uid="{00000000-0005-0000-0000-000011070000}"/>
    <cellStyle name="標準 90 2" xfId="1762" xr:uid="{00000000-0005-0000-0000-000012070000}"/>
    <cellStyle name="標準 90 2 2" xfId="1763" xr:uid="{00000000-0005-0000-0000-000013070000}"/>
    <cellStyle name="標準 90 2 2 2" xfId="1764" xr:uid="{00000000-0005-0000-0000-000014070000}"/>
    <cellStyle name="標準 90 2 2 3" xfId="1765" xr:uid="{00000000-0005-0000-0000-000015070000}"/>
    <cellStyle name="標準 90 2 2 4" xfId="1766" xr:uid="{00000000-0005-0000-0000-000016070000}"/>
    <cellStyle name="標準 90 2 3" xfId="1767" xr:uid="{00000000-0005-0000-0000-000017070000}"/>
    <cellStyle name="標準 90 2 4" xfId="1768" xr:uid="{00000000-0005-0000-0000-000018070000}"/>
    <cellStyle name="標準 90 2 5" xfId="1769" xr:uid="{00000000-0005-0000-0000-000019070000}"/>
    <cellStyle name="標準 90 3" xfId="1770" xr:uid="{00000000-0005-0000-0000-00001A070000}"/>
    <cellStyle name="標準 90 3 2" xfId="1771" xr:uid="{00000000-0005-0000-0000-00001B070000}"/>
    <cellStyle name="標準 90 3 3" xfId="1772" xr:uid="{00000000-0005-0000-0000-00001C070000}"/>
    <cellStyle name="標準 90 3 4" xfId="1773" xr:uid="{00000000-0005-0000-0000-00001D070000}"/>
    <cellStyle name="標準 90 4" xfId="1774" xr:uid="{00000000-0005-0000-0000-00001E070000}"/>
    <cellStyle name="標準 90 5" xfId="1775" xr:uid="{00000000-0005-0000-0000-00001F070000}"/>
    <cellStyle name="標準 90 6" xfId="1776" xr:uid="{00000000-0005-0000-0000-000020070000}"/>
    <cellStyle name="標準 91" xfId="1777" xr:uid="{00000000-0005-0000-0000-000021070000}"/>
    <cellStyle name="標準 91 2" xfId="1778" xr:uid="{00000000-0005-0000-0000-000022070000}"/>
    <cellStyle name="標準 91 2 2" xfId="1779" xr:uid="{00000000-0005-0000-0000-000023070000}"/>
    <cellStyle name="標準 91 2 2 2" xfId="1780" xr:uid="{00000000-0005-0000-0000-000024070000}"/>
    <cellStyle name="標準 91 2 2 3" xfId="1781" xr:uid="{00000000-0005-0000-0000-000025070000}"/>
    <cellStyle name="標準 91 2 2 4" xfId="1782" xr:uid="{00000000-0005-0000-0000-000026070000}"/>
    <cellStyle name="標準 91 2 3" xfId="1783" xr:uid="{00000000-0005-0000-0000-000027070000}"/>
    <cellStyle name="標準 91 2 4" xfId="1784" xr:uid="{00000000-0005-0000-0000-000028070000}"/>
    <cellStyle name="標準 91 2 5" xfId="1785" xr:uid="{00000000-0005-0000-0000-000029070000}"/>
    <cellStyle name="標準 91 3" xfId="1786" xr:uid="{00000000-0005-0000-0000-00002A070000}"/>
    <cellStyle name="標準 91 3 2" xfId="1787" xr:uid="{00000000-0005-0000-0000-00002B070000}"/>
    <cellStyle name="標準 91 3 3" xfId="1788" xr:uid="{00000000-0005-0000-0000-00002C070000}"/>
    <cellStyle name="標準 91 3 4" xfId="1789" xr:uid="{00000000-0005-0000-0000-00002D070000}"/>
    <cellStyle name="標準 91 4" xfId="1790" xr:uid="{00000000-0005-0000-0000-00002E070000}"/>
    <cellStyle name="標準 91 5" xfId="1791" xr:uid="{00000000-0005-0000-0000-00002F070000}"/>
    <cellStyle name="標準 91 6" xfId="1792" xr:uid="{00000000-0005-0000-0000-000030070000}"/>
    <cellStyle name="標準 92" xfId="1793" xr:uid="{00000000-0005-0000-0000-000031070000}"/>
    <cellStyle name="標準 92 2" xfId="1794" xr:uid="{00000000-0005-0000-0000-000032070000}"/>
    <cellStyle name="標準 92 2 2" xfId="1795" xr:uid="{00000000-0005-0000-0000-000033070000}"/>
    <cellStyle name="標準 92 2 2 2" xfId="1796" xr:uid="{00000000-0005-0000-0000-000034070000}"/>
    <cellStyle name="標準 92 2 2 3" xfId="1797" xr:uid="{00000000-0005-0000-0000-000035070000}"/>
    <cellStyle name="標準 92 2 2 4" xfId="1798" xr:uid="{00000000-0005-0000-0000-000036070000}"/>
    <cellStyle name="標準 92 2 3" xfId="1799" xr:uid="{00000000-0005-0000-0000-000037070000}"/>
    <cellStyle name="標準 92 2 4" xfId="1800" xr:uid="{00000000-0005-0000-0000-000038070000}"/>
    <cellStyle name="標準 92 2 5" xfId="1801" xr:uid="{00000000-0005-0000-0000-000039070000}"/>
    <cellStyle name="標準 92 3" xfId="1802" xr:uid="{00000000-0005-0000-0000-00003A070000}"/>
    <cellStyle name="標準 92 3 2" xfId="1803" xr:uid="{00000000-0005-0000-0000-00003B070000}"/>
    <cellStyle name="標準 92 3 3" xfId="1804" xr:uid="{00000000-0005-0000-0000-00003C070000}"/>
    <cellStyle name="標準 92 3 4" xfId="1805" xr:uid="{00000000-0005-0000-0000-00003D070000}"/>
    <cellStyle name="標準 92 4" xfId="1806" xr:uid="{00000000-0005-0000-0000-00003E070000}"/>
    <cellStyle name="標準 92 5" xfId="1807" xr:uid="{00000000-0005-0000-0000-00003F070000}"/>
    <cellStyle name="標準 92 6" xfId="1808" xr:uid="{00000000-0005-0000-0000-000040070000}"/>
    <cellStyle name="標準 93" xfId="1809" xr:uid="{00000000-0005-0000-0000-000041070000}"/>
    <cellStyle name="標準 93 2" xfId="1810" xr:uid="{00000000-0005-0000-0000-000042070000}"/>
    <cellStyle name="標準 93 2 2" xfId="1811" xr:uid="{00000000-0005-0000-0000-000043070000}"/>
    <cellStyle name="標準 93 2 2 2" xfId="1812" xr:uid="{00000000-0005-0000-0000-000044070000}"/>
    <cellStyle name="標準 93 2 2 3" xfId="1813" xr:uid="{00000000-0005-0000-0000-000045070000}"/>
    <cellStyle name="標準 93 2 2 4" xfId="1814" xr:uid="{00000000-0005-0000-0000-000046070000}"/>
    <cellStyle name="標準 93 2 3" xfId="1815" xr:uid="{00000000-0005-0000-0000-000047070000}"/>
    <cellStyle name="標準 93 2 4" xfId="1816" xr:uid="{00000000-0005-0000-0000-000048070000}"/>
    <cellStyle name="標準 93 2 5" xfId="1817" xr:uid="{00000000-0005-0000-0000-000049070000}"/>
    <cellStyle name="標準 93 3" xfId="1818" xr:uid="{00000000-0005-0000-0000-00004A070000}"/>
    <cellStyle name="標準 93 3 2" xfId="1819" xr:uid="{00000000-0005-0000-0000-00004B070000}"/>
    <cellStyle name="標準 93 3 3" xfId="1820" xr:uid="{00000000-0005-0000-0000-00004C070000}"/>
    <cellStyle name="標準 93 3 4" xfId="1821" xr:uid="{00000000-0005-0000-0000-00004D070000}"/>
    <cellStyle name="標準 93 4" xfId="1822" xr:uid="{00000000-0005-0000-0000-00004E070000}"/>
    <cellStyle name="標準 93 5" xfId="1823" xr:uid="{00000000-0005-0000-0000-00004F070000}"/>
    <cellStyle name="標準 93 6" xfId="1824" xr:uid="{00000000-0005-0000-0000-000050070000}"/>
    <cellStyle name="標準 94" xfId="1825" xr:uid="{00000000-0005-0000-0000-000051070000}"/>
    <cellStyle name="標準 94 2" xfId="1826" xr:uid="{00000000-0005-0000-0000-000052070000}"/>
    <cellStyle name="標準 94 2 2" xfId="1827" xr:uid="{00000000-0005-0000-0000-000053070000}"/>
    <cellStyle name="標準 94 2 2 2" xfId="1828" xr:uid="{00000000-0005-0000-0000-000054070000}"/>
    <cellStyle name="標準 94 2 2 3" xfId="1829" xr:uid="{00000000-0005-0000-0000-000055070000}"/>
    <cellStyle name="標準 94 2 2 4" xfId="1830" xr:uid="{00000000-0005-0000-0000-000056070000}"/>
    <cellStyle name="標準 94 2 3" xfId="1831" xr:uid="{00000000-0005-0000-0000-000057070000}"/>
    <cellStyle name="標準 94 2 4" xfId="1832" xr:uid="{00000000-0005-0000-0000-000058070000}"/>
    <cellStyle name="標準 94 2 5" xfId="1833" xr:uid="{00000000-0005-0000-0000-000059070000}"/>
    <cellStyle name="標準 94 3" xfId="1834" xr:uid="{00000000-0005-0000-0000-00005A070000}"/>
    <cellStyle name="標準 94 3 2" xfId="1835" xr:uid="{00000000-0005-0000-0000-00005B070000}"/>
    <cellStyle name="標準 94 3 3" xfId="1836" xr:uid="{00000000-0005-0000-0000-00005C070000}"/>
    <cellStyle name="標準 94 3 4" xfId="1837" xr:uid="{00000000-0005-0000-0000-00005D070000}"/>
    <cellStyle name="標準 94 4" xfId="1838" xr:uid="{00000000-0005-0000-0000-00005E070000}"/>
    <cellStyle name="標準 94 5" xfId="1839" xr:uid="{00000000-0005-0000-0000-00005F070000}"/>
    <cellStyle name="標準 94 6" xfId="1840" xr:uid="{00000000-0005-0000-0000-000060070000}"/>
    <cellStyle name="標準 95" xfId="1841" xr:uid="{00000000-0005-0000-0000-000061070000}"/>
    <cellStyle name="標準 95 2" xfId="1842" xr:uid="{00000000-0005-0000-0000-000062070000}"/>
    <cellStyle name="標準 95 2 2" xfId="1843" xr:uid="{00000000-0005-0000-0000-000063070000}"/>
    <cellStyle name="標準 95 2 2 2" xfId="1844" xr:uid="{00000000-0005-0000-0000-000064070000}"/>
    <cellStyle name="標準 95 2 2 3" xfId="1845" xr:uid="{00000000-0005-0000-0000-000065070000}"/>
    <cellStyle name="標準 95 2 2 4" xfId="1846" xr:uid="{00000000-0005-0000-0000-000066070000}"/>
    <cellStyle name="標準 95 2 3" xfId="1847" xr:uid="{00000000-0005-0000-0000-000067070000}"/>
    <cellStyle name="標準 95 2 4" xfId="1848" xr:uid="{00000000-0005-0000-0000-000068070000}"/>
    <cellStyle name="標準 95 2 5" xfId="1849" xr:uid="{00000000-0005-0000-0000-000069070000}"/>
    <cellStyle name="標準 95 3" xfId="1850" xr:uid="{00000000-0005-0000-0000-00006A070000}"/>
    <cellStyle name="標準 95 3 2" xfId="1851" xr:uid="{00000000-0005-0000-0000-00006B070000}"/>
    <cellStyle name="標準 95 3 3" xfId="1852" xr:uid="{00000000-0005-0000-0000-00006C070000}"/>
    <cellStyle name="標準 95 3 4" xfId="1853" xr:uid="{00000000-0005-0000-0000-00006D070000}"/>
    <cellStyle name="標準 95 4" xfId="1854" xr:uid="{00000000-0005-0000-0000-00006E070000}"/>
    <cellStyle name="標準 95 5" xfId="1855" xr:uid="{00000000-0005-0000-0000-00006F070000}"/>
    <cellStyle name="標準 95 6" xfId="1856" xr:uid="{00000000-0005-0000-0000-000070070000}"/>
    <cellStyle name="標準 96" xfId="1857" xr:uid="{00000000-0005-0000-0000-000071070000}"/>
    <cellStyle name="標準 96 2" xfId="1858" xr:uid="{00000000-0005-0000-0000-000072070000}"/>
    <cellStyle name="標準 96 2 2" xfId="1859" xr:uid="{00000000-0005-0000-0000-000073070000}"/>
    <cellStyle name="標準 96 2 2 2" xfId="1860" xr:uid="{00000000-0005-0000-0000-000074070000}"/>
    <cellStyle name="標準 96 2 2 3" xfId="1861" xr:uid="{00000000-0005-0000-0000-000075070000}"/>
    <cellStyle name="標準 96 2 2 4" xfId="1862" xr:uid="{00000000-0005-0000-0000-000076070000}"/>
    <cellStyle name="標準 96 2 3" xfId="1863" xr:uid="{00000000-0005-0000-0000-000077070000}"/>
    <cellStyle name="標準 96 2 4" xfId="1864" xr:uid="{00000000-0005-0000-0000-000078070000}"/>
    <cellStyle name="標準 96 2 5" xfId="1865" xr:uid="{00000000-0005-0000-0000-000079070000}"/>
    <cellStyle name="標準 96 3" xfId="1866" xr:uid="{00000000-0005-0000-0000-00007A070000}"/>
    <cellStyle name="標準 96 3 2" xfId="1867" xr:uid="{00000000-0005-0000-0000-00007B070000}"/>
    <cellStyle name="標準 96 3 3" xfId="1868" xr:uid="{00000000-0005-0000-0000-00007C070000}"/>
    <cellStyle name="標準 96 3 4" xfId="1869" xr:uid="{00000000-0005-0000-0000-00007D070000}"/>
    <cellStyle name="標準 96 4" xfId="1870" xr:uid="{00000000-0005-0000-0000-00007E070000}"/>
    <cellStyle name="標準 96 5" xfId="1871" xr:uid="{00000000-0005-0000-0000-00007F070000}"/>
    <cellStyle name="標準 96 6" xfId="1872" xr:uid="{00000000-0005-0000-0000-000080070000}"/>
    <cellStyle name="標準 97" xfId="1873" xr:uid="{00000000-0005-0000-0000-000081070000}"/>
    <cellStyle name="標準 97 2" xfId="1874" xr:uid="{00000000-0005-0000-0000-000082070000}"/>
    <cellStyle name="標準 97 2 2" xfId="1875" xr:uid="{00000000-0005-0000-0000-000083070000}"/>
    <cellStyle name="標準 97 2 2 2" xfId="1876" xr:uid="{00000000-0005-0000-0000-000084070000}"/>
    <cellStyle name="標準 97 2 2 3" xfId="1877" xr:uid="{00000000-0005-0000-0000-000085070000}"/>
    <cellStyle name="標準 97 2 2 4" xfId="1878" xr:uid="{00000000-0005-0000-0000-000086070000}"/>
    <cellStyle name="標準 97 2 3" xfId="1879" xr:uid="{00000000-0005-0000-0000-000087070000}"/>
    <cellStyle name="標準 97 2 4" xfId="1880" xr:uid="{00000000-0005-0000-0000-000088070000}"/>
    <cellStyle name="標準 97 2 5" xfId="1881" xr:uid="{00000000-0005-0000-0000-000089070000}"/>
    <cellStyle name="標準 97 3" xfId="1882" xr:uid="{00000000-0005-0000-0000-00008A070000}"/>
    <cellStyle name="標準 97 3 2" xfId="1883" xr:uid="{00000000-0005-0000-0000-00008B070000}"/>
    <cellStyle name="標準 97 3 3" xfId="1884" xr:uid="{00000000-0005-0000-0000-00008C070000}"/>
    <cellStyle name="標準 97 3 4" xfId="1885" xr:uid="{00000000-0005-0000-0000-00008D070000}"/>
    <cellStyle name="標準 97 4" xfId="1886" xr:uid="{00000000-0005-0000-0000-00008E070000}"/>
    <cellStyle name="標準 97 5" xfId="1887" xr:uid="{00000000-0005-0000-0000-00008F070000}"/>
    <cellStyle name="標準 97 6" xfId="1888" xr:uid="{00000000-0005-0000-0000-000090070000}"/>
    <cellStyle name="標準 98" xfId="1889" xr:uid="{00000000-0005-0000-0000-000091070000}"/>
    <cellStyle name="標準 98 2" xfId="1890" xr:uid="{00000000-0005-0000-0000-000092070000}"/>
    <cellStyle name="標準 98 2 2" xfId="1891" xr:uid="{00000000-0005-0000-0000-000093070000}"/>
    <cellStyle name="標準 98 2 2 2" xfId="1892" xr:uid="{00000000-0005-0000-0000-000094070000}"/>
    <cellStyle name="標準 98 2 2 3" xfId="1893" xr:uid="{00000000-0005-0000-0000-000095070000}"/>
    <cellStyle name="標準 98 2 2 4" xfId="1894" xr:uid="{00000000-0005-0000-0000-000096070000}"/>
    <cellStyle name="標準 98 2 3" xfId="1895" xr:uid="{00000000-0005-0000-0000-000097070000}"/>
    <cellStyle name="標準 98 2 4" xfId="1896" xr:uid="{00000000-0005-0000-0000-000098070000}"/>
    <cellStyle name="標準 98 2 5" xfId="1897" xr:uid="{00000000-0005-0000-0000-000099070000}"/>
    <cellStyle name="標準 98 3" xfId="1898" xr:uid="{00000000-0005-0000-0000-00009A070000}"/>
    <cellStyle name="標準 98 3 2" xfId="1899" xr:uid="{00000000-0005-0000-0000-00009B070000}"/>
    <cellStyle name="標準 98 3 3" xfId="1900" xr:uid="{00000000-0005-0000-0000-00009C070000}"/>
    <cellStyle name="標準 98 3 4" xfId="1901" xr:uid="{00000000-0005-0000-0000-00009D070000}"/>
    <cellStyle name="標準 98 4" xfId="1902" xr:uid="{00000000-0005-0000-0000-00009E070000}"/>
    <cellStyle name="標準 98 5" xfId="1903" xr:uid="{00000000-0005-0000-0000-00009F070000}"/>
    <cellStyle name="標準 98 6" xfId="1904" xr:uid="{00000000-0005-0000-0000-0000A0070000}"/>
    <cellStyle name="標準 99" xfId="1905" xr:uid="{00000000-0005-0000-0000-0000A1070000}"/>
    <cellStyle name="標準 99 2" xfId="1906" xr:uid="{00000000-0005-0000-0000-0000A2070000}"/>
    <cellStyle name="標準 99 2 2" xfId="1907" xr:uid="{00000000-0005-0000-0000-0000A3070000}"/>
    <cellStyle name="標準 99 2 2 2" xfId="1908" xr:uid="{00000000-0005-0000-0000-0000A4070000}"/>
    <cellStyle name="標準 99 2 2 3" xfId="1909" xr:uid="{00000000-0005-0000-0000-0000A5070000}"/>
    <cellStyle name="標準 99 2 2 4" xfId="1910" xr:uid="{00000000-0005-0000-0000-0000A6070000}"/>
    <cellStyle name="標準 99 2 3" xfId="1911" xr:uid="{00000000-0005-0000-0000-0000A7070000}"/>
    <cellStyle name="標準 99 2 4" xfId="1912" xr:uid="{00000000-0005-0000-0000-0000A8070000}"/>
    <cellStyle name="標準 99 2 5" xfId="1913" xr:uid="{00000000-0005-0000-0000-0000A9070000}"/>
    <cellStyle name="標準 99 3" xfId="1914" xr:uid="{00000000-0005-0000-0000-0000AA070000}"/>
    <cellStyle name="標準 99 3 2" xfId="1915" xr:uid="{00000000-0005-0000-0000-0000AB070000}"/>
    <cellStyle name="標準 99 3 3" xfId="1916" xr:uid="{00000000-0005-0000-0000-0000AC070000}"/>
    <cellStyle name="標準 99 3 4" xfId="1917" xr:uid="{00000000-0005-0000-0000-0000AD070000}"/>
    <cellStyle name="標準 99 4" xfId="1918" xr:uid="{00000000-0005-0000-0000-0000AE070000}"/>
    <cellStyle name="標準 99 5" xfId="1919" xr:uid="{00000000-0005-0000-0000-0000AF070000}"/>
    <cellStyle name="標準 99 6" xfId="1920" xr:uid="{00000000-0005-0000-0000-0000B0070000}"/>
    <cellStyle name="標準１" xfId="1921" xr:uid="{00000000-0005-0000-0000-0000B1070000}"/>
    <cellStyle name="標準10" xfId="1922" xr:uid="{00000000-0005-0000-0000-0000B2070000}"/>
    <cellStyle name="標準12" xfId="1923" xr:uid="{00000000-0005-0000-0000-0000B3070000}"/>
    <cellStyle name="文字列" xfId="1924" xr:uid="{00000000-0005-0000-0000-0000B4070000}"/>
    <cellStyle name="未定義" xfId="1925" xr:uid="{00000000-0005-0000-0000-0000B5070000}"/>
    <cellStyle name="未定義 2" xfId="1926" xr:uid="{00000000-0005-0000-0000-0000B6070000}"/>
    <cellStyle name="未定義 3" xfId="1927" xr:uid="{00000000-0005-0000-0000-0000B7070000}"/>
    <cellStyle name="未定義_030_上場有価証券総括表_詳細設計書_府令改正対応" xfId="1928" xr:uid="{00000000-0005-0000-0000-0000B8070000}"/>
    <cellStyle name="良い 2" xfId="1929" xr:uid="{00000000-0005-0000-0000-0000B9070000}"/>
    <cellStyle name="良い 3" xfId="1930" xr:uid="{00000000-0005-0000-0000-0000BA070000}"/>
    <cellStyle name="良い 4" xfId="1931" xr:uid="{00000000-0005-0000-0000-0000BB070000}"/>
    <cellStyle name="良い 5" xfId="1932" xr:uid="{00000000-0005-0000-0000-0000BC070000}"/>
    <cellStyle name="良い 6" xfId="1933" xr:uid="{00000000-0005-0000-0000-0000BD070000}"/>
    <cellStyle name="良い 7" xfId="1934" xr:uid="{00000000-0005-0000-0000-0000BE070000}"/>
    <cellStyle name="良い 8" xfId="1935" xr:uid="{00000000-0005-0000-0000-0000BF070000}"/>
    <cellStyle name="良い 9" xfId="1936" xr:uid="{00000000-0005-0000-0000-0000C0070000}"/>
    <cellStyle name="표준_4.3.1_取引処理（取引処理制御１－１）" xfId="1937" xr:uid="{00000000-0005-0000-0000-0000C1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FE1DE-3F75-4E77-84AF-1C6BE5129F9C}">
  <sheetPr>
    <pageSetUpPr fitToPage="1"/>
  </sheetPr>
  <dimension ref="A1:X283"/>
  <sheetViews>
    <sheetView showGridLines="0" tabSelected="1" view="pageBreakPreview" zoomScaleNormal="70" zoomScaleSheetLayoutView="100" workbookViewId="0">
      <pane ySplit="6" topLeftCell="A7" activePane="bottomLeft" state="frozen"/>
      <selection pane="bottomLeft"/>
    </sheetView>
  </sheetViews>
  <sheetFormatPr defaultColWidth="9" defaultRowHeight="13.2"/>
  <cols>
    <col min="1" max="1" width="13.109375" style="1" bestFit="1" customWidth="1"/>
    <col min="2" max="2" width="10.77734375" style="1" bestFit="1" customWidth="1"/>
    <col min="3" max="4" width="27.6640625" style="1" customWidth="1"/>
    <col min="5" max="5" width="13.77734375" style="1" bestFit="1" customWidth="1"/>
    <col min="6" max="6" width="20.77734375" style="1" bestFit="1" customWidth="1"/>
    <col min="7" max="7" width="11.21875" style="1" customWidth="1"/>
    <col min="8" max="8" width="8.77734375" style="1" bestFit="1" customWidth="1"/>
    <col min="9" max="9" width="11.77734375" style="1" bestFit="1" customWidth="1"/>
    <col min="10" max="10" width="12.6640625" style="1" bestFit="1" customWidth="1"/>
    <col min="11" max="11" width="16.21875" style="1" customWidth="1"/>
    <col min="12" max="12" width="5.6640625" style="1" bestFit="1" customWidth="1"/>
    <col min="13" max="13" width="16.21875" style="1" customWidth="1"/>
    <col min="14" max="14" width="5.6640625" style="1" bestFit="1" customWidth="1"/>
    <col min="15" max="15" width="16.21875" style="1" customWidth="1"/>
    <col min="16" max="16" width="5.6640625" style="1" bestFit="1" customWidth="1"/>
    <col min="17" max="17" width="16.21875" style="1" customWidth="1"/>
    <col min="18" max="18" width="5.6640625" style="1" bestFit="1" customWidth="1"/>
    <col min="19" max="19" width="23.88671875" style="1" bestFit="1" customWidth="1"/>
    <col min="20" max="20" width="16.21875" style="1" customWidth="1"/>
    <col min="21" max="21" width="24.109375" style="1" customWidth="1"/>
    <col min="22" max="22" width="19.88671875" style="1" bestFit="1" customWidth="1"/>
    <col min="23" max="23" width="25" style="1" bestFit="1" customWidth="1"/>
    <col min="24" max="24" width="13.109375" style="1" bestFit="1" customWidth="1"/>
    <col min="25" max="16384" width="9" style="1"/>
  </cols>
  <sheetData>
    <row r="1" spans="1:24" ht="13.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70" t="s">
        <v>22</v>
      </c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4" ht="99" customHeight="1">
      <c r="A2" s="76" t="s">
        <v>23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2"/>
      <c r="O2" s="72"/>
      <c r="P2" s="72"/>
      <c r="Q2" s="72"/>
      <c r="R2" s="72"/>
      <c r="S2" s="72"/>
      <c r="T2" s="72"/>
      <c r="U2" s="72"/>
      <c r="V2" s="72"/>
      <c r="W2" s="72"/>
      <c r="X2" s="73"/>
    </row>
    <row r="3" spans="1:24" ht="39" customHeight="1">
      <c r="A3" s="78" t="s">
        <v>24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</row>
    <row r="4" spans="1:24" s="2" customFormat="1" ht="13.5" customHeight="1">
      <c r="A4" s="40" t="s">
        <v>25</v>
      </c>
      <c r="B4" s="40" t="s">
        <v>0</v>
      </c>
      <c r="C4" s="40"/>
      <c r="D4" s="40"/>
      <c r="E4" s="41"/>
      <c r="F4" s="42"/>
      <c r="G4" s="43" t="s">
        <v>2</v>
      </c>
      <c r="H4" s="40" t="s">
        <v>26</v>
      </c>
      <c r="I4" s="40" t="s">
        <v>3</v>
      </c>
      <c r="J4" s="40" t="s">
        <v>4</v>
      </c>
      <c r="K4" s="44" t="s">
        <v>5</v>
      </c>
      <c r="L4" s="43" t="s">
        <v>2</v>
      </c>
      <c r="M4" s="44" t="s">
        <v>6</v>
      </c>
      <c r="N4" s="43" t="s">
        <v>2</v>
      </c>
      <c r="O4" s="44" t="s">
        <v>7</v>
      </c>
      <c r="P4" s="43" t="s">
        <v>2</v>
      </c>
      <c r="Q4" s="44" t="s">
        <v>8</v>
      </c>
      <c r="R4" s="43" t="s">
        <v>2</v>
      </c>
      <c r="S4" s="40" t="s">
        <v>9</v>
      </c>
      <c r="T4" s="40" t="s">
        <v>10</v>
      </c>
      <c r="U4" s="45" t="s">
        <v>11</v>
      </c>
      <c r="V4" s="40" t="s">
        <v>12</v>
      </c>
      <c r="W4" s="40" t="s">
        <v>13</v>
      </c>
      <c r="X4" s="40" t="s">
        <v>14</v>
      </c>
    </row>
    <row r="5" spans="1:24">
      <c r="A5" s="46" t="s">
        <v>27</v>
      </c>
      <c r="B5" s="46" t="s">
        <v>28</v>
      </c>
      <c r="C5" s="46" t="s">
        <v>29</v>
      </c>
      <c r="D5" s="46" t="s">
        <v>1</v>
      </c>
      <c r="E5" s="47" t="s">
        <v>30</v>
      </c>
      <c r="F5" s="48" t="s">
        <v>31</v>
      </c>
      <c r="G5" s="49" t="s">
        <v>32</v>
      </c>
      <c r="H5" s="50" t="s">
        <v>33</v>
      </c>
      <c r="I5" s="50" t="s">
        <v>15</v>
      </c>
      <c r="J5" s="50" t="s">
        <v>34</v>
      </c>
      <c r="K5" s="51" t="s">
        <v>16</v>
      </c>
      <c r="L5" s="49" t="s">
        <v>32</v>
      </c>
      <c r="M5" s="51" t="s">
        <v>35</v>
      </c>
      <c r="N5" s="49" t="s">
        <v>32</v>
      </c>
      <c r="O5" s="51" t="s">
        <v>17</v>
      </c>
      <c r="P5" s="49" t="s">
        <v>32</v>
      </c>
      <c r="Q5" s="51" t="s">
        <v>18</v>
      </c>
      <c r="R5" s="49" t="s">
        <v>32</v>
      </c>
      <c r="S5" s="52" t="s">
        <v>36</v>
      </c>
      <c r="T5" s="52" t="s">
        <v>19</v>
      </c>
      <c r="U5" s="46" t="s">
        <v>37</v>
      </c>
      <c r="V5" s="52" t="s">
        <v>20</v>
      </c>
      <c r="W5" s="52" t="s">
        <v>38</v>
      </c>
      <c r="X5" s="52" t="s">
        <v>39</v>
      </c>
    </row>
    <row r="6" spans="1:24">
      <c r="A6" s="53"/>
      <c r="B6" s="53"/>
      <c r="C6" s="53"/>
      <c r="D6" s="53"/>
      <c r="E6" s="54"/>
      <c r="F6" s="55"/>
      <c r="G6" s="56"/>
      <c r="H6" s="57"/>
      <c r="I6" s="57"/>
      <c r="J6" s="57" t="s">
        <v>40</v>
      </c>
      <c r="K6" s="58" t="s">
        <v>41</v>
      </c>
      <c r="L6" s="59"/>
      <c r="M6" s="58" t="s">
        <v>41</v>
      </c>
      <c r="N6" s="59"/>
      <c r="O6" s="58" t="s">
        <v>41</v>
      </c>
      <c r="P6" s="59"/>
      <c r="Q6" s="58" t="s">
        <v>41</v>
      </c>
      <c r="R6" s="59"/>
      <c r="S6" s="58" t="s">
        <v>41</v>
      </c>
      <c r="T6" s="57" t="s">
        <v>21</v>
      </c>
      <c r="U6" s="57" t="s">
        <v>21</v>
      </c>
      <c r="V6" s="58" t="s">
        <v>41</v>
      </c>
      <c r="W6" s="58" t="s">
        <v>41</v>
      </c>
      <c r="X6" s="57"/>
    </row>
    <row r="7" spans="1:24" s="28" customFormat="1" ht="13.5" customHeight="1">
      <c r="A7" s="60" t="s">
        <v>958</v>
      </c>
      <c r="B7" s="60" t="s">
        <v>43</v>
      </c>
      <c r="C7" s="60" t="s">
        <v>44</v>
      </c>
      <c r="D7" s="60" t="s">
        <v>45</v>
      </c>
      <c r="E7" s="61" t="s">
        <v>46</v>
      </c>
      <c r="F7" s="62" t="s">
        <v>46</v>
      </c>
      <c r="G7" s="63" t="s">
        <v>46</v>
      </c>
      <c r="H7" s="64"/>
      <c r="I7" s="64" t="s">
        <v>47</v>
      </c>
      <c r="J7" s="65">
        <v>10</v>
      </c>
      <c r="K7" s="66">
        <v>2027</v>
      </c>
      <c r="L7" s="67" t="s">
        <v>853</v>
      </c>
      <c r="M7" s="66">
        <v>2119</v>
      </c>
      <c r="N7" s="67" t="s">
        <v>854</v>
      </c>
      <c r="O7" s="66">
        <v>2015</v>
      </c>
      <c r="P7" s="67" t="s">
        <v>853</v>
      </c>
      <c r="Q7" s="66">
        <v>2097</v>
      </c>
      <c r="R7" s="67" t="s">
        <v>873</v>
      </c>
      <c r="S7" s="68">
        <v>2079.3200000000002</v>
      </c>
      <c r="T7" s="65">
        <v>4059250</v>
      </c>
      <c r="U7" s="65">
        <v>819490</v>
      </c>
      <c r="V7" s="65">
        <v>8421703960</v>
      </c>
      <c r="W7" s="65">
        <v>1703033785</v>
      </c>
      <c r="X7" s="69">
        <v>22</v>
      </c>
    </row>
    <row r="8" spans="1:24">
      <c r="A8" s="60" t="s">
        <v>958</v>
      </c>
      <c r="B8" s="60" t="s">
        <v>51</v>
      </c>
      <c r="C8" s="60" t="s">
        <v>52</v>
      </c>
      <c r="D8" s="60" t="s">
        <v>53</v>
      </c>
      <c r="E8" s="61" t="s">
        <v>46</v>
      </c>
      <c r="F8" s="62" t="s">
        <v>46</v>
      </c>
      <c r="G8" s="63" t="s">
        <v>46</v>
      </c>
      <c r="H8" s="64"/>
      <c r="I8" s="64" t="s">
        <v>47</v>
      </c>
      <c r="J8" s="65">
        <v>10</v>
      </c>
      <c r="K8" s="66">
        <v>2003.5</v>
      </c>
      <c r="L8" s="67" t="s">
        <v>853</v>
      </c>
      <c r="M8" s="66">
        <v>2096.5</v>
      </c>
      <c r="N8" s="67" t="s">
        <v>854</v>
      </c>
      <c r="O8" s="66">
        <v>1990</v>
      </c>
      <c r="P8" s="67" t="s">
        <v>853</v>
      </c>
      <c r="Q8" s="66">
        <v>2073.5</v>
      </c>
      <c r="R8" s="67" t="s">
        <v>873</v>
      </c>
      <c r="S8" s="68">
        <v>2056.14</v>
      </c>
      <c r="T8" s="65">
        <v>43501900</v>
      </c>
      <c r="U8" s="65">
        <v>4724080</v>
      </c>
      <c r="V8" s="65">
        <v>89259108980</v>
      </c>
      <c r="W8" s="65">
        <v>9731067210</v>
      </c>
      <c r="X8" s="69">
        <v>22</v>
      </c>
    </row>
    <row r="9" spans="1:24">
      <c r="A9" s="60" t="s">
        <v>958</v>
      </c>
      <c r="B9" s="60" t="s">
        <v>54</v>
      </c>
      <c r="C9" s="60" t="s">
        <v>55</v>
      </c>
      <c r="D9" s="60" t="s">
        <v>56</v>
      </c>
      <c r="E9" s="61" t="s">
        <v>46</v>
      </c>
      <c r="F9" s="62" t="s">
        <v>46</v>
      </c>
      <c r="G9" s="63" t="s">
        <v>46</v>
      </c>
      <c r="H9" s="64"/>
      <c r="I9" s="64" t="s">
        <v>47</v>
      </c>
      <c r="J9" s="65">
        <v>100</v>
      </c>
      <c r="K9" s="66">
        <v>1982.5</v>
      </c>
      <c r="L9" s="67" t="s">
        <v>853</v>
      </c>
      <c r="M9" s="66">
        <v>2073</v>
      </c>
      <c r="N9" s="67" t="s">
        <v>854</v>
      </c>
      <c r="O9" s="66">
        <v>1969.5</v>
      </c>
      <c r="P9" s="67" t="s">
        <v>853</v>
      </c>
      <c r="Q9" s="66">
        <v>2053</v>
      </c>
      <c r="R9" s="67" t="s">
        <v>873</v>
      </c>
      <c r="S9" s="68">
        <v>2034.2</v>
      </c>
      <c r="T9" s="65">
        <v>5278300</v>
      </c>
      <c r="U9" s="65">
        <v>908600</v>
      </c>
      <c r="V9" s="65">
        <v>10732117085</v>
      </c>
      <c r="W9" s="65">
        <v>1860803135</v>
      </c>
      <c r="X9" s="69">
        <v>22</v>
      </c>
    </row>
    <row r="10" spans="1:24">
      <c r="A10" s="60" t="s">
        <v>958</v>
      </c>
      <c r="B10" s="60" t="s">
        <v>57</v>
      </c>
      <c r="C10" s="60" t="s">
        <v>58</v>
      </c>
      <c r="D10" s="60" t="s">
        <v>59</v>
      </c>
      <c r="E10" s="61" t="s">
        <v>46</v>
      </c>
      <c r="F10" s="62" t="s">
        <v>46</v>
      </c>
      <c r="G10" s="63" t="s">
        <v>46</v>
      </c>
      <c r="H10" s="64"/>
      <c r="I10" s="64" t="s">
        <v>47</v>
      </c>
      <c r="J10" s="65">
        <v>1</v>
      </c>
      <c r="K10" s="66">
        <v>41900</v>
      </c>
      <c r="L10" s="67" t="s">
        <v>853</v>
      </c>
      <c r="M10" s="66">
        <v>46350</v>
      </c>
      <c r="N10" s="67" t="s">
        <v>92</v>
      </c>
      <c r="O10" s="66">
        <v>41870</v>
      </c>
      <c r="P10" s="67" t="s">
        <v>853</v>
      </c>
      <c r="Q10" s="66">
        <v>44280</v>
      </c>
      <c r="R10" s="67" t="s">
        <v>873</v>
      </c>
      <c r="S10" s="68">
        <v>44222.27</v>
      </c>
      <c r="T10" s="65">
        <v>9219</v>
      </c>
      <c r="U10" s="65" t="s">
        <v>955</v>
      </c>
      <c r="V10" s="65">
        <v>408725400</v>
      </c>
      <c r="W10" s="65" t="s">
        <v>955</v>
      </c>
      <c r="X10" s="69">
        <v>22</v>
      </c>
    </row>
    <row r="11" spans="1:24">
      <c r="A11" s="60" t="s">
        <v>958</v>
      </c>
      <c r="B11" s="60" t="s">
        <v>60</v>
      </c>
      <c r="C11" s="60" t="s">
        <v>61</v>
      </c>
      <c r="D11" s="60" t="s">
        <v>62</v>
      </c>
      <c r="E11" s="61" t="s">
        <v>46</v>
      </c>
      <c r="F11" s="62" t="s">
        <v>46</v>
      </c>
      <c r="G11" s="63" t="s">
        <v>46</v>
      </c>
      <c r="H11" s="64"/>
      <c r="I11" s="64" t="s">
        <v>47</v>
      </c>
      <c r="J11" s="65">
        <v>10</v>
      </c>
      <c r="K11" s="66">
        <v>927.1</v>
      </c>
      <c r="L11" s="67" t="s">
        <v>853</v>
      </c>
      <c r="M11" s="66">
        <v>1046.5</v>
      </c>
      <c r="N11" s="67" t="s">
        <v>873</v>
      </c>
      <c r="O11" s="66">
        <v>927.1</v>
      </c>
      <c r="P11" s="67" t="s">
        <v>853</v>
      </c>
      <c r="Q11" s="66">
        <v>1025</v>
      </c>
      <c r="R11" s="67" t="s">
        <v>873</v>
      </c>
      <c r="S11" s="68">
        <v>973.35</v>
      </c>
      <c r="T11" s="65">
        <v>124150</v>
      </c>
      <c r="U11" s="65">
        <v>30</v>
      </c>
      <c r="V11" s="65">
        <v>123366190</v>
      </c>
      <c r="W11" s="65">
        <v>28629</v>
      </c>
      <c r="X11" s="69">
        <v>22</v>
      </c>
    </row>
    <row r="12" spans="1:24">
      <c r="A12" s="60" t="s">
        <v>958</v>
      </c>
      <c r="B12" s="60" t="s">
        <v>63</v>
      </c>
      <c r="C12" s="60" t="s">
        <v>64</v>
      </c>
      <c r="D12" s="60" t="s">
        <v>65</v>
      </c>
      <c r="E12" s="61" t="s">
        <v>46</v>
      </c>
      <c r="F12" s="62" t="s">
        <v>46</v>
      </c>
      <c r="G12" s="63" t="s">
        <v>46</v>
      </c>
      <c r="H12" s="64"/>
      <c r="I12" s="64" t="s">
        <v>47</v>
      </c>
      <c r="J12" s="65">
        <v>1</v>
      </c>
      <c r="K12" s="66">
        <v>19620</v>
      </c>
      <c r="L12" s="67" t="s">
        <v>853</v>
      </c>
      <c r="M12" s="66">
        <v>20955</v>
      </c>
      <c r="N12" s="67" t="s">
        <v>854</v>
      </c>
      <c r="O12" s="66">
        <v>19565</v>
      </c>
      <c r="P12" s="67" t="s">
        <v>857</v>
      </c>
      <c r="Q12" s="66">
        <v>20510</v>
      </c>
      <c r="R12" s="67" t="s">
        <v>873</v>
      </c>
      <c r="S12" s="68">
        <v>20384.09</v>
      </c>
      <c r="T12" s="65">
        <v>562</v>
      </c>
      <c r="U12" s="65">
        <v>2</v>
      </c>
      <c r="V12" s="65">
        <v>11483090</v>
      </c>
      <c r="W12" s="65">
        <v>41390</v>
      </c>
      <c r="X12" s="69">
        <v>22</v>
      </c>
    </row>
    <row r="13" spans="1:24">
      <c r="A13" s="60" t="s">
        <v>958</v>
      </c>
      <c r="B13" s="60" t="s">
        <v>66</v>
      </c>
      <c r="C13" s="60" t="s">
        <v>67</v>
      </c>
      <c r="D13" s="60" t="s">
        <v>68</v>
      </c>
      <c r="E13" s="61" t="s">
        <v>46</v>
      </c>
      <c r="F13" s="62" t="s">
        <v>46</v>
      </c>
      <c r="G13" s="63" t="s">
        <v>46</v>
      </c>
      <c r="H13" s="64"/>
      <c r="I13" s="64" t="s">
        <v>47</v>
      </c>
      <c r="J13" s="65">
        <v>10</v>
      </c>
      <c r="K13" s="66">
        <v>3810</v>
      </c>
      <c r="L13" s="67" t="s">
        <v>853</v>
      </c>
      <c r="M13" s="66">
        <v>4120</v>
      </c>
      <c r="N13" s="67" t="s">
        <v>268</v>
      </c>
      <c r="O13" s="66">
        <v>3710</v>
      </c>
      <c r="P13" s="67" t="s">
        <v>268</v>
      </c>
      <c r="Q13" s="66">
        <v>3999</v>
      </c>
      <c r="R13" s="67" t="s">
        <v>873</v>
      </c>
      <c r="S13" s="68">
        <v>3891.4</v>
      </c>
      <c r="T13" s="65">
        <v>1330</v>
      </c>
      <c r="U13" s="65" t="s">
        <v>955</v>
      </c>
      <c r="V13" s="65">
        <v>5173670</v>
      </c>
      <c r="W13" s="65" t="s">
        <v>955</v>
      </c>
      <c r="X13" s="69">
        <v>15</v>
      </c>
    </row>
    <row r="14" spans="1:24">
      <c r="A14" s="60" t="s">
        <v>958</v>
      </c>
      <c r="B14" s="60" t="s">
        <v>70</v>
      </c>
      <c r="C14" s="60" t="s">
        <v>71</v>
      </c>
      <c r="D14" s="60" t="s">
        <v>72</v>
      </c>
      <c r="E14" s="61" t="s">
        <v>46</v>
      </c>
      <c r="F14" s="62" t="s">
        <v>46</v>
      </c>
      <c r="G14" s="63" t="s">
        <v>46</v>
      </c>
      <c r="H14" s="64"/>
      <c r="I14" s="64" t="s">
        <v>47</v>
      </c>
      <c r="J14" s="65">
        <v>1000</v>
      </c>
      <c r="K14" s="66">
        <v>364.8</v>
      </c>
      <c r="L14" s="67" t="s">
        <v>853</v>
      </c>
      <c r="M14" s="66">
        <v>378.9</v>
      </c>
      <c r="N14" s="67" t="s">
        <v>96</v>
      </c>
      <c r="O14" s="66">
        <v>352.5</v>
      </c>
      <c r="P14" s="67" t="s">
        <v>172</v>
      </c>
      <c r="Q14" s="66">
        <v>365.6</v>
      </c>
      <c r="R14" s="67" t="s">
        <v>873</v>
      </c>
      <c r="S14" s="68">
        <v>365.81</v>
      </c>
      <c r="T14" s="65">
        <v>119000</v>
      </c>
      <c r="U14" s="65">
        <v>3000</v>
      </c>
      <c r="V14" s="65">
        <v>43255500</v>
      </c>
      <c r="W14" s="65">
        <v>1100100</v>
      </c>
      <c r="X14" s="69">
        <v>22</v>
      </c>
    </row>
    <row r="15" spans="1:24">
      <c r="A15" s="60" t="s">
        <v>958</v>
      </c>
      <c r="B15" s="60" t="s">
        <v>74</v>
      </c>
      <c r="C15" s="60" t="s">
        <v>75</v>
      </c>
      <c r="D15" s="60" t="s">
        <v>76</v>
      </c>
      <c r="E15" s="61" t="s">
        <v>46</v>
      </c>
      <c r="F15" s="62" t="s">
        <v>46</v>
      </c>
      <c r="G15" s="63" t="s">
        <v>46</v>
      </c>
      <c r="H15" s="64"/>
      <c r="I15" s="64" t="s">
        <v>47</v>
      </c>
      <c r="J15" s="65">
        <v>1</v>
      </c>
      <c r="K15" s="66">
        <v>28700</v>
      </c>
      <c r="L15" s="67" t="s">
        <v>853</v>
      </c>
      <c r="M15" s="66">
        <v>29990</v>
      </c>
      <c r="N15" s="67" t="s">
        <v>50</v>
      </c>
      <c r="O15" s="66">
        <v>28395</v>
      </c>
      <c r="P15" s="67" t="s">
        <v>858</v>
      </c>
      <c r="Q15" s="66">
        <v>29725</v>
      </c>
      <c r="R15" s="67" t="s">
        <v>873</v>
      </c>
      <c r="S15" s="68">
        <v>29366.59</v>
      </c>
      <c r="T15" s="65">
        <v>1028833</v>
      </c>
      <c r="U15" s="65">
        <v>25724</v>
      </c>
      <c r="V15" s="65">
        <v>30112861230</v>
      </c>
      <c r="W15" s="65">
        <v>755690105</v>
      </c>
      <c r="X15" s="69">
        <v>22</v>
      </c>
    </row>
    <row r="16" spans="1:24">
      <c r="A16" s="60" t="s">
        <v>958</v>
      </c>
      <c r="B16" s="60" t="s">
        <v>78</v>
      </c>
      <c r="C16" s="60" t="s">
        <v>79</v>
      </c>
      <c r="D16" s="60" t="s">
        <v>80</v>
      </c>
      <c r="E16" s="61" t="s">
        <v>46</v>
      </c>
      <c r="F16" s="62" t="s">
        <v>46</v>
      </c>
      <c r="G16" s="63" t="s">
        <v>46</v>
      </c>
      <c r="H16" s="64"/>
      <c r="I16" s="64" t="s">
        <v>47</v>
      </c>
      <c r="J16" s="65">
        <v>1</v>
      </c>
      <c r="K16" s="66">
        <v>28800</v>
      </c>
      <c r="L16" s="67" t="s">
        <v>853</v>
      </c>
      <c r="M16" s="66">
        <v>30040</v>
      </c>
      <c r="N16" s="67" t="s">
        <v>50</v>
      </c>
      <c r="O16" s="66">
        <v>28455</v>
      </c>
      <c r="P16" s="67" t="s">
        <v>858</v>
      </c>
      <c r="Q16" s="66">
        <v>29770</v>
      </c>
      <c r="R16" s="67" t="s">
        <v>873</v>
      </c>
      <c r="S16" s="68">
        <v>29422.95</v>
      </c>
      <c r="T16" s="65">
        <v>4328073</v>
      </c>
      <c r="U16" s="65">
        <v>598164</v>
      </c>
      <c r="V16" s="65">
        <v>127038502339</v>
      </c>
      <c r="W16" s="65">
        <v>17693607429</v>
      </c>
      <c r="X16" s="69">
        <v>22</v>
      </c>
    </row>
    <row r="17" spans="1:24">
      <c r="A17" s="60" t="s">
        <v>958</v>
      </c>
      <c r="B17" s="60" t="s">
        <v>81</v>
      </c>
      <c r="C17" s="60" t="s">
        <v>82</v>
      </c>
      <c r="D17" s="60" t="s">
        <v>83</v>
      </c>
      <c r="E17" s="61" t="s">
        <v>46</v>
      </c>
      <c r="F17" s="62" t="s">
        <v>46</v>
      </c>
      <c r="G17" s="63" t="s">
        <v>46</v>
      </c>
      <c r="H17" s="64"/>
      <c r="I17" s="64" t="s">
        <v>47</v>
      </c>
      <c r="J17" s="65">
        <v>10</v>
      </c>
      <c r="K17" s="66">
        <v>8200</v>
      </c>
      <c r="L17" s="67" t="s">
        <v>853</v>
      </c>
      <c r="M17" s="66">
        <v>8680</v>
      </c>
      <c r="N17" s="67" t="s">
        <v>92</v>
      </c>
      <c r="O17" s="66">
        <v>8095</v>
      </c>
      <c r="P17" s="67" t="s">
        <v>77</v>
      </c>
      <c r="Q17" s="66">
        <v>8350</v>
      </c>
      <c r="R17" s="67" t="s">
        <v>873</v>
      </c>
      <c r="S17" s="68">
        <v>8429.5</v>
      </c>
      <c r="T17" s="65">
        <v>7290</v>
      </c>
      <c r="U17" s="65">
        <v>10</v>
      </c>
      <c r="V17" s="65">
        <v>61546850</v>
      </c>
      <c r="W17" s="65">
        <v>84000</v>
      </c>
      <c r="X17" s="69">
        <v>22</v>
      </c>
    </row>
    <row r="18" spans="1:24">
      <c r="A18" s="60" t="s">
        <v>958</v>
      </c>
      <c r="B18" s="60" t="s">
        <v>85</v>
      </c>
      <c r="C18" s="60" t="s">
        <v>86</v>
      </c>
      <c r="D18" s="60" t="s">
        <v>87</v>
      </c>
      <c r="E18" s="61" t="s">
        <v>46</v>
      </c>
      <c r="F18" s="62" t="s">
        <v>46</v>
      </c>
      <c r="G18" s="63" t="s">
        <v>46</v>
      </c>
      <c r="H18" s="64"/>
      <c r="I18" s="64" t="s">
        <v>47</v>
      </c>
      <c r="J18" s="65">
        <v>100</v>
      </c>
      <c r="K18" s="66">
        <v>458.1</v>
      </c>
      <c r="L18" s="67" t="s">
        <v>853</v>
      </c>
      <c r="M18" s="66">
        <v>482.3</v>
      </c>
      <c r="N18" s="67" t="s">
        <v>859</v>
      </c>
      <c r="O18" s="66">
        <v>443.3</v>
      </c>
      <c r="P18" s="67" t="s">
        <v>132</v>
      </c>
      <c r="Q18" s="66">
        <v>473</v>
      </c>
      <c r="R18" s="67" t="s">
        <v>873</v>
      </c>
      <c r="S18" s="68">
        <v>470.13</v>
      </c>
      <c r="T18" s="65">
        <v>69400</v>
      </c>
      <c r="U18" s="65" t="s">
        <v>955</v>
      </c>
      <c r="V18" s="65">
        <v>32409350</v>
      </c>
      <c r="W18" s="65" t="s">
        <v>955</v>
      </c>
      <c r="X18" s="69">
        <v>22</v>
      </c>
    </row>
    <row r="19" spans="1:24">
      <c r="A19" s="60" t="s">
        <v>958</v>
      </c>
      <c r="B19" s="60" t="s">
        <v>89</v>
      </c>
      <c r="C19" s="60" t="s">
        <v>90</v>
      </c>
      <c r="D19" s="60" t="s">
        <v>91</v>
      </c>
      <c r="E19" s="61" t="s">
        <v>46</v>
      </c>
      <c r="F19" s="62" t="s">
        <v>46</v>
      </c>
      <c r="G19" s="63" t="s">
        <v>46</v>
      </c>
      <c r="H19" s="64"/>
      <c r="I19" s="64" t="s">
        <v>47</v>
      </c>
      <c r="J19" s="65">
        <v>100</v>
      </c>
      <c r="K19" s="66">
        <v>160.4</v>
      </c>
      <c r="L19" s="67" t="s">
        <v>853</v>
      </c>
      <c r="M19" s="66">
        <v>171.7</v>
      </c>
      <c r="N19" s="67" t="s">
        <v>853</v>
      </c>
      <c r="O19" s="66">
        <v>151</v>
      </c>
      <c r="P19" s="67" t="s">
        <v>371</v>
      </c>
      <c r="Q19" s="66">
        <v>158.9</v>
      </c>
      <c r="R19" s="67" t="s">
        <v>873</v>
      </c>
      <c r="S19" s="68">
        <v>160.12</v>
      </c>
      <c r="T19" s="65">
        <v>535100</v>
      </c>
      <c r="U19" s="65" t="s">
        <v>955</v>
      </c>
      <c r="V19" s="65">
        <v>85154800</v>
      </c>
      <c r="W19" s="65" t="s">
        <v>955</v>
      </c>
      <c r="X19" s="69">
        <v>22</v>
      </c>
    </row>
    <row r="20" spans="1:24">
      <c r="A20" s="60" t="s">
        <v>958</v>
      </c>
      <c r="B20" s="60" t="s">
        <v>93</v>
      </c>
      <c r="C20" s="60" t="s">
        <v>94</v>
      </c>
      <c r="D20" s="60" t="s">
        <v>95</v>
      </c>
      <c r="E20" s="61" t="s">
        <v>46</v>
      </c>
      <c r="F20" s="62" t="s">
        <v>46</v>
      </c>
      <c r="G20" s="63" t="s">
        <v>46</v>
      </c>
      <c r="H20" s="64"/>
      <c r="I20" s="64" t="s">
        <v>47</v>
      </c>
      <c r="J20" s="65">
        <v>100</v>
      </c>
      <c r="K20" s="66">
        <v>163</v>
      </c>
      <c r="L20" s="67" t="s">
        <v>853</v>
      </c>
      <c r="M20" s="66">
        <v>169.4</v>
      </c>
      <c r="N20" s="67" t="s">
        <v>859</v>
      </c>
      <c r="O20" s="66">
        <v>154</v>
      </c>
      <c r="P20" s="67" t="s">
        <v>856</v>
      </c>
      <c r="Q20" s="66">
        <v>157.5</v>
      </c>
      <c r="R20" s="67" t="s">
        <v>873</v>
      </c>
      <c r="S20" s="68">
        <v>161.03</v>
      </c>
      <c r="T20" s="65">
        <v>675200</v>
      </c>
      <c r="U20" s="65">
        <v>13700</v>
      </c>
      <c r="V20" s="65">
        <v>106707570</v>
      </c>
      <c r="W20" s="65">
        <v>1965950</v>
      </c>
      <c r="X20" s="69">
        <v>22</v>
      </c>
    </row>
    <row r="21" spans="1:24">
      <c r="A21" s="60" t="s">
        <v>958</v>
      </c>
      <c r="B21" s="60" t="s">
        <v>97</v>
      </c>
      <c r="C21" s="60" t="s">
        <v>98</v>
      </c>
      <c r="D21" s="60" t="s">
        <v>99</v>
      </c>
      <c r="E21" s="61" t="s">
        <v>46</v>
      </c>
      <c r="F21" s="62" t="s">
        <v>46</v>
      </c>
      <c r="G21" s="63" t="s">
        <v>46</v>
      </c>
      <c r="H21" s="64"/>
      <c r="I21" s="64" t="s">
        <v>47</v>
      </c>
      <c r="J21" s="65">
        <v>1</v>
      </c>
      <c r="K21" s="66">
        <v>18775</v>
      </c>
      <c r="L21" s="67" t="s">
        <v>853</v>
      </c>
      <c r="M21" s="66">
        <v>19465</v>
      </c>
      <c r="N21" s="67" t="s">
        <v>88</v>
      </c>
      <c r="O21" s="66">
        <v>18675</v>
      </c>
      <c r="P21" s="67" t="s">
        <v>858</v>
      </c>
      <c r="Q21" s="66">
        <v>19330</v>
      </c>
      <c r="R21" s="67" t="s">
        <v>873</v>
      </c>
      <c r="S21" s="68">
        <v>19060.68</v>
      </c>
      <c r="T21" s="65">
        <v>201733</v>
      </c>
      <c r="U21" s="65" t="s">
        <v>955</v>
      </c>
      <c r="V21" s="65">
        <v>3825449980</v>
      </c>
      <c r="W21" s="65" t="s">
        <v>955</v>
      </c>
      <c r="X21" s="69">
        <v>22</v>
      </c>
    </row>
    <row r="22" spans="1:24">
      <c r="A22" s="60" t="s">
        <v>958</v>
      </c>
      <c r="B22" s="60" t="s">
        <v>104</v>
      </c>
      <c r="C22" s="60" t="s">
        <v>105</v>
      </c>
      <c r="D22" s="60" t="s">
        <v>106</v>
      </c>
      <c r="E22" s="61" t="s">
        <v>46</v>
      </c>
      <c r="F22" s="62" t="s">
        <v>46</v>
      </c>
      <c r="G22" s="63" t="s">
        <v>46</v>
      </c>
      <c r="H22" s="64"/>
      <c r="I22" s="64" t="s">
        <v>47</v>
      </c>
      <c r="J22" s="65">
        <v>10</v>
      </c>
      <c r="K22" s="66">
        <v>5082</v>
      </c>
      <c r="L22" s="67" t="s">
        <v>853</v>
      </c>
      <c r="M22" s="66">
        <v>5254</v>
      </c>
      <c r="N22" s="67" t="s">
        <v>88</v>
      </c>
      <c r="O22" s="66">
        <v>5052</v>
      </c>
      <c r="P22" s="67" t="s">
        <v>858</v>
      </c>
      <c r="Q22" s="66">
        <v>5226</v>
      </c>
      <c r="R22" s="67" t="s">
        <v>873</v>
      </c>
      <c r="S22" s="68">
        <v>5152.5</v>
      </c>
      <c r="T22" s="65">
        <v>373520</v>
      </c>
      <c r="U22" s="65">
        <v>10</v>
      </c>
      <c r="V22" s="65">
        <v>1911370670</v>
      </c>
      <c r="W22" s="65">
        <v>50790</v>
      </c>
      <c r="X22" s="69">
        <v>22</v>
      </c>
    </row>
    <row r="23" spans="1:24">
      <c r="A23" s="60" t="s">
        <v>958</v>
      </c>
      <c r="B23" s="60" t="s">
        <v>107</v>
      </c>
      <c r="C23" s="60" t="s">
        <v>108</v>
      </c>
      <c r="D23" s="60" t="s">
        <v>109</v>
      </c>
      <c r="E23" s="61" t="s">
        <v>46</v>
      </c>
      <c r="F23" s="62" t="s">
        <v>46</v>
      </c>
      <c r="G23" s="63" t="s">
        <v>46</v>
      </c>
      <c r="H23" s="64"/>
      <c r="I23" s="64" t="s">
        <v>47</v>
      </c>
      <c r="J23" s="65">
        <v>1</v>
      </c>
      <c r="K23" s="66">
        <v>28855</v>
      </c>
      <c r="L23" s="67" t="s">
        <v>853</v>
      </c>
      <c r="M23" s="66">
        <v>30200</v>
      </c>
      <c r="N23" s="67" t="s">
        <v>50</v>
      </c>
      <c r="O23" s="66">
        <v>28585</v>
      </c>
      <c r="P23" s="67" t="s">
        <v>858</v>
      </c>
      <c r="Q23" s="66">
        <v>29910</v>
      </c>
      <c r="R23" s="67" t="s">
        <v>873</v>
      </c>
      <c r="S23" s="68">
        <v>29557.27</v>
      </c>
      <c r="T23" s="65">
        <v>1854598</v>
      </c>
      <c r="U23" s="65">
        <v>1283688</v>
      </c>
      <c r="V23" s="65">
        <v>54581379282</v>
      </c>
      <c r="W23" s="65">
        <v>37809194282</v>
      </c>
      <c r="X23" s="69">
        <v>22</v>
      </c>
    </row>
    <row r="24" spans="1:24">
      <c r="A24" s="60" t="s">
        <v>958</v>
      </c>
      <c r="B24" s="60" t="s">
        <v>110</v>
      </c>
      <c r="C24" s="60" t="s">
        <v>111</v>
      </c>
      <c r="D24" s="60" t="s">
        <v>112</v>
      </c>
      <c r="E24" s="61" t="s">
        <v>46</v>
      </c>
      <c r="F24" s="62" t="s">
        <v>46</v>
      </c>
      <c r="G24" s="63" t="s">
        <v>46</v>
      </c>
      <c r="H24" s="64"/>
      <c r="I24" s="64" t="s">
        <v>47</v>
      </c>
      <c r="J24" s="65">
        <v>10</v>
      </c>
      <c r="K24" s="66">
        <v>28800</v>
      </c>
      <c r="L24" s="67" t="s">
        <v>853</v>
      </c>
      <c r="M24" s="66">
        <v>30090</v>
      </c>
      <c r="N24" s="67" t="s">
        <v>50</v>
      </c>
      <c r="O24" s="66">
        <v>28500</v>
      </c>
      <c r="P24" s="67" t="s">
        <v>858</v>
      </c>
      <c r="Q24" s="66">
        <v>29775</v>
      </c>
      <c r="R24" s="67" t="s">
        <v>873</v>
      </c>
      <c r="S24" s="68">
        <v>29460</v>
      </c>
      <c r="T24" s="65">
        <v>900360</v>
      </c>
      <c r="U24" s="65">
        <v>59420</v>
      </c>
      <c r="V24" s="65">
        <v>26499527160</v>
      </c>
      <c r="W24" s="65">
        <v>1742229010</v>
      </c>
      <c r="X24" s="69">
        <v>22</v>
      </c>
    </row>
    <row r="25" spans="1:24">
      <c r="A25" s="60" t="s">
        <v>958</v>
      </c>
      <c r="B25" s="60" t="s">
        <v>113</v>
      </c>
      <c r="C25" s="60" t="s">
        <v>114</v>
      </c>
      <c r="D25" s="60" t="s">
        <v>115</v>
      </c>
      <c r="E25" s="61" t="s">
        <v>46</v>
      </c>
      <c r="F25" s="62" t="s">
        <v>46</v>
      </c>
      <c r="G25" s="63" t="s">
        <v>46</v>
      </c>
      <c r="H25" s="64"/>
      <c r="I25" s="64" t="s">
        <v>47</v>
      </c>
      <c r="J25" s="65">
        <v>10</v>
      </c>
      <c r="K25" s="66">
        <v>2160</v>
      </c>
      <c r="L25" s="67" t="s">
        <v>853</v>
      </c>
      <c r="M25" s="66">
        <v>2229.5</v>
      </c>
      <c r="N25" s="67" t="s">
        <v>873</v>
      </c>
      <c r="O25" s="66">
        <v>2146.5</v>
      </c>
      <c r="P25" s="67" t="s">
        <v>857</v>
      </c>
      <c r="Q25" s="66">
        <v>2223.5</v>
      </c>
      <c r="R25" s="67" t="s">
        <v>873</v>
      </c>
      <c r="S25" s="68">
        <v>2188.6799999999998</v>
      </c>
      <c r="T25" s="65">
        <v>7554390</v>
      </c>
      <c r="U25" s="65">
        <v>521230</v>
      </c>
      <c r="V25" s="65">
        <v>16501437240</v>
      </c>
      <c r="W25" s="65">
        <v>1138091070</v>
      </c>
      <c r="X25" s="69">
        <v>22</v>
      </c>
    </row>
    <row r="26" spans="1:24">
      <c r="A26" s="60" t="s">
        <v>958</v>
      </c>
      <c r="B26" s="60" t="s">
        <v>119</v>
      </c>
      <c r="C26" s="60" t="s">
        <v>120</v>
      </c>
      <c r="D26" s="60" t="s">
        <v>121</v>
      </c>
      <c r="E26" s="61" t="s">
        <v>46</v>
      </c>
      <c r="F26" s="62" t="s">
        <v>46</v>
      </c>
      <c r="G26" s="63" t="s">
        <v>46</v>
      </c>
      <c r="H26" s="64"/>
      <c r="I26" s="64" t="s">
        <v>47</v>
      </c>
      <c r="J26" s="65">
        <v>100</v>
      </c>
      <c r="K26" s="66">
        <v>2049</v>
      </c>
      <c r="L26" s="67" t="s">
        <v>853</v>
      </c>
      <c r="M26" s="66">
        <v>2105.5</v>
      </c>
      <c r="N26" s="67" t="s">
        <v>873</v>
      </c>
      <c r="O26" s="66">
        <v>2030</v>
      </c>
      <c r="P26" s="67" t="s">
        <v>857</v>
      </c>
      <c r="Q26" s="66">
        <v>2096.5</v>
      </c>
      <c r="R26" s="67" t="s">
        <v>873</v>
      </c>
      <c r="S26" s="68">
        <v>2067.23</v>
      </c>
      <c r="T26" s="65">
        <v>1904600</v>
      </c>
      <c r="U26" s="65">
        <v>368200</v>
      </c>
      <c r="V26" s="65">
        <v>3936863867</v>
      </c>
      <c r="W26" s="65">
        <v>760450117</v>
      </c>
      <c r="X26" s="69">
        <v>22</v>
      </c>
    </row>
    <row r="27" spans="1:24">
      <c r="A27" s="60" t="s">
        <v>958</v>
      </c>
      <c r="B27" s="60" t="s">
        <v>122</v>
      </c>
      <c r="C27" s="60" t="s">
        <v>123</v>
      </c>
      <c r="D27" s="60" t="s">
        <v>124</v>
      </c>
      <c r="E27" s="61" t="s">
        <v>46</v>
      </c>
      <c r="F27" s="62" t="s">
        <v>46</v>
      </c>
      <c r="G27" s="63" t="s">
        <v>46</v>
      </c>
      <c r="H27" s="64"/>
      <c r="I27" s="64" t="s">
        <v>47</v>
      </c>
      <c r="J27" s="65">
        <v>1</v>
      </c>
      <c r="K27" s="66">
        <v>28895</v>
      </c>
      <c r="L27" s="67" t="s">
        <v>853</v>
      </c>
      <c r="M27" s="66">
        <v>30190</v>
      </c>
      <c r="N27" s="67" t="s">
        <v>50</v>
      </c>
      <c r="O27" s="66">
        <v>28595</v>
      </c>
      <c r="P27" s="67" t="s">
        <v>858</v>
      </c>
      <c r="Q27" s="66">
        <v>29910</v>
      </c>
      <c r="R27" s="67" t="s">
        <v>873</v>
      </c>
      <c r="S27" s="68">
        <v>29567.95</v>
      </c>
      <c r="T27" s="65">
        <v>535744</v>
      </c>
      <c r="U27" s="65">
        <v>12775</v>
      </c>
      <c r="V27" s="65">
        <v>15750898645</v>
      </c>
      <c r="W27" s="65">
        <v>379681455</v>
      </c>
      <c r="X27" s="69">
        <v>22</v>
      </c>
    </row>
    <row r="28" spans="1:24">
      <c r="A28" s="60" t="s">
        <v>958</v>
      </c>
      <c r="B28" s="60" t="s">
        <v>125</v>
      </c>
      <c r="C28" s="60" t="s">
        <v>126</v>
      </c>
      <c r="D28" s="60" t="s">
        <v>127</v>
      </c>
      <c r="E28" s="61" t="s">
        <v>46</v>
      </c>
      <c r="F28" s="62" t="s">
        <v>46</v>
      </c>
      <c r="G28" s="63" t="s">
        <v>46</v>
      </c>
      <c r="H28" s="64"/>
      <c r="I28" s="64" t="s">
        <v>47</v>
      </c>
      <c r="J28" s="65">
        <v>10</v>
      </c>
      <c r="K28" s="66">
        <v>2011</v>
      </c>
      <c r="L28" s="67" t="s">
        <v>853</v>
      </c>
      <c r="M28" s="66">
        <v>2096.5</v>
      </c>
      <c r="N28" s="67" t="s">
        <v>854</v>
      </c>
      <c r="O28" s="66">
        <v>1991</v>
      </c>
      <c r="P28" s="67" t="s">
        <v>853</v>
      </c>
      <c r="Q28" s="66">
        <v>2073.5</v>
      </c>
      <c r="R28" s="67" t="s">
        <v>873</v>
      </c>
      <c r="S28" s="68">
        <v>2058.39</v>
      </c>
      <c r="T28" s="65">
        <v>3299170</v>
      </c>
      <c r="U28" s="65">
        <v>358450</v>
      </c>
      <c r="V28" s="65">
        <v>6784557645</v>
      </c>
      <c r="W28" s="65">
        <v>736855925</v>
      </c>
      <c r="X28" s="69">
        <v>22</v>
      </c>
    </row>
    <row r="29" spans="1:24">
      <c r="A29" s="60" t="s">
        <v>958</v>
      </c>
      <c r="B29" s="60" t="s">
        <v>128</v>
      </c>
      <c r="C29" s="60" t="s">
        <v>129</v>
      </c>
      <c r="D29" s="60" t="s">
        <v>130</v>
      </c>
      <c r="E29" s="61" t="s">
        <v>46</v>
      </c>
      <c r="F29" s="62" t="s">
        <v>46</v>
      </c>
      <c r="G29" s="63" t="s">
        <v>46</v>
      </c>
      <c r="H29" s="64"/>
      <c r="I29" s="64" t="s">
        <v>47</v>
      </c>
      <c r="J29" s="65">
        <v>1</v>
      </c>
      <c r="K29" s="66">
        <v>13575</v>
      </c>
      <c r="L29" s="67" t="s">
        <v>853</v>
      </c>
      <c r="M29" s="66">
        <v>13800</v>
      </c>
      <c r="N29" s="67" t="s">
        <v>50</v>
      </c>
      <c r="O29" s="66">
        <v>13440</v>
      </c>
      <c r="P29" s="67" t="s">
        <v>860</v>
      </c>
      <c r="Q29" s="66">
        <v>13795</v>
      </c>
      <c r="R29" s="67" t="s">
        <v>873</v>
      </c>
      <c r="S29" s="68">
        <v>13625.68</v>
      </c>
      <c r="T29" s="65">
        <v>984</v>
      </c>
      <c r="U29" s="65" t="s">
        <v>955</v>
      </c>
      <c r="V29" s="65">
        <v>13337725</v>
      </c>
      <c r="W29" s="65" t="s">
        <v>955</v>
      </c>
      <c r="X29" s="69">
        <v>22</v>
      </c>
    </row>
    <row r="30" spans="1:24">
      <c r="A30" s="60" t="s">
        <v>958</v>
      </c>
      <c r="B30" s="60" t="s">
        <v>133</v>
      </c>
      <c r="C30" s="60" t="s">
        <v>134</v>
      </c>
      <c r="D30" s="60" t="s">
        <v>135</v>
      </c>
      <c r="E30" s="61" t="s">
        <v>46</v>
      </c>
      <c r="F30" s="62" t="s">
        <v>46</v>
      </c>
      <c r="G30" s="63" t="s">
        <v>46</v>
      </c>
      <c r="H30" s="64"/>
      <c r="I30" s="64" t="s">
        <v>47</v>
      </c>
      <c r="J30" s="65">
        <v>10</v>
      </c>
      <c r="K30" s="66">
        <v>1106</v>
      </c>
      <c r="L30" s="67" t="s">
        <v>853</v>
      </c>
      <c r="M30" s="66">
        <v>1123</v>
      </c>
      <c r="N30" s="67" t="s">
        <v>853</v>
      </c>
      <c r="O30" s="66">
        <v>1004</v>
      </c>
      <c r="P30" s="67" t="s">
        <v>854</v>
      </c>
      <c r="Q30" s="66">
        <v>1022.5</v>
      </c>
      <c r="R30" s="67" t="s">
        <v>873</v>
      </c>
      <c r="S30" s="68">
        <v>1043.5899999999999</v>
      </c>
      <c r="T30" s="65">
        <v>8471770</v>
      </c>
      <c r="U30" s="65">
        <v>840</v>
      </c>
      <c r="V30" s="65">
        <v>8897199810</v>
      </c>
      <c r="W30" s="65">
        <v>873885</v>
      </c>
      <c r="X30" s="69">
        <v>22</v>
      </c>
    </row>
    <row r="31" spans="1:24">
      <c r="A31" s="60" t="s">
        <v>958</v>
      </c>
      <c r="B31" s="60" t="s">
        <v>136</v>
      </c>
      <c r="C31" s="60" t="s">
        <v>137</v>
      </c>
      <c r="D31" s="60" t="s">
        <v>138</v>
      </c>
      <c r="E31" s="61" t="s">
        <v>46</v>
      </c>
      <c r="F31" s="62" t="s">
        <v>46</v>
      </c>
      <c r="G31" s="63" t="s">
        <v>46</v>
      </c>
      <c r="H31" s="64"/>
      <c r="I31" s="64" t="s">
        <v>47</v>
      </c>
      <c r="J31" s="65">
        <v>1</v>
      </c>
      <c r="K31" s="66">
        <v>418</v>
      </c>
      <c r="L31" s="67" t="s">
        <v>853</v>
      </c>
      <c r="M31" s="66">
        <v>427</v>
      </c>
      <c r="N31" s="67" t="s">
        <v>853</v>
      </c>
      <c r="O31" s="66">
        <v>377</v>
      </c>
      <c r="P31" s="67" t="s">
        <v>88</v>
      </c>
      <c r="Q31" s="66">
        <v>385</v>
      </c>
      <c r="R31" s="67" t="s">
        <v>873</v>
      </c>
      <c r="S31" s="68">
        <v>396.32</v>
      </c>
      <c r="T31" s="65">
        <v>1070460837</v>
      </c>
      <c r="U31" s="65">
        <v>3199180</v>
      </c>
      <c r="V31" s="65">
        <v>428847240491</v>
      </c>
      <c r="W31" s="65">
        <v>1290878175</v>
      </c>
      <c r="X31" s="69">
        <v>22</v>
      </c>
    </row>
    <row r="32" spans="1:24">
      <c r="A32" s="60" t="s">
        <v>958</v>
      </c>
      <c r="B32" s="60" t="s">
        <v>139</v>
      </c>
      <c r="C32" s="60" t="s">
        <v>140</v>
      </c>
      <c r="D32" s="60" t="s">
        <v>141</v>
      </c>
      <c r="E32" s="61" t="s">
        <v>46</v>
      </c>
      <c r="F32" s="62" t="s">
        <v>46</v>
      </c>
      <c r="G32" s="63" t="s">
        <v>46</v>
      </c>
      <c r="H32" s="64"/>
      <c r="I32" s="64" t="s">
        <v>47</v>
      </c>
      <c r="J32" s="65">
        <v>1</v>
      </c>
      <c r="K32" s="66">
        <v>27330</v>
      </c>
      <c r="L32" s="67" t="s">
        <v>853</v>
      </c>
      <c r="M32" s="66">
        <v>29680</v>
      </c>
      <c r="N32" s="67" t="s">
        <v>50</v>
      </c>
      <c r="O32" s="66">
        <v>26700</v>
      </c>
      <c r="P32" s="67" t="s">
        <v>858</v>
      </c>
      <c r="Q32" s="66">
        <v>29075</v>
      </c>
      <c r="R32" s="67" t="s">
        <v>873</v>
      </c>
      <c r="S32" s="68">
        <v>28499.32</v>
      </c>
      <c r="T32" s="65">
        <v>480644</v>
      </c>
      <c r="U32" s="65">
        <v>1</v>
      </c>
      <c r="V32" s="65">
        <v>13608488505</v>
      </c>
      <c r="W32" s="65">
        <v>28950</v>
      </c>
      <c r="X32" s="69">
        <v>22</v>
      </c>
    </row>
    <row r="33" spans="1:24">
      <c r="A33" s="60" t="s">
        <v>958</v>
      </c>
      <c r="B33" s="60" t="s">
        <v>142</v>
      </c>
      <c r="C33" s="60" t="s">
        <v>143</v>
      </c>
      <c r="D33" s="60" t="s">
        <v>144</v>
      </c>
      <c r="E33" s="61" t="s">
        <v>46</v>
      </c>
      <c r="F33" s="62" t="s">
        <v>46</v>
      </c>
      <c r="G33" s="63" t="s">
        <v>46</v>
      </c>
      <c r="H33" s="64"/>
      <c r="I33" s="64" t="s">
        <v>47</v>
      </c>
      <c r="J33" s="65">
        <v>10</v>
      </c>
      <c r="K33" s="66">
        <v>1020.5</v>
      </c>
      <c r="L33" s="67" t="s">
        <v>853</v>
      </c>
      <c r="M33" s="66">
        <v>1042</v>
      </c>
      <c r="N33" s="67" t="s">
        <v>853</v>
      </c>
      <c r="O33" s="66">
        <v>922.2</v>
      </c>
      <c r="P33" s="67" t="s">
        <v>50</v>
      </c>
      <c r="Q33" s="66">
        <v>940.7</v>
      </c>
      <c r="R33" s="67" t="s">
        <v>873</v>
      </c>
      <c r="S33" s="68">
        <v>967.57</v>
      </c>
      <c r="T33" s="65">
        <v>263519600</v>
      </c>
      <c r="U33" s="65">
        <v>502060</v>
      </c>
      <c r="V33" s="65">
        <v>257019727740</v>
      </c>
      <c r="W33" s="65">
        <v>484461798</v>
      </c>
      <c r="X33" s="69">
        <v>22</v>
      </c>
    </row>
    <row r="34" spans="1:24">
      <c r="A34" s="60" t="s">
        <v>958</v>
      </c>
      <c r="B34" s="60" t="s">
        <v>145</v>
      </c>
      <c r="C34" s="60" t="s">
        <v>146</v>
      </c>
      <c r="D34" s="60" t="s">
        <v>147</v>
      </c>
      <c r="E34" s="61" t="s">
        <v>46</v>
      </c>
      <c r="F34" s="62" t="s">
        <v>46</v>
      </c>
      <c r="G34" s="63" t="s">
        <v>46</v>
      </c>
      <c r="H34" s="64"/>
      <c r="I34" s="64" t="s">
        <v>47</v>
      </c>
      <c r="J34" s="65">
        <v>1</v>
      </c>
      <c r="K34" s="66">
        <v>18225</v>
      </c>
      <c r="L34" s="67" t="s">
        <v>853</v>
      </c>
      <c r="M34" s="66">
        <v>18845</v>
      </c>
      <c r="N34" s="67" t="s">
        <v>873</v>
      </c>
      <c r="O34" s="66">
        <v>17750</v>
      </c>
      <c r="P34" s="67" t="s">
        <v>853</v>
      </c>
      <c r="Q34" s="66">
        <v>18480</v>
      </c>
      <c r="R34" s="67" t="s">
        <v>873</v>
      </c>
      <c r="S34" s="68">
        <v>18320.91</v>
      </c>
      <c r="T34" s="65">
        <v>6707</v>
      </c>
      <c r="U34" s="65">
        <v>1</v>
      </c>
      <c r="V34" s="65">
        <v>121513625</v>
      </c>
      <c r="W34" s="65">
        <v>17845</v>
      </c>
      <c r="X34" s="69">
        <v>22</v>
      </c>
    </row>
    <row r="35" spans="1:24">
      <c r="A35" s="60" t="s">
        <v>958</v>
      </c>
      <c r="B35" s="60" t="s">
        <v>148</v>
      </c>
      <c r="C35" s="60" t="s">
        <v>149</v>
      </c>
      <c r="D35" s="60" t="s">
        <v>150</v>
      </c>
      <c r="E35" s="61" t="s">
        <v>46</v>
      </c>
      <c r="F35" s="62" t="s">
        <v>46</v>
      </c>
      <c r="G35" s="63" t="s">
        <v>46</v>
      </c>
      <c r="H35" s="64"/>
      <c r="I35" s="64" t="s">
        <v>47</v>
      </c>
      <c r="J35" s="65">
        <v>1</v>
      </c>
      <c r="K35" s="66">
        <v>22670</v>
      </c>
      <c r="L35" s="67" t="s">
        <v>853</v>
      </c>
      <c r="M35" s="66">
        <v>24700</v>
      </c>
      <c r="N35" s="67" t="s">
        <v>50</v>
      </c>
      <c r="O35" s="66">
        <v>22200</v>
      </c>
      <c r="P35" s="67" t="s">
        <v>853</v>
      </c>
      <c r="Q35" s="66">
        <v>24230</v>
      </c>
      <c r="R35" s="67" t="s">
        <v>873</v>
      </c>
      <c r="S35" s="68">
        <v>23712.27</v>
      </c>
      <c r="T35" s="65">
        <v>972239</v>
      </c>
      <c r="U35" s="65">
        <v>5</v>
      </c>
      <c r="V35" s="65">
        <v>22898767835</v>
      </c>
      <c r="W35" s="65">
        <v>113905</v>
      </c>
      <c r="X35" s="69">
        <v>22</v>
      </c>
    </row>
    <row r="36" spans="1:24">
      <c r="A36" s="60" t="s">
        <v>958</v>
      </c>
      <c r="B36" s="60" t="s">
        <v>151</v>
      </c>
      <c r="C36" s="60" t="s">
        <v>152</v>
      </c>
      <c r="D36" s="60" t="s">
        <v>153</v>
      </c>
      <c r="E36" s="61" t="s">
        <v>46</v>
      </c>
      <c r="F36" s="62" t="s">
        <v>46</v>
      </c>
      <c r="G36" s="63" t="s">
        <v>46</v>
      </c>
      <c r="H36" s="64"/>
      <c r="I36" s="64" t="s">
        <v>47</v>
      </c>
      <c r="J36" s="65">
        <v>1</v>
      </c>
      <c r="K36" s="66">
        <v>1093</v>
      </c>
      <c r="L36" s="67" t="s">
        <v>853</v>
      </c>
      <c r="M36" s="66">
        <v>1114</v>
      </c>
      <c r="N36" s="67" t="s">
        <v>853</v>
      </c>
      <c r="O36" s="66">
        <v>987</v>
      </c>
      <c r="P36" s="67" t="s">
        <v>88</v>
      </c>
      <c r="Q36" s="66">
        <v>1006</v>
      </c>
      <c r="R36" s="67" t="s">
        <v>873</v>
      </c>
      <c r="S36" s="68">
        <v>1035.32</v>
      </c>
      <c r="T36" s="65">
        <v>13885596</v>
      </c>
      <c r="U36" s="65">
        <v>802</v>
      </c>
      <c r="V36" s="65">
        <v>14580911996</v>
      </c>
      <c r="W36" s="65">
        <v>764523</v>
      </c>
      <c r="X36" s="69">
        <v>22</v>
      </c>
    </row>
    <row r="37" spans="1:24">
      <c r="A37" s="60" t="s">
        <v>958</v>
      </c>
      <c r="B37" s="60" t="s">
        <v>154</v>
      </c>
      <c r="C37" s="60" t="s">
        <v>155</v>
      </c>
      <c r="D37" s="60" t="s">
        <v>156</v>
      </c>
      <c r="E37" s="61" t="s">
        <v>46</v>
      </c>
      <c r="F37" s="62" t="s">
        <v>46</v>
      </c>
      <c r="G37" s="63" t="s">
        <v>46</v>
      </c>
      <c r="H37" s="64"/>
      <c r="I37" s="64" t="s">
        <v>47</v>
      </c>
      <c r="J37" s="65">
        <v>1</v>
      </c>
      <c r="K37" s="66">
        <v>18310</v>
      </c>
      <c r="L37" s="67" t="s">
        <v>853</v>
      </c>
      <c r="M37" s="66">
        <v>19960</v>
      </c>
      <c r="N37" s="67" t="s">
        <v>854</v>
      </c>
      <c r="O37" s="66">
        <v>18040</v>
      </c>
      <c r="P37" s="67" t="s">
        <v>853</v>
      </c>
      <c r="Q37" s="66">
        <v>19545</v>
      </c>
      <c r="R37" s="67" t="s">
        <v>873</v>
      </c>
      <c r="S37" s="68">
        <v>19229.55</v>
      </c>
      <c r="T37" s="65">
        <v>214955</v>
      </c>
      <c r="U37" s="65">
        <v>1</v>
      </c>
      <c r="V37" s="65">
        <v>4092401880</v>
      </c>
      <c r="W37" s="65">
        <v>19355</v>
      </c>
      <c r="X37" s="69">
        <v>22</v>
      </c>
    </row>
    <row r="38" spans="1:24">
      <c r="A38" s="60" t="s">
        <v>958</v>
      </c>
      <c r="B38" s="60" t="s">
        <v>157</v>
      </c>
      <c r="C38" s="60" t="s">
        <v>158</v>
      </c>
      <c r="D38" s="60" t="s">
        <v>159</v>
      </c>
      <c r="E38" s="61" t="s">
        <v>46</v>
      </c>
      <c r="F38" s="62" t="s">
        <v>46</v>
      </c>
      <c r="G38" s="63" t="s">
        <v>46</v>
      </c>
      <c r="H38" s="64"/>
      <c r="I38" s="64" t="s">
        <v>47</v>
      </c>
      <c r="J38" s="65">
        <v>1</v>
      </c>
      <c r="K38" s="66">
        <v>1601</v>
      </c>
      <c r="L38" s="67" t="s">
        <v>853</v>
      </c>
      <c r="M38" s="66">
        <v>1625</v>
      </c>
      <c r="N38" s="67" t="s">
        <v>853</v>
      </c>
      <c r="O38" s="66">
        <v>1455</v>
      </c>
      <c r="P38" s="67" t="s">
        <v>854</v>
      </c>
      <c r="Q38" s="66">
        <v>1478</v>
      </c>
      <c r="R38" s="67" t="s">
        <v>873</v>
      </c>
      <c r="S38" s="68">
        <v>1512.32</v>
      </c>
      <c r="T38" s="65">
        <v>1076271</v>
      </c>
      <c r="U38" s="65" t="s">
        <v>955</v>
      </c>
      <c r="V38" s="65">
        <v>1642303282</v>
      </c>
      <c r="W38" s="65" t="s">
        <v>955</v>
      </c>
      <c r="X38" s="69">
        <v>22</v>
      </c>
    </row>
    <row r="39" spans="1:24">
      <c r="A39" s="60" t="s">
        <v>958</v>
      </c>
      <c r="B39" s="60" t="s">
        <v>160</v>
      </c>
      <c r="C39" s="60" t="s">
        <v>161</v>
      </c>
      <c r="D39" s="60" t="s">
        <v>162</v>
      </c>
      <c r="E39" s="61" t="s">
        <v>46</v>
      </c>
      <c r="F39" s="62" t="s">
        <v>46</v>
      </c>
      <c r="G39" s="63" t="s">
        <v>46</v>
      </c>
      <c r="H39" s="64"/>
      <c r="I39" s="64" t="s">
        <v>47</v>
      </c>
      <c r="J39" s="65">
        <v>1</v>
      </c>
      <c r="K39" s="66">
        <v>28005</v>
      </c>
      <c r="L39" s="67" t="s">
        <v>853</v>
      </c>
      <c r="M39" s="66">
        <v>29245</v>
      </c>
      <c r="N39" s="67" t="s">
        <v>88</v>
      </c>
      <c r="O39" s="66">
        <v>27720</v>
      </c>
      <c r="P39" s="67" t="s">
        <v>858</v>
      </c>
      <c r="Q39" s="66">
        <v>28970</v>
      </c>
      <c r="R39" s="67" t="s">
        <v>873</v>
      </c>
      <c r="S39" s="68">
        <v>28648.18</v>
      </c>
      <c r="T39" s="65">
        <v>965264</v>
      </c>
      <c r="U39" s="65">
        <v>700002</v>
      </c>
      <c r="V39" s="65">
        <v>27981895730</v>
      </c>
      <c r="W39" s="65">
        <v>20417264715</v>
      </c>
      <c r="X39" s="69">
        <v>22</v>
      </c>
    </row>
    <row r="40" spans="1:24">
      <c r="A40" s="60" t="s">
        <v>958</v>
      </c>
      <c r="B40" s="60" t="s">
        <v>163</v>
      </c>
      <c r="C40" s="60" t="s">
        <v>164</v>
      </c>
      <c r="D40" s="60" t="s">
        <v>165</v>
      </c>
      <c r="E40" s="61" t="s">
        <v>46</v>
      </c>
      <c r="F40" s="62" t="s">
        <v>46</v>
      </c>
      <c r="G40" s="63" t="s">
        <v>46</v>
      </c>
      <c r="H40" s="64"/>
      <c r="I40" s="64" t="s">
        <v>47</v>
      </c>
      <c r="J40" s="65">
        <v>1</v>
      </c>
      <c r="K40" s="66">
        <v>5363</v>
      </c>
      <c r="L40" s="67" t="s">
        <v>853</v>
      </c>
      <c r="M40" s="66">
        <v>5752</v>
      </c>
      <c r="N40" s="67" t="s">
        <v>857</v>
      </c>
      <c r="O40" s="66">
        <v>5340</v>
      </c>
      <c r="P40" s="67" t="s">
        <v>858</v>
      </c>
      <c r="Q40" s="66">
        <v>5618</v>
      </c>
      <c r="R40" s="67" t="s">
        <v>873</v>
      </c>
      <c r="S40" s="68">
        <v>5508.95</v>
      </c>
      <c r="T40" s="65">
        <v>7362</v>
      </c>
      <c r="U40" s="65">
        <v>900</v>
      </c>
      <c r="V40" s="65">
        <v>40486755</v>
      </c>
      <c r="W40" s="65">
        <v>4924530</v>
      </c>
      <c r="X40" s="69">
        <v>22</v>
      </c>
    </row>
    <row r="41" spans="1:24">
      <c r="A41" s="60" t="s">
        <v>958</v>
      </c>
      <c r="B41" s="60" t="s">
        <v>166</v>
      </c>
      <c r="C41" s="60" t="s">
        <v>167</v>
      </c>
      <c r="D41" s="60" t="s">
        <v>168</v>
      </c>
      <c r="E41" s="61" t="s">
        <v>46</v>
      </c>
      <c r="F41" s="62" t="s">
        <v>46</v>
      </c>
      <c r="G41" s="63" t="s">
        <v>46</v>
      </c>
      <c r="H41" s="64"/>
      <c r="I41" s="64" t="s">
        <v>47</v>
      </c>
      <c r="J41" s="65">
        <v>1</v>
      </c>
      <c r="K41" s="66">
        <v>9702</v>
      </c>
      <c r="L41" s="67" t="s">
        <v>853</v>
      </c>
      <c r="M41" s="66">
        <v>10335</v>
      </c>
      <c r="N41" s="67" t="s">
        <v>873</v>
      </c>
      <c r="O41" s="66">
        <v>9631</v>
      </c>
      <c r="P41" s="67" t="s">
        <v>857</v>
      </c>
      <c r="Q41" s="66">
        <v>10265</v>
      </c>
      <c r="R41" s="67" t="s">
        <v>873</v>
      </c>
      <c r="S41" s="68">
        <v>9971.23</v>
      </c>
      <c r="T41" s="65">
        <v>1740</v>
      </c>
      <c r="U41" s="65" t="s">
        <v>955</v>
      </c>
      <c r="V41" s="65">
        <v>17419112</v>
      </c>
      <c r="W41" s="65" t="s">
        <v>955</v>
      </c>
      <c r="X41" s="69">
        <v>22</v>
      </c>
    </row>
    <row r="42" spans="1:24">
      <c r="A42" s="60" t="s">
        <v>958</v>
      </c>
      <c r="B42" s="60" t="s">
        <v>169</v>
      </c>
      <c r="C42" s="60" t="s">
        <v>170</v>
      </c>
      <c r="D42" s="60" t="s">
        <v>171</v>
      </c>
      <c r="E42" s="61" t="s">
        <v>46</v>
      </c>
      <c r="F42" s="62" t="s">
        <v>46</v>
      </c>
      <c r="G42" s="63" t="s">
        <v>46</v>
      </c>
      <c r="H42" s="64"/>
      <c r="I42" s="64" t="s">
        <v>47</v>
      </c>
      <c r="J42" s="65">
        <v>1</v>
      </c>
      <c r="K42" s="66">
        <v>18525</v>
      </c>
      <c r="L42" s="67" t="s">
        <v>857</v>
      </c>
      <c r="M42" s="66">
        <v>20040</v>
      </c>
      <c r="N42" s="67" t="s">
        <v>873</v>
      </c>
      <c r="O42" s="66">
        <v>18525</v>
      </c>
      <c r="P42" s="67" t="s">
        <v>857</v>
      </c>
      <c r="Q42" s="66">
        <v>20030</v>
      </c>
      <c r="R42" s="67" t="s">
        <v>873</v>
      </c>
      <c r="S42" s="68">
        <v>19389</v>
      </c>
      <c r="T42" s="65">
        <v>137</v>
      </c>
      <c r="U42" s="65" t="s">
        <v>955</v>
      </c>
      <c r="V42" s="65">
        <v>2620825</v>
      </c>
      <c r="W42" s="65" t="s">
        <v>955</v>
      </c>
      <c r="X42" s="69">
        <v>10</v>
      </c>
    </row>
    <row r="43" spans="1:24">
      <c r="A43" s="60" t="s">
        <v>958</v>
      </c>
      <c r="B43" s="60" t="s">
        <v>173</v>
      </c>
      <c r="C43" s="60" t="s">
        <v>174</v>
      </c>
      <c r="D43" s="60" t="s">
        <v>175</v>
      </c>
      <c r="E43" s="61" t="s">
        <v>46</v>
      </c>
      <c r="F43" s="62" t="s">
        <v>46</v>
      </c>
      <c r="G43" s="63" t="s">
        <v>46</v>
      </c>
      <c r="H43" s="64"/>
      <c r="I43" s="64" t="s">
        <v>47</v>
      </c>
      <c r="J43" s="65">
        <v>1</v>
      </c>
      <c r="K43" s="66">
        <v>16800</v>
      </c>
      <c r="L43" s="67" t="s">
        <v>853</v>
      </c>
      <c r="M43" s="66">
        <v>17300</v>
      </c>
      <c r="N43" s="67" t="s">
        <v>88</v>
      </c>
      <c r="O43" s="66">
        <v>15910</v>
      </c>
      <c r="P43" s="67" t="s">
        <v>371</v>
      </c>
      <c r="Q43" s="66">
        <v>17300</v>
      </c>
      <c r="R43" s="67" t="s">
        <v>873</v>
      </c>
      <c r="S43" s="68">
        <v>16707</v>
      </c>
      <c r="T43" s="65">
        <v>27</v>
      </c>
      <c r="U43" s="65" t="s">
        <v>955</v>
      </c>
      <c r="V43" s="65">
        <v>447680</v>
      </c>
      <c r="W43" s="65" t="s">
        <v>955</v>
      </c>
      <c r="X43" s="69">
        <v>10</v>
      </c>
    </row>
    <row r="44" spans="1:24">
      <c r="A44" s="60" t="s">
        <v>958</v>
      </c>
      <c r="B44" s="60" t="s">
        <v>177</v>
      </c>
      <c r="C44" s="60" t="s">
        <v>178</v>
      </c>
      <c r="D44" s="60" t="s">
        <v>179</v>
      </c>
      <c r="E44" s="61" t="s">
        <v>46</v>
      </c>
      <c r="F44" s="62" t="s">
        <v>46</v>
      </c>
      <c r="G44" s="63" t="s">
        <v>46</v>
      </c>
      <c r="H44" s="64"/>
      <c r="I44" s="64" t="s">
        <v>47</v>
      </c>
      <c r="J44" s="65">
        <v>1</v>
      </c>
      <c r="K44" s="66">
        <v>9856</v>
      </c>
      <c r="L44" s="67" t="s">
        <v>853</v>
      </c>
      <c r="M44" s="66">
        <v>10760</v>
      </c>
      <c r="N44" s="67" t="s">
        <v>88</v>
      </c>
      <c r="O44" s="66">
        <v>9856</v>
      </c>
      <c r="P44" s="67" t="s">
        <v>853</v>
      </c>
      <c r="Q44" s="66">
        <v>10645</v>
      </c>
      <c r="R44" s="67" t="s">
        <v>873</v>
      </c>
      <c r="S44" s="68">
        <v>10276.91</v>
      </c>
      <c r="T44" s="65">
        <v>805</v>
      </c>
      <c r="U44" s="65" t="s">
        <v>955</v>
      </c>
      <c r="V44" s="65">
        <v>8364320</v>
      </c>
      <c r="W44" s="65" t="s">
        <v>955</v>
      </c>
      <c r="X44" s="69">
        <v>22</v>
      </c>
    </row>
    <row r="45" spans="1:24">
      <c r="A45" s="60" t="s">
        <v>958</v>
      </c>
      <c r="B45" s="60" t="s">
        <v>180</v>
      </c>
      <c r="C45" s="60" t="s">
        <v>181</v>
      </c>
      <c r="D45" s="60" t="s">
        <v>182</v>
      </c>
      <c r="E45" s="61" t="s">
        <v>46</v>
      </c>
      <c r="F45" s="62" t="s">
        <v>46</v>
      </c>
      <c r="G45" s="63" t="s">
        <v>46</v>
      </c>
      <c r="H45" s="64"/>
      <c r="I45" s="64" t="s">
        <v>47</v>
      </c>
      <c r="J45" s="65">
        <v>1</v>
      </c>
      <c r="K45" s="66">
        <v>5145</v>
      </c>
      <c r="L45" s="67" t="s">
        <v>853</v>
      </c>
      <c r="M45" s="66">
        <v>5428</v>
      </c>
      <c r="N45" s="67" t="s">
        <v>88</v>
      </c>
      <c r="O45" s="66">
        <v>5030</v>
      </c>
      <c r="P45" s="67" t="s">
        <v>857</v>
      </c>
      <c r="Q45" s="66">
        <v>5419</v>
      </c>
      <c r="R45" s="67" t="s">
        <v>873</v>
      </c>
      <c r="S45" s="68">
        <v>5276.15</v>
      </c>
      <c r="T45" s="65">
        <v>2774</v>
      </c>
      <c r="U45" s="65" t="s">
        <v>955</v>
      </c>
      <c r="V45" s="65">
        <v>14604108</v>
      </c>
      <c r="W45" s="65" t="s">
        <v>955</v>
      </c>
      <c r="X45" s="69">
        <v>20</v>
      </c>
    </row>
    <row r="46" spans="1:24">
      <c r="A46" s="60" t="s">
        <v>958</v>
      </c>
      <c r="B46" s="60" t="s">
        <v>183</v>
      </c>
      <c r="C46" s="60" t="s">
        <v>184</v>
      </c>
      <c r="D46" s="60" t="s">
        <v>185</v>
      </c>
      <c r="E46" s="61" t="s">
        <v>46</v>
      </c>
      <c r="F46" s="62" t="s">
        <v>46</v>
      </c>
      <c r="G46" s="63" t="s">
        <v>46</v>
      </c>
      <c r="H46" s="64"/>
      <c r="I46" s="64" t="s">
        <v>47</v>
      </c>
      <c r="J46" s="65">
        <v>1</v>
      </c>
      <c r="K46" s="66">
        <v>2947</v>
      </c>
      <c r="L46" s="67" t="s">
        <v>853</v>
      </c>
      <c r="M46" s="66">
        <v>3195</v>
      </c>
      <c r="N46" s="67" t="s">
        <v>873</v>
      </c>
      <c r="O46" s="66">
        <v>2813</v>
      </c>
      <c r="P46" s="67" t="s">
        <v>857</v>
      </c>
      <c r="Q46" s="66">
        <v>3165</v>
      </c>
      <c r="R46" s="67" t="s">
        <v>873</v>
      </c>
      <c r="S46" s="68">
        <v>2992.27</v>
      </c>
      <c r="T46" s="65">
        <v>5428</v>
      </c>
      <c r="U46" s="65" t="s">
        <v>955</v>
      </c>
      <c r="V46" s="65">
        <v>16405291</v>
      </c>
      <c r="W46" s="65" t="s">
        <v>955</v>
      </c>
      <c r="X46" s="69">
        <v>22</v>
      </c>
    </row>
    <row r="47" spans="1:24">
      <c r="A47" s="60" t="s">
        <v>958</v>
      </c>
      <c r="B47" s="60" t="s">
        <v>186</v>
      </c>
      <c r="C47" s="60" t="s">
        <v>187</v>
      </c>
      <c r="D47" s="60" t="s">
        <v>188</v>
      </c>
      <c r="E47" s="61" t="s">
        <v>46</v>
      </c>
      <c r="F47" s="62" t="s">
        <v>46</v>
      </c>
      <c r="G47" s="63" t="s">
        <v>46</v>
      </c>
      <c r="H47" s="64"/>
      <c r="I47" s="64" t="s">
        <v>47</v>
      </c>
      <c r="J47" s="65">
        <v>1</v>
      </c>
      <c r="K47" s="66">
        <v>2630</v>
      </c>
      <c r="L47" s="67" t="s">
        <v>853</v>
      </c>
      <c r="M47" s="66">
        <v>2922</v>
      </c>
      <c r="N47" s="67" t="s">
        <v>50</v>
      </c>
      <c r="O47" s="66">
        <v>2618</v>
      </c>
      <c r="P47" s="67" t="s">
        <v>853</v>
      </c>
      <c r="Q47" s="66">
        <v>2889</v>
      </c>
      <c r="R47" s="67" t="s">
        <v>873</v>
      </c>
      <c r="S47" s="68">
        <v>2753.86</v>
      </c>
      <c r="T47" s="65">
        <v>2590</v>
      </c>
      <c r="U47" s="65" t="s">
        <v>955</v>
      </c>
      <c r="V47" s="65">
        <v>7052477</v>
      </c>
      <c r="W47" s="65" t="s">
        <v>955</v>
      </c>
      <c r="X47" s="69">
        <v>22</v>
      </c>
    </row>
    <row r="48" spans="1:24">
      <c r="A48" s="60" t="s">
        <v>958</v>
      </c>
      <c r="B48" s="60" t="s">
        <v>189</v>
      </c>
      <c r="C48" s="60" t="s">
        <v>190</v>
      </c>
      <c r="D48" s="60" t="s">
        <v>191</v>
      </c>
      <c r="E48" s="61" t="s">
        <v>46</v>
      </c>
      <c r="F48" s="62" t="s">
        <v>46</v>
      </c>
      <c r="G48" s="63" t="s">
        <v>46</v>
      </c>
      <c r="H48" s="64"/>
      <c r="I48" s="64" t="s">
        <v>47</v>
      </c>
      <c r="J48" s="65">
        <v>1</v>
      </c>
      <c r="K48" s="66">
        <v>54500</v>
      </c>
      <c r="L48" s="67" t="s">
        <v>853</v>
      </c>
      <c r="M48" s="66">
        <v>54650</v>
      </c>
      <c r="N48" s="67" t="s">
        <v>873</v>
      </c>
      <c r="O48" s="66">
        <v>50840</v>
      </c>
      <c r="P48" s="67" t="s">
        <v>857</v>
      </c>
      <c r="Q48" s="66">
        <v>54510</v>
      </c>
      <c r="R48" s="67" t="s">
        <v>873</v>
      </c>
      <c r="S48" s="68">
        <v>52878.18</v>
      </c>
      <c r="T48" s="65">
        <v>2693</v>
      </c>
      <c r="U48" s="65" t="s">
        <v>955</v>
      </c>
      <c r="V48" s="65">
        <v>141835270</v>
      </c>
      <c r="W48" s="65" t="s">
        <v>955</v>
      </c>
      <c r="X48" s="69">
        <v>22</v>
      </c>
    </row>
    <row r="49" spans="1:24">
      <c r="A49" s="60" t="s">
        <v>958</v>
      </c>
      <c r="B49" s="60" t="s">
        <v>192</v>
      </c>
      <c r="C49" s="60" t="s">
        <v>193</v>
      </c>
      <c r="D49" s="60" t="s">
        <v>194</v>
      </c>
      <c r="E49" s="61" t="s">
        <v>46</v>
      </c>
      <c r="F49" s="62" t="s">
        <v>46</v>
      </c>
      <c r="G49" s="63" t="s">
        <v>46</v>
      </c>
      <c r="H49" s="64"/>
      <c r="I49" s="64" t="s">
        <v>47</v>
      </c>
      <c r="J49" s="65">
        <v>1</v>
      </c>
      <c r="K49" s="66">
        <v>35900</v>
      </c>
      <c r="L49" s="67" t="s">
        <v>853</v>
      </c>
      <c r="M49" s="66">
        <v>38680</v>
      </c>
      <c r="N49" s="67" t="s">
        <v>88</v>
      </c>
      <c r="O49" s="66">
        <v>35510</v>
      </c>
      <c r="P49" s="67" t="s">
        <v>857</v>
      </c>
      <c r="Q49" s="66">
        <v>37870</v>
      </c>
      <c r="R49" s="67" t="s">
        <v>873</v>
      </c>
      <c r="S49" s="68">
        <v>37070</v>
      </c>
      <c r="T49" s="65">
        <v>398</v>
      </c>
      <c r="U49" s="65" t="s">
        <v>955</v>
      </c>
      <c r="V49" s="65">
        <v>14702630</v>
      </c>
      <c r="W49" s="65" t="s">
        <v>955</v>
      </c>
      <c r="X49" s="69">
        <v>19</v>
      </c>
    </row>
    <row r="50" spans="1:24">
      <c r="A50" s="60" t="s">
        <v>958</v>
      </c>
      <c r="B50" s="60" t="s">
        <v>195</v>
      </c>
      <c r="C50" s="60" t="s">
        <v>196</v>
      </c>
      <c r="D50" s="60" t="s">
        <v>197</v>
      </c>
      <c r="E50" s="61" t="s">
        <v>46</v>
      </c>
      <c r="F50" s="62" t="s">
        <v>46</v>
      </c>
      <c r="G50" s="63" t="s">
        <v>46</v>
      </c>
      <c r="H50" s="64"/>
      <c r="I50" s="64" t="s">
        <v>47</v>
      </c>
      <c r="J50" s="65">
        <v>1</v>
      </c>
      <c r="K50" s="66">
        <v>28300</v>
      </c>
      <c r="L50" s="67" t="s">
        <v>853</v>
      </c>
      <c r="M50" s="66">
        <v>29370</v>
      </c>
      <c r="N50" s="67" t="s">
        <v>50</v>
      </c>
      <c r="O50" s="66">
        <v>27865</v>
      </c>
      <c r="P50" s="67" t="s">
        <v>857</v>
      </c>
      <c r="Q50" s="66">
        <v>29100</v>
      </c>
      <c r="R50" s="67" t="s">
        <v>873</v>
      </c>
      <c r="S50" s="68">
        <v>28783.68</v>
      </c>
      <c r="T50" s="65">
        <v>199955</v>
      </c>
      <c r="U50" s="65">
        <v>101915</v>
      </c>
      <c r="V50" s="65">
        <v>5740011365</v>
      </c>
      <c r="W50" s="65">
        <v>2928649175</v>
      </c>
      <c r="X50" s="69">
        <v>19</v>
      </c>
    </row>
    <row r="51" spans="1:24">
      <c r="A51" s="60" t="s">
        <v>958</v>
      </c>
      <c r="B51" s="60" t="s">
        <v>198</v>
      </c>
      <c r="C51" s="60" t="s">
        <v>199</v>
      </c>
      <c r="D51" s="60" t="s">
        <v>200</v>
      </c>
      <c r="E51" s="61" t="s">
        <v>46</v>
      </c>
      <c r="F51" s="62" t="s">
        <v>46</v>
      </c>
      <c r="G51" s="63" t="s">
        <v>46</v>
      </c>
      <c r="H51" s="64"/>
      <c r="I51" s="64" t="s">
        <v>47</v>
      </c>
      <c r="J51" s="65">
        <v>10</v>
      </c>
      <c r="K51" s="66">
        <v>2073</v>
      </c>
      <c r="L51" s="67" t="s">
        <v>853</v>
      </c>
      <c r="M51" s="66">
        <v>2120</v>
      </c>
      <c r="N51" s="67" t="s">
        <v>873</v>
      </c>
      <c r="O51" s="66">
        <v>2055</v>
      </c>
      <c r="P51" s="67" t="s">
        <v>857</v>
      </c>
      <c r="Q51" s="66">
        <v>2120</v>
      </c>
      <c r="R51" s="67" t="s">
        <v>873</v>
      </c>
      <c r="S51" s="68">
        <v>2083.0700000000002</v>
      </c>
      <c r="T51" s="65">
        <v>659340</v>
      </c>
      <c r="U51" s="65">
        <v>351500</v>
      </c>
      <c r="V51" s="65">
        <v>1373091556</v>
      </c>
      <c r="W51" s="65">
        <v>733249331</v>
      </c>
      <c r="X51" s="69">
        <v>21</v>
      </c>
    </row>
    <row r="52" spans="1:24">
      <c r="A52" s="60" t="s">
        <v>958</v>
      </c>
      <c r="B52" s="60" t="s">
        <v>201</v>
      </c>
      <c r="C52" s="60" t="s">
        <v>202</v>
      </c>
      <c r="D52" s="60" t="s">
        <v>203</v>
      </c>
      <c r="E52" s="61" t="s">
        <v>46</v>
      </c>
      <c r="F52" s="62" t="s">
        <v>46</v>
      </c>
      <c r="G52" s="63" t="s">
        <v>46</v>
      </c>
      <c r="H52" s="64"/>
      <c r="I52" s="64" t="s">
        <v>47</v>
      </c>
      <c r="J52" s="65">
        <v>10</v>
      </c>
      <c r="K52" s="66">
        <v>1471</v>
      </c>
      <c r="L52" s="67" t="s">
        <v>853</v>
      </c>
      <c r="M52" s="66">
        <v>1550</v>
      </c>
      <c r="N52" s="67" t="s">
        <v>371</v>
      </c>
      <c r="O52" s="66">
        <v>1466</v>
      </c>
      <c r="P52" s="67" t="s">
        <v>853</v>
      </c>
      <c r="Q52" s="66">
        <v>1543</v>
      </c>
      <c r="R52" s="67" t="s">
        <v>873</v>
      </c>
      <c r="S52" s="68">
        <v>1521.38</v>
      </c>
      <c r="T52" s="65">
        <v>26260</v>
      </c>
      <c r="U52" s="65" t="s">
        <v>955</v>
      </c>
      <c r="V52" s="65">
        <v>40184255</v>
      </c>
      <c r="W52" s="65" t="s">
        <v>955</v>
      </c>
      <c r="X52" s="69">
        <v>20</v>
      </c>
    </row>
    <row r="53" spans="1:24">
      <c r="A53" s="60" t="s">
        <v>958</v>
      </c>
      <c r="B53" s="60" t="s">
        <v>204</v>
      </c>
      <c r="C53" s="60" t="s">
        <v>205</v>
      </c>
      <c r="D53" s="60" t="s">
        <v>206</v>
      </c>
      <c r="E53" s="61" t="s">
        <v>46</v>
      </c>
      <c r="F53" s="62" t="s">
        <v>46</v>
      </c>
      <c r="G53" s="63" t="s">
        <v>46</v>
      </c>
      <c r="H53" s="64"/>
      <c r="I53" s="64" t="s">
        <v>47</v>
      </c>
      <c r="J53" s="65">
        <v>1</v>
      </c>
      <c r="K53" s="66">
        <v>4395</v>
      </c>
      <c r="L53" s="67" t="s">
        <v>853</v>
      </c>
      <c r="M53" s="66">
        <v>4440</v>
      </c>
      <c r="N53" s="67" t="s">
        <v>853</v>
      </c>
      <c r="O53" s="66">
        <v>4185</v>
      </c>
      <c r="P53" s="67" t="s">
        <v>88</v>
      </c>
      <c r="Q53" s="66">
        <v>4225</v>
      </c>
      <c r="R53" s="67" t="s">
        <v>873</v>
      </c>
      <c r="S53" s="68">
        <v>4277.2700000000004</v>
      </c>
      <c r="T53" s="65">
        <v>1482241</v>
      </c>
      <c r="U53" s="65">
        <v>921000</v>
      </c>
      <c r="V53" s="65">
        <v>6334063460</v>
      </c>
      <c r="W53" s="65">
        <v>3918102600</v>
      </c>
      <c r="X53" s="69">
        <v>22</v>
      </c>
    </row>
    <row r="54" spans="1:24">
      <c r="A54" s="60" t="s">
        <v>958</v>
      </c>
      <c r="B54" s="60" t="s">
        <v>207</v>
      </c>
      <c r="C54" s="60" t="s">
        <v>208</v>
      </c>
      <c r="D54" s="60" t="s">
        <v>209</v>
      </c>
      <c r="E54" s="61" t="s">
        <v>46</v>
      </c>
      <c r="F54" s="62" t="s">
        <v>46</v>
      </c>
      <c r="G54" s="63" t="s">
        <v>46</v>
      </c>
      <c r="H54" s="64"/>
      <c r="I54" s="64" t="s">
        <v>47</v>
      </c>
      <c r="J54" s="65">
        <v>1</v>
      </c>
      <c r="K54" s="66">
        <v>5250</v>
      </c>
      <c r="L54" s="67" t="s">
        <v>853</v>
      </c>
      <c r="M54" s="66">
        <v>5280</v>
      </c>
      <c r="N54" s="67" t="s">
        <v>853</v>
      </c>
      <c r="O54" s="66">
        <v>5010</v>
      </c>
      <c r="P54" s="67" t="s">
        <v>854</v>
      </c>
      <c r="Q54" s="66">
        <v>5040</v>
      </c>
      <c r="R54" s="67" t="s">
        <v>873</v>
      </c>
      <c r="S54" s="68">
        <v>5102.2700000000004</v>
      </c>
      <c r="T54" s="65">
        <v>820737</v>
      </c>
      <c r="U54" s="65">
        <v>736000</v>
      </c>
      <c r="V54" s="65">
        <v>4206513490</v>
      </c>
      <c r="W54" s="65">
        <v>3775465400</v>
      </c>
      <c r="X54" s="69">
        <v>22</v>
      </c>
    </row>
    <row r="55" spans="1:24">
      <c r="A55" s="60" t="s">
        <v>958</v>
      </c>
      <c r="B55" s="60" t="s">
        <v>210</v>
      </c>
      <c r="C55" s="60" t="s">
        <v>211</v>
      </c>
      <c r="D55" s="60" t="s">
        <v>212</v>
      </c>
      <c r="E55" s="61" t="s">
        <v>46</v>
      </c>
      <c r="F55" s="62" t="s">
        <v>46</v>
      </c>
      <c r="G55" s="63" t="s">
        <v>46</v>
      </c>
      <c r="H55" s="64"/>
      <c r="I55" s="64" t="s">
        <v>47</v>
      </c>
      <c r="J55" s="65">
        <v>1</v>
      </c>
      <c r="K55" s="66">
        <v>17200</v>
      </c>
      <c r="L55" s="67" t="s">
        <v>853</v>
      </c>
      <c r="M55" s="66">
        <v>18735</v>
      </c>
      <c r="N55" s="67" t="s">
        <v>50</v>
      </c>
      <c r="O55" s="66">
        <v>16830</v>
      </c>
      <c r="P55" s="67" t="s">
        <v>858</v>
      </c>
      <c r="Q55" s="66">
        <v>18365</v>
      </c>
      <c r="R55" s="67" t="s">
        <v>873</v>
      </c>
      <c r="S55" s="68">
        <v>17977.5</v>
      </c>
      <c r="T55" s="65">
        <v>16514964</v>
      </c>
      <c r="U55" s="65">
        <v>5033</v>
      </c>
      <c r="V55" s="65">
        <v>295112979050</v>
      </c>
      <c r="W55" s="65">
        <v>85432800</v>
      </c>
      <c r="X55" s="69">
        <v>22</v>
      </c>
    </row>
    <row r="56" spans="1:24">
      <c r="A56" s="60" t="s">
        <v>958</v>
      </c>
      <c r="B56" s="60" t="s">
        <v>213</v>
      </c>
      <c r="C56" s="60" t="s">
        <v>214</v>
      </c>
      <c r="D56" s="60" t="s">
        <v>215</v>
      </c>
      <c r="E56" s="61" t="s">
        <v>46</v>
      </c>
      <c r="F56" s="62" t="s">
        <v>46</v>
      </c>
      <c r="G56" s="63" t="s">
        <v>46</v>
      </c>
      <c r="H56" s="64"/>
      <c r="I56" s="64" t="s">
        <v>47</v>
      </c>
      <c r="J56" s="65">
        <v>1</v>
      </c>
      <c r="K56" s="66">
        <v>1674</v>
      </c>
      <c r="L56" s="67" t="s">
        <v>853</v>
      </c>
      <c r="M56" s="66">
        <v>1708</v>
      </c>
      <c r="N56" s="67" t="s">
        <v>853</v>
      </c>
      <c r="O56" s="66">
        <v>1510</v>
      </c>
      <c r="P56" s="67" t="s">
        <v>88</v>
      </c>
      <c r="Q56" s="66">
        <v>1540</v>
      </c>
      <c r="R56" s="67" t="s">
        <v>873</v>
      </c>
      <c r="S56" s="68">
        <v>1584</v>
      </c>
      <c r="T56" s="65">
        <v>144873936</v>
      </c>
      <c r="U56" s="65">
        <v>100010</v>
      </c>
      <c r="V56" s="65">
        <v>231994720015</v>
      </c>
      <c r="W56" s="65">
        <v>157335550</v>
      </c>
      <c r="X56" s="69">
        <v>22</v>
      </c>
    </row>
    <row r="57" spans="1:24">
      <c r="A57" s="60" t="s">
        <v>958</v>
      </c>
      <c r="B57" s="60" t="s">
        <v>219</v>
      </c>
      <c r="C57" s="60" t="s">
        <v>220</v>
      </c>
      <c r="D57" s="60" t="s">
        <v>221</v>
      </c>
      <c r="E57" s="61" t="s">
        <v>46</v>
      </c>
      <c r="F57" s="62" t="s">
        <v>46</v>
      </c>
      <c r="G57" s="63" t="s">
        <v>46</v>
      </c>
      <c r="H57" s="64"/>
      <c r="I57" s="64" t="s">
        <v>47</v>
      </c>
      <c r="J57" s="65">
        <v>1</v>
      </c>
      <c r="K57" s="66">
        <v>14665</v>
      </c>
      <c r="L57" s="67" t="s">
        <v>853</v>
      </c>
      <c r="M57" s="66">
        <v>15910</v>
      </c>
      <c r="N57" s="67" t="s">
        <v>854</v>
      </c>
      <c r="O57" s="66">
        <v>14385</v>
      </c>
      <c r="P57" s="67" t="s">
        <v>853</v>
      </c>
      <c r="Q57" s="66">
        <v>15570</v>
      </c>
      <c r="R57" s="67" t="s">
        <v>873</v>
      </c>
      <c r="S57" s="68">
        <v>15348.41</v>
      </c>
      <c r="T57" s="65">
        <v>5088</v>
      </c>
      <c r="U57" s="65" t="s">
        <v>955</v>
      </c>
      <c r="V57" s="65">
        <v>77723255</v>
      </c>
      <c r="W57" s="65" t="s">
        <v>955</v>
      </c>
      <c r="X57" s="69">
        <v>22</v>
      </c>
    </row>
    <row r="58" spans="1:24">
      <c r="A58" s="60" t="s">
        <v>958</v>
      </c>
      <c r="B58" s="60" t="s">
        <v>222</v>
      </c>
      <c r="C58" s="60" t="s">
        <v>223</v>
      </c>
      <c r="D58" s="60" t="s">
        <v>224</v>
      </c>
      <c r="E58" s="61" t="s">
        <v>46</v>
      </c>
      <c r="F58" s="62" t="s">
        <v>46</v>
      </c>
      <c r="G58" s="63" t="s">
        <v>46</v>
      </c>
      <c r="H58" s="64"/>
      <c r="I58" s="64" t="s">
        <v>47</v>
      </c>
      <c r="J58" s="65">
        <v>1</v>
      </c>
      <c r="K58" s="66">
        <v>5100</v>
      </c>
      <c r="L58" s="67" t="s">
        <v>853</v>
      </c>
      <c r="M58" s="66">
        <v>5130</v>
      </c>
      <c r="N58" s="67" t="s">
        <v>853</v>
      </c>
      <c r="O58" s="66">
        <v>4835</v>
      </c>
      <c r="P58" s="67" t="s">
        <v>96</v>
      </c>
      <c r="Q58" s="66">
        <v>4890</v>
      </c>
      <c r="R58" s="67" t="s">
        <v>873</v>
      </c>
      <c r="S58" s="68">
        <v>4946</v>
      </c>
      <c r="T58" s="65">
        <v>300843</v>
      </c>
      <c r="U58" s="65">
        <v>300000</v>
      </c>
      <c r="V58" s="65">
        <v>1471484325</v>
      </c>
      <c r="W58" s="65">
        <v>1467300000</v>
      </c>
      <c r="X58" s="69">
        <v>15</v>
      </c>
    </row>
    <row r="59" spans="1:24">
      <c r="A59" s="60" t="s">
        <v>958</v>
      </c>
      <c r="B59" s="60" t="s">
        <v>225</v>
      </c>
      <c r="C59" s="60" t="s">
        <v>226</v>
      </c>
      <c r="D59" s="60" t="s">
        <v>227</v>
      </c>
      <c r="E59" s="61" t="s">
        <v>46</v>
      </c>
      <c r="F59" s="62" t="s">
        <v>46</v>
      </c>
      <c r="G59" s="63" t="s">
        <v>46</v>
      </c>
      <c r="H59" s="64"/>
      <c r="I59" s="64" t="s">
        <v>47</v>
      </c>
      <c r="J59" s="65">
        <v>1</v>
      </c>
      <c r="K59" s="66">
        <v>2073</v>
      </c>
      <c r="L59" s="67" t="s">
        <v>853</v>
      </c>
      <c r="M59" s="66">
        <v>2086</v>
      </c>
      <c r="N59" s="67" t="s">
        <v>857</v>
      </c>
      <c r="O59" s="66">
        <v>1877</v>
      </c>
      <c r="P59" s="67" t="s">
        <v>50</v>
      </c>
      <c r="Q59" s="66">
        <v>1899</v>
      </c>
      <c r="R59" s="67" t="s">
        <v>873</v>
      </c>
      <c r="S59" s="68">
        <v>1951.5</v>
      </c>
      <c r="T59" s="65">
        <v>44873</v>
      </c>
      <c r="U59" s="65" t="s">
        <v>955</v>
      </c>
      <c r="V59" s="65">
        <v>87401644</v>
      </c>
      <c r="W59" s="65" t="s">
        <v>955</v>
      </c>
      <c r="X59" s="69">
        <v>22</v>
      </c>
    </row>
    <row r="60" spans="1:24">
      <c r="A60" s="60" t="s">
        <v>958</v>
      </c>
      <c r="B60" s="60" t="s">
        <v>228</v>
      </c>
      <c r="C60" s="60" t="s">
        <v>229</v>
      </c>
      <c r="D60" s="60" t="s">
        <v>230</v>
      </c>
      <c r="E60" s="61" t="s">
        <v>46</v>
      </c>
      <c r="F60" s="62" t="s">
        <v>46</v>
      </c>
      <c r="G60" s="63" t="s">
        <v>46</v>
      </c>
      <c r="H60" s="64"/>
      <c r="I60" s="64" t="s">
        <v>47</v>
      </c>
      <c r="J60" s="65">
        <v>10</v>
      </c>
      <c r="K60" s="66">
        <v>14100</v>
      </c>
      <c r="L60" s="67" t="s">
        <v>853</v>
      </c>
      <c r="M60" s="66">
        <v>14930</v>
      </c>
      <c r="N60" s="67" t="s">
        <v>88</v>
      </c>
      <c r="O60" s="66">
        <v>13785</v>
      </c>
      <c r="P60" s="67" t="s">
        <v>853</v>
      </c>
      <c r="Q60" s="66">
        <v>14805</v>
      </c>
      <c r="R60" s="67" t="s">
        <v>873</v>
      </c>
      <c r="S60" s="68">
        <v>14382.14</v>
      </c>
      <c r="T60" s="65">
        <v>4400</v>
      </c>
      <c r="U60" s="65" t="s">
        <v>955</v>
      </c>
      <c r="V60" s="65">
        <v>63017350</v>
      </c>
      <c r="W60" s="65" t="s">
        <v>955</v>
      </c>
      <c r="X60" s="69">
        <v>21</v>
      </c>
    </row>
    <row r="61" spans="1:24">
      <c r="A61" s="60" t="s">
        <v>958</v>
      </c>
      <c r="B61" s="60" t="s">
        <v>231</v>
      </c>
      <c r="C61" s="60" t="s">
        <v>232</v>
      </c>
      <c r="D61" s="60" t="s">
        <v>233</v>
      </c>
      <c r="E61" s="61" t="s">
        <v>46</v>
      </c>
      <c r="F61" s="62" t="s">
        <v>46</v>
      </c>
      <c r="G61" s="63" t="s">
        <v>46</v>
      </c>
      <c r="H61" s="64"/>
      <c r="I61" s="64" t="s">
        <v>47</v>
      </c>
      <c r="J61" s="65">
        <v>10</v>
      </c>
      <c r="K61" s="66">
        <v>4844</v>
      </c>
      <c r="L61" s="67" t="s">
        <v>853</v>
      </c>
      <c r="M61" s="66">
        <v>4844</v>
      </c>
      <c r="N61" s="67" t="s">
        <v>853</v>
      </c>
      <c r="O61" s="66">
        <v>4570</v>
      </c>
      <c r="P61" s="67" t="s">
        <v>96</v>
      </c>
      <c r="Q61" s="66">
        <v>4637</v>
      </c>
      <c r="R61" s="67" t="s">
        <v>50</v>
      </c>
      <c r="S61" s="68">
        <v>4703.8</v>
      </c>
      <c r="T61" s="65">
        <v>640870</v>
      </c>
      <c r="U61" s="65">
        <v>640000</v>
      </c>
      <c r="V61" s="65">
        <v>2978542240</v>
      </c>
      <c r="W61" s="65">
        <v>2974480000</v>
      </c>
      <c r="X61" s="69">
        <v>10</v>
      </c>
    </row>
    <row r="62" spans="1:24">
      <c r="A62" s="60" t="s">
        <v>958</v>
      </c>
      <c r="B62" s="60" t="s">
        <v>234</v>
      </c>
      <c r="C62" s="60" t="s">
        <v>235</v>
      </c>
      <c r="D62" s="60" t="s">
        <v>236</v>
      </c>
      <c r="E62" s="61" t="s">
        <v>46</v>
      </c>
      <c r="F62" s="62" t="s">
        <v>46</v>
      </c>
      <c r="G62" s="63" t="s">
        <v>46</v>
      </c>
      <c r="H62" s="64"/>
      <c r="I62" s="64" t="s">
        <v>47</v>
      </c>
      <c r="J62" s="65">
        <v>10</v>
      </c>
      <c r="K62" s="66">
        <v>2050</v>
      </c>
      <c r="L62" s="67" t="s">
        <v>853</v>
      </c>
      <c r="M62" s="66">
        <v>2065.5</v>
      </c>
      <c r="N62" s="67" t="s">
        <v>853</v>
      </c>
      <c r="O62" s="66">
        <v>1857</v>
      </c>
      <c r="P62" s="67" t="s">
        <v>854</v>
      </c>
      <c r="Q62" s="66">
        <v>1895</v>
      </c>
      <c r="R62" s="67" t="s">
        <v>873</v>
      </c>
      <c r="S62" s="68">
        <v>1929.05</v>
      </c>
      <c r="T62" s="65">
        <v>42640</v>
      </c>
      <c r="U62" s="65" t="s">
        <v>955</v>
      </c>
      <c r="V62" s="65">
        <v>82647310</v>
      </c>
      <c r="W62" s="65" t="s">
        <v>955</v>
      </c>
      <c r="X62" s="69">
        <v>22</v>
      </c>
    </row>
    <row r="63" spans="1:24">
      <c r="A63" s="60" t="s">
        <v>958</v>
      </c>
      <c r="B63" s="60" t="s">
        <v>241</v>
      </c>
      <c r="C63" s="60" t="s">
        <v>242</v>
      </c>
      <c r="D63" s="60" t="s">
        <v>243</v>
      </c>
      <c r="E63" s="61" t="s">
        <v>46</v>
      </c>
      <c r="F63" s="62" t="s">
        <v>46</v>
      </c>
      <c r="G63" s="63" t="s">
        <v>46</v>
      </c>
      <c r="H63" s="64"/>
      <c r="I63" s="64" t="s">
        <v>47</v>
      </c>
      <c r="J63" s="65">
        <v>1</v>
      </c>
      <c r="K63" s="66">
        <v>3300</v>
      </c>
      <c r="L63" s="67" t="s">
        <v>853</v>
      </c>
      <c r="M63" s="66">
        <v>3300</v>
      </c>
      <c r="N63" s="67" t="s">
        <v>853</v>
      </c>
      <c r="O63" s="66">
        <v>3125</v>
      </c>
      <c r="P63" s="67" t="s">
        <v>96</v>
      </c>
      <c r="Q63" s="66">
        <v>3175</v>
      </c>
      <c r="R63" s="67" t="s">
        <v>873</v>
      </c>
      <c r="S63" s="68">
        <v>3204.12</v>
      </c>
      <c r="T63" s="65">
        <v>451496</v>
      </c>
      <c r="U63" s="65">
        <v>450001</v>
      </c>
      <c r="V63" s="65">
        <v>1434873005</v>
      </c>
      <c r="W63" s="65">
        <v>1430103225</v>
      </c>
      <c r="X63" s="69">
        <v>17</v>
      </c>
    </row>
    <row r="64" spans="1:24">
      <c r="A64" s="60" t="s">
        <v>958</v>
      </c>
      <c r="B64" s="60" t="s">
        <v>244</v>
      </c>
      <c r="C64" s="60" t="s">
        <v>245</v>
      </c>
      <c r="D64" s="60" t="s">
        <v>246</v>
      </c>
      <c r="E64" s="61" t="s">
        <v>46</v>
      </c>
      <c r="F64" s="62" t="s">
        <v>46</v>
      </c>
      <c r="G64" s="63" t="s">
        <v>46</v>
      </c>
      <c r="H64" s="64"/>
      <c r="I64" s="64" t="s">
        <v>47</v>
      </c>
      <c r="J64" s="65">
        <v>1</v>
      </c>
      <c r="K64" s="66">
        <v>835</v>
      </c>
      <c r="L64" s="67" t="s">
        <v>853</v>
      </c>
      <c r="M64" s="66">
        <v>851</v>
      </c>
      <c r="N64" s="67" t="s">
        <v>853</v>
      </c>
      <c r="O64" s="66">
        <v>749</v>
      </c>
      <c r="P64" s="67" t="s">
        <v>50</v>
      </c>
      <c r="Q64" s="66">
        <v>766</v>
      </c>
      <c r="R64" s="67" t="s">
        <v>873</v>
      </c>
      <c r="S64" s="68">
        <v>777.59</v>
      </c>
      <c r="T64" s="65">
        <v>49595</v>
      </c>
      <c r="U64" s="65" t="s">
        <v>955</v>
      </c>
      <c r="V64" s="65">
        <v>38942416</v>
      </c>
      <c r="W64" s="65" t="s">
        <v>955</v>
      </c>
      <c r="X64" s="69">
        <v>22</v>
      </c>
    </row>
    <row r="65" spans="1:24">
      <c r="A65" s="60" t="s">
        <v>958</v>
      </c>
      <c r="B65" s="60" t="s">
        <v>247</v>
      </c>
      <c r="C65" s="60" t="s">
        <v>248</v>
      </c>
      <c r="D65" s="60" t="s">
        <v>249</v>
      </c>
      <c r="E65" s="61" t="s">
        <v>46</v>
      </c>
      <c r="F65" s="62" t="s">
        <v>46</v>
      </c>
      <c r="G65" s="63" t="s">
        <v>46</v>
      </c>
      <c r="H65" s="64"/>
      <c r="I65" s="64" t="s">
        <v>47</v>
      </c>
      <c r="J65" s="65">
        <v>10</v>
      </c>
      <c r="K65" s="66">
        <v>1969</v>
      </c>
      <c r="L65" s="67" t="s">
        <v>853</v>
      </c>
      <c r="M65" s="66">
        <v>2055.5</v>
      </c>
      <c r="N65" s="67" t="s">
        <v>854</v>
      </c>
      <c r="O65" s="66">
        <v>1955</v>
      </c>
      <c r="P65" s="67" t="s">
        <v>853</v>
      </c>
      <c r="Q65" s="66">
        <v>2043</v>
      </c>
      <c r="R65" s="67" t="s">
        <v>873</v>
      </c>
      <c r="S65" s="68">
        <v>2019.34</v>
      </c>
      <c r="T65" s="65">
        <v>1810200</v>
      </c>
      <c r="U65" s="65">
        <v>279990</v>
      </c>
      <c r="V65" s="65">
        <v>3635394469</v>
      </c>
      <c r="W65" s="65">
        <v>563763684</v>
      </c>
      <c r="X65" s="69">
        <v>22</v>
      </c>
    </row>
    <row r="66" spans="1:24">
      <c r="A66" s="60" t="s">
        <v>958</v>
      </c>
      <c r="B66" s="60" t="s">
        <v>250</v>
      </c>
      <c r="C66" s="60" t="s">
        <v>251</v>
      </c>
      <c r="D66" s="60" t="s">
        <v>252</v>
      </c>
      <c r="E66" s="61" t="s">
        <v>46</v>
      </c>
      <c r="F66" s="62" t="s">
        <v>46</v>
      </c>
      <c r="G66" s="63" t="s">
        <v>46</v>
      </c>
      <c r="H66" s="64"/>
      <c r="I66" s="64" t="s">
        <v>47</v>
      </c>
      <c r="J66" s="65">
        <v>1</v>
      </c>
      <c r="K66" s="66">
        <v>17730</v>
      </c>
      <c r="L66" s="67" t="s">
        <v>853</v>
      </c>
      <c r="M66" s="66">
        <v>18445</v>
      </c>
      <c r="N66" s="67" t="s">
        <v>854</v>
      </c>
      <c r="O66" s="66">
        <v>17560</v>
      </c>
      <c r="P66" s="67" t="s">
        <v>853</v>
      </c>
      <c r="Q66" s="66">
        <v>18365</v>
      </c>
      <c r="R66" s="67" t="s">
        <v>873</v>
      </c>
      <c r="S66" s="68">
        <v>18138.64</v>
      </c>
      <c r="T66" s="65">
        <v>25677</v>
      </c>
      <c r="U66" s="65">
        <v>1</v>
      </c>
      <c r="V66" s="65">
        <v>466761825</v>
      </c>
      <c r="W66" s="65">
        <v>18325</v>
      </c>
      <c r="X66" s="69">
        <v>22</v>
      </c>
    </row>
    <row r="67" spans="1:24">
      <c r="A67" s="60" t="s">
        <v>958</v>
      </c>
      <c r="B67" s="60" t="s">
        <v>253</v>
      </c>
      <c r="C67" s="60" t="s">
        <v>254</v>
      </c>
      <c r="D67" s="60" t="s">
        <v>255</v>
      </c>
      <c r="E67" s="61" t="s">
        <v>46</v>
      </c>
      <c r="F67" s="62" t="s">
        <v>46</v>
      </c>
      <c r="G67" s="63" t="s">
        <v>46</v>
      </c>
      <c r="H67" s="64"/>
      <c r="I67" s="64" t="s">
        <v>47</v>
      </c>
      <c r="J67" s="65">
        <v>1</v>
      </c>
      <c r="K67" s="66">
        <v>1977</v>
      </c>
      <c r="L67" s="67" t="s">
        <v>853</v>
      </c>
      <c r="M67" s="66">
        <v>2068</v>
      </c>
      <c r="N67" s="67" t="s">
        <v>854</v>
      </c>
      <c r="O67" s="66">
        <v>1964</v>
      </c>
      <c r="P67" s="67" t="s">
        <v>853</v>
      </c>
      <c r="Q67" s="66">
        <v>2045</v>
      </c>
      <c r="R67" s="67" t="s">
        <v>873</v>
      </c>
      <c r="S67" s="68">
        <v>2029.95</v>
      </c>
      <c r="T67" s="65">
        <v>5091733</v>
      </c>
      <c r="U67" s="65">
        <v>1543580</v>
      </c>
      <c r="V67" s="65">
        <v>10254265125</v>
      </c>
      <c r="W67" s="65">
        <v>3067310101</v>
      </c>
      <c r="X67" s="69">
        <v>22</v>
      </c>
    </row>
    <row r="68" spans="1:24">
      <c r="A68" s="60" t="s">
        <v>958</v>
      </c>
      <c r="B68" s="60" t="s">
        <v>256</v>
      </c>
      <c r="C68" s="60" t="s">
        <v>257</v>
      </c>
      <c r="D68" s="60" t="s">
        <v>258</v>
      </c>
      <c r="E68" s="61" t="s">
        <v>46</v>
      </c>
      <c r="F68" s="62" t="s">
        <v>46</v>
      </c>
      <c r="G68" s="63" t="s">
        <v>46</v>
      </c>
      <c r="H68" s="64"/>
      <c r="I68" s="64" t="s">
        <v>47</v>
      </c>
      <c r="J68" s="65">
        <v>1</v>
      </c>
      <c r="K68" s="66">
        <v>2071</v>
      </c>
      <c r="L68" s="67" t="s">
        <v>853</v>
      </c>
      <c r="M68" s="66">
        <v>2140</v>
      </c>
      <c r="N68" s="67" t="s">
        <v>873</v>
      </c>
      <c r="O68" s="66">
        <v>2060</v>
      </c>
      <c r="P68" s="67" t="s">
        <v>857</v>
      </c>
      <c r="Q68" s="66">
        <v>2130</v>
      </c>
      <c r="R68" s="67" t="s">
        <v>873</v>
      </c>
      <c r="S68" s="68">
        <v>2100.27</v>
      </c>
      <c r="T68" s="65">
        <v>8489020</v>
      </c>
      <c r="U68" s="65">
        <v>4625863</v>
      </c>
      <c r="V68" s="65">
        <v>17912832318</v>
      </c>
      <c r="W68" s="65">
        <v>9813278493</v>
      </c>
      <c r="X68" s="69">
        <v>22</v>
      </c>
    </row>
    <row r="69" spans="1:24">
      <c r="A69" s="60" t="s">
        <v>958</v>
      </c>
      <c r="B69" s="60" t="s">
        <v>259</v>
      </c>
      <c r="C69" s="60" t="s">
        <v>260</v>
      </c>
      <c r="D69" s="60" t="s">
        <v>261</v>
      </c>
      <c r="E69" s="61" t="s">
        <v>46</v>
      </c>
      <c r="F69" s="62" t="s">
        <v>46</v>
      </c>
      <c r="G69" s="63" t="s">
        <v>46</v>
      </c>
      <c r="H69" s="64"/>
      <c r="I69" s="64" t="s">
        <v>47</v>
      </c>
      <c r="J69" s="65">
        <v>1</v>
      </c>
      <c r="K69" s="66">
        <v>1863</v>
      </c>
      <c r="L69" s="67" t="s">
        <v>853</v>
      </c>
      <c r="M69" s="66">
        <v>1919</v>
      </c>
      <c r="N69" s="67" t="s">
        <v>859</v>
      </c>
      <c r="O69" s="66">
        <v>1829</v>
      </c>
      <c r="P69" s="67" t="s">
        <v>853</v>
      </c>
      <c r="Q69" s="66">
        <v>1900</v>
      </c>
      <c r="R69" s="67" t="s">
        <v>873</v>
      </c>
      <c r="S69" s="68">
        <v>1887.23</v>
      </c>
      <c r="T69" s="65">
        <v>141909</v>
      </c>
      <c r="U69" s="65">
        <v>36301</v>
      </c>
      <c r="V69" s="65">
        <v>269311520</v>
      </c>
      <c r="W69" s="65">
        <v>68669470</v>
      </c>
      <c r="X69" s="69">
        <v>22</v>
      </c>
    </row>
    <row r="70" spans="1:24">
      <c r="A70" s="60" t="s">
        <v>958</v>
      </c>
      <c r="B70" s="60" t="s">
        <v>262</v>
      </c>
      <c r="C70" s="60" t="s">
        <v>263</v>
      </c>
      <c r="D70" s="60" t="s">
        <v>264</v>
      </c>
      <c r="E70" s="61" t="s">
        <v>46</v>
      </c>
      <c r="F70" s="62" t="s">
        <v>46</v>
      </c>
      <c r="G70" s="63" t="s">
        <v>46</v>
      </c>
      <c r="H70" s="64"/>
      <c r="I70" s="64" t="s">
        <v>47</v>
      </c>
      <c r="J70" s="65">
        <v>1</v>
      </c>
      <c r="K70" s="66">
        <v>2103</v>
      </c>
      <c r="L70" s="67" t="s">
        <v>853</v>
      </c>
      <c r="M70" s="66">
        <v>2214</v>
      </c>
      <c r="N70" s="67" t="s">
        <v>855</v>
      </c>
      <c r="O70" s="66">
        <v>2084</v>
      </c>
      <c r="P70" s="67" t="s">
        <v>853</v>
      </c>
      <c r="Q70" s="66">
        <v>2186</v>
      </c>
      <c r="R70" s="67" t="s">
        <v>873</v>
      </c>
      <c r="S70" s="68">
        <v>2167.23</v>
      </c>
      <c r="T70" s="65">
        <v>161332</v>
      </c>
      <c r="U70" s="65">
        <v>36961</v>
      </c>
      <c r="V70" s="65">
        <v>349773781</v>
      </c>
      <c r="W70" s="65">
        <v>79943444</v>
      </c>
      <c r="X70" s="69">
        <v>22</v>
      </c>
    </row>
    <row r="71" spans="1:24">
      <c r="A71" s="60" t="s">
        <v>958</v>
      </c>
      <c r="B71" s="60" t="s">
        <v>265</v>
      </c>
      <c r="C71" s="60" t="s">
        <v>266</v>
      </c>
      <c r="D71" s="60" t="s">
        <v>267</v>
      </c>
      <c r="E71" s="61" t="s">
        <v>46</v>
      </c>
      <c r="F71" s="62" t="s">
        <v>46</v>
      </c>
      <c r="G71" s="63" t="s">
        <v>46</v>
      </c>
      <c r="H71" s="64"/>
      <c r="I71" s="64" t="s">
        <v>47</v>
      </c>
      <c r="J71" s="65">
        <v>1</v>
      </c>
      <c r="K71" s="66">
        <v>25340</v>
      </c>
      <c r="L71" s="67" t="s">
        <v>96</v>
      </c>
      <c r="M71" s="66">
        <v>25430</v>
      </c>
      <c r="N71" s="67" t="s">
        <v>88</v>
      </c>
      <c r="O71" s="66">
        <v>24680</v>
      </c>
      <c r="P71" s="67" t="s">
        <v>371</v>
      </c>
      <c r="Q71" s="66">
        <v>25430</v>
      </c>
      <c r="R71" s="67" t="s">
        <v>88</v>
      </c>
      <c r="S71" s="68">
        <v>25138.57</v>
      </c>
      <c r="T71" s="65">
        <v>153</v>
      </c>
      <c r="U71" s="65">
        <v>1</v>
      </c>
      <c r="V71" s="65">
        <v>3834830</v>
      </c>
      <c r="W71" s="65">
        <v>24680</v>
      </c>
      <c r="X71" s="69">
        <v>7</v>
      </c>
    </row>
    <row r="72" spans="1:24">
      <c r="A72" s="60" t="s">
        <v>958</v>
      </c>
      <c r="B72" s="60" t="s">
        <v>269</v>
      </c>
      <c r="C72" s="60" t="s">
        <v>270</v>
      </c>
      <c r="D72" s="60" t="s">
        <v>271</v>
      </c>
      <c r="E72" s="61" t="s">
        <v>46</v>
      </c>
      <c r="F72" s="62" t="s">
        <v>46</v>
      </c>
      <c r="G72" s="63" t="s">
        <v>46</v>
      </c>
      <c r="H72" s="64"/>
      <c r="I72" s="64" t="s">
        <v>47</v>
      </c>
      <c r="J72" s="65">
        <v>1</v>
      </c>
      <c r="K72" s="66">
        <v>19480</v>
      </c>
      <c r="L72" s="67" t="s">
        <v>853</v>
      </c>
      <c r="M72" s="66">
        <v>20340</v>
      </c>
      <c r="N72" s="67" t="s">
        <v>854</v>
      </c>
      <c r="O72" s="66">
        <v>19480</v>
      </c>
      <c r="P72" s="67" t="s">
        <v>853</v>
      </c>
      <c r="Q72" s="66">
        <v>20340</v>
      </c>
      <c r="R72" s="67" t="s">
        <v>50</v>
      </c>
      <c r="S72" s="68">
        <v>20014.55</v>
      </c>
      <c r="T72" s="65">
        <v>64</v>
      </c>
      <c r="U72" s="65" t="s">
        <v>955</v>
      </c>
      <c r="V72" s="65">
        <v>1282320</v>
      </c>
      <c r="W72" s="65" t="s">
        <v>955</v>
      </c>
      <c r="X72" s="69">
        <v>11</v>
      </c>
    </row>
    <row r="73" spans="1:24">
      <c r="A73" s="60" t="s">
        <v>958</v>
      </c>
      <c r="B73" s="60" t="s">
        <v>272</v>
      </c>
      <c r="C73" s="60" t="s">
        <v>273</v>
      </c>
      <c r="D73" s="60" t="s">
        <v>274</v>
      </c>
      <c r="E73" s="61" t="s">
        <v>46</v>
      </c>
      <c r="F73" s="62" t="s">
        <v>46</v>
      </c>
      <c r="G73" s="63" t="s">
        <v>46</v>
      </c>
      <c r="H73" s="64"/>
      <c r="I73" s="64" t="s">
        <v>47</v>
      </c>
      <c r="J73" s="65">
        <v>1</v>
      </c>
      <c r="K73" s="66">
        <v>1974</v>
      </c>
      <c r="L73" s="67" t="s">
        <v>853</v>
      </c>
      <c r="M73" s="66">
        <v>2074</v>
      </c>
      <c r="N73" s="67" t="s">
        <v>50</v>
      </c>
      <c r="O73" s="66">
        <v>1965</v>
      </c>
      <c r="P73" s="67" t="s">
        <v>857</v>
      </c>
      <c r="Q73" s="66">
        <v>2039</v>
      </c>
      <c r="R73" s="67" t="s">
        <v>873</v>
      </c>
      <c r="S73" s="68">
        <v>2017.32</v>
      </c>
      <c r="T73" s="65">
        <v>10104</v>
      </c>
      <c r="U73" s="65" t="s">
        <v>955</v>
      </c>
      <c r="V73" s="65">
        <v>20654220</v>
      </c>
      <c r="W73" s="65" t="s">
        <v>955</v>
      </c>
      <c r="X73" s="69">
        <v>19</v>
      </c>
    </row>
    <row r="74" spans="1:24">
      <c r="A74" s="60" t="s">
        <v>958</v>
      </c>
      <c r="B74" s="60" t="s">
        <v>275</v>
      </c>
      <c r="C74" s="60" t="s">
        <v>276</v>
      </c>
      <c r="D74" s="60" t="s">
        <v>277</v>
      </c>
      <c r="E74" s="61" t="s">
        <v>46</v>
      </c>
      <c r="F74" s="62" t="s">
        <v>46</v>
      </c>
      <c r="G74" s="63" t="s">
        <v>46</v>
      </c>
      <c r="H74" s="64"/>
      <c r="I74" s="64" t="s">
        <v>47</v>
      </c>
      <c r="J74" s="65">
        <v>1</v>
      </c>
      <c r="K74" s="66">
        <v>2350</v>
      </c>
      <c r="L74" s="67" t="s">
        <v>853</v>
      </c>
      <c r="M74" s="66">
        <v>2370</v>
      </c>
      <c r="N74" s="67" t="s">
        <v>371</v>
      </c>
      <c r="O74" s="66">
        <v>2334</v>
      </c>
      <c r="P74" s="67" t="s">
        <v>873</v>
      </c>
      <c r="Q74" s="66">
        <v>2338</v>
      </c>
      <c r="R74" s="67" t="s">
        <v>873</v>
      </c>
      <c r="S74" s="68">
        <v>2351.4499999999998</v>
      </c>
      <c r="T74" s="65">
        <v>4645831</v>
      </c>
      <c r="U74" s="65">
        <v>1984697</v>
      </c>
      <c r="V74" s="65">
        <v>10957013548</v>
      </c>
      <c r="W74" s="65">
        <v>4688031340</v>
      </c>
      <c r="X74" s="69">
        <v>22</v>
      </c>
    </row>
    <row r="75" spans="1:24">
      <c r="A75" s="60" t="s">
        <v>958</v>
      </c>
      <c r="B75" s="60" t="s">
        <v>278</v>
      </c>
      <c r="C75" s="60" t="s">
        <v>279</v>
      </c>
      <c r="D75" s="60" t="s">
        <v>280</v>
      </c>
      <c r="E75" s="61" t="s">
        <v>46</v>
      </c>
      <c r="F75" s="62" t="s">
        <v>46</v>
      </c>
      <c r="G75" s="63" t="s">
        <v>46</v>
      </c>
      <c r="H75" s="64"/>
      <c r="I75" s="64" t="s">
        <v>47</v>
      </c>
      <c r="J75" s="65">
        <v>1</v>
      </c>
      <c r="K75" s="66">
        <v>1986</v>
      </c>
      <c r="L75" s="67" t="s">
        <v>853</v>
      </c>
      <c r="M75" s="66">
        <v>2050</v>
      </c>
      <c r="N75" s="67" t="s">
        <v>873</v>
      </c>
      <c r="O75" s="66">
        <v>1943</v>
      </c>
      <c r="P75" s="67" t="s">
        <v>858</v>
      </c>
      <c r="Q75" s="66">
        <v>2047</v>
      </c>
      <c r="R75" s="67" t="s">
        <v>873</v>
      </c>
      <c r="S75" s="68">
        <v>2010</v>
      </c>
      <c r="T75" s="65">
        <v>918</v>
      </c>
      <c r="U75" s="65" t="s">
        <v>955</v>
      </c>
      <c r="V75" s="65">
        <v>1836286</v>
      </c>
      <c r="W75" s="65" t="s">
        <v>955</v>
      </c>
      <c r="X75" s="69">
        <v>22</v>
      </c>
    </row>
    <row r="76" spans="1:24">
      <c r="A76" s="60" t="s">
        <v>958</v>
      </c>
      <c r="B76" s="60" t="s">
        <v>281</v>
      </c>
      <c r="C76" s="60" t="s">
        <v>282</v>
      </c>
      <c r="D76" s="60" t="s">
        <v>283</v>
      </c>
      <c r="E76" s="61" t="s">
        <v>46</v>
      </c>
      <c r="F76" s="62" t="s">
        <v>46</v>
      </c>
      <c r="G76" s="63" t="s">
        <v>46</v>
      </c>
      <c r="H76" s="64"/>
      <c r="I76" s="64" t="s">
        <v>47</v>
      </c>
      <c r="J76" s="65">
        <v>10</v>
      </c>
      <c r="K76" s="66">
        <v>1939</v>
      </c>
      <c r="L76" s="67" t="s">
        <v>853</v>
      </c>
      <c r="M76" s="66">
        <v>2023.5</v>
      </c>
      <c r="N76" s="67" t="s">
        <v>854</v>
      </c>
      <c r="O76" s="66">
        <v>1934.5</v>
      </c>
      <c r="P76" s="67" t="s">
        <v>853</v>
      </c>
      <c r="Q76" s="66">
        <v>2022</v>
      </c>
      <c r="R76" s="67" t="s">
        <v>873</v>
      </c>
      <c r="S76" s="68">
        <v>1989.3</v>
      </c>
      <c r="T76" s="65">
        <v>18200</v>
      </c>
      <c r="U76" s="65" t="s">
        <v>955</v>
      </c>
      <c r="V76" s="65">
        <v>35842720</v>
      </c>
      <c r="W76" s="65" t="s">
        <v>955</v>
      </c>
      <c r="X76" s="69">
        <v>22</v>
      </c>
    </row>
    <row r="77" spans="1:24">
      <c r="A77" s="60" t="s">
        <v>958</v>
      </c>
      <c r="B77" s="60" t="s">
        <v>284</v>
      </c>
      <c r="C77" s="60" t="s">
        <v>285</v>
      </c>
      <c r="D77" s="60" t="s">
        <v>286</v>
      </c>
      <c r="E77" s="61" t="s">
        <v>46</v>
      </c>
      <c r="F77" s="62" t="s">
        <v>46</v>
      </c>
      <c r="G77" s="63" t="s">
        <v>46</v>
      </c>
      <c r="H77" s="64"/>
      <c r="I77" s="64" t="s">
        <v>47</v>
      </c>
      <c r="J77" s="65">
        <v>1</v>
      </c>
      <c r="K77" s="66">
        <v>30060</v>
      </c>
      <c r="L77" s="67" t="s">
        <v>92</v>
      </c>
      <c r="M77" s="66">
        <v>30060</v>
      </c>
      <c r="N77" s="67" t="s">
        <v>92</v>
      </c>
      <c r="O77" s="66">
        <v>30060</v>
      </c>
      <c r="P77" s="67" t="s">
        <v>92</v>
      </c>
      <c r="Q77" s="66">
        <v>30060</v>
      </c>
      <c r="R77" s="67" t="s">
        <v>268</v>
      </c>
      <c r="S77" s="68">
        <v>30060</v>
      </c>
      <c r="T77" s="65">
        <v>2</v>
      </c>
      <c r="U77" s="65" t="s">
        <v>955</v>
      </c>
      <c r="V77" s="65">
        <v>60120</v>
      </c>
      <c r="W77" s="65" t="s">
        <v>955</v>
      </c>
      <c r="X77" s="69">
        <v>2</v>
      </c>
    </row>
    <row r="78" spans="1:24">
      <c r="A78" s="60" t="s">
        <v>958</v>
      </c>
      <c r="B78" s="60" t="s">
        <v>287</v>
      </c>
      <c r="C78" s="60" t="s">
        <v>288</v>
      </c>
      <c r="D78" s="60" t="s">
        <v>289</v>
      </c>
      <c r="E78" s="61" t="s">
        <v>46</v>
      </c>
      <c r="F78" s="62" t="s">
        <v>46</v>
      </c>
      <c r="G78" s="63" t="s">
        <v>46</v>
      </c>
      <c r="H78" s="64"/>
      <c r="I78" s="64" t="s">
        <v>47</v>
      </c>
      <c r="J78" s="65">
        <v>1</v>
      </c>
      <c r="K78" s="66">
        <v>21995</v>
      </c>
      <c r="L78" s="67" t="s">
        <v>853</v>
      </c>
      <c r="M78" s="66">
        <v>22900</v>
      </c>
      <c r="N78" s="67" t="s">
        <v>73</v>
      </c>
      <c r="O78" s="66">
        <v>21935</v>
      </c>
      <c r="P78" s="67" t="s">
        <v>853</v>
      </c>
      <c r="Q78" s="66">
        <v>22260</v>
      </c>
      <c r="R78" s="67" t="s">
        <v>873</v>
      </c>
      <c r="S78" s="68">
        <v>22131.59</v>
      </c>
      <c r="T78" s="65">
        <v>325144</v>
      </c>
      <c r="U78" s="65">
        <v>193402</v>
      </c>
      <c r="V78" s="65">
        <v>7178824912</v>
      </c>
      <c r="W78" s="65">
        <v>4267409697</v>
      </c>
      <c r="X78" s="69">
        <v>22</v>
      </c>
    </row>
    <row r="79" spans="1:24">
      <c r="A79" s="60" t="s">
        <v>958</v>
      </c>
      <c r="B79" s="60" t="s">
        <v>290</v>
      </c>
      <c r="C79" s="60" t="s">
        <v>291</v>
      </c>
      <c r="D79" s="60" t="s">
        <v>292</v>
      </c>
      <c r="E79" s="61" t="s">
        <v>46</v>
      </c>
      <c r="F79" s="62" t="s">
        <v>46</v>
      </c>
      <c r="G79" s="63" t="s">
        <v>46</v>
      </c>
      <c r="H79" s="64"/>
      <c r="I79" s="64" t="s">
        <v>47</v>
      </c>
      <c r="J79" s="65">
        <v>1</v>
      </c>
      <c r="K79" s="66">
        <v>18330</v>
      </c>
      <c r="L79" s="67" t="s">
        <v>853</v>
      </c>
      <c r="M79" s="66">
        <v>18485</v>
      </c>
      <c r="N79" s="67" t="s">
        <v>371</v>
      </c>
      <c r="O79" s="66">
        <v>18210</v>
      </c>
      <c r="P79" s="67" t="s">
        <v>859</v>
      </c>
      <c r="Q79" s="66">
        <v>18235</v>
      </c>
      <c r="R79" s="67" t="s">
        <v>873</v>
      </c>
      <c r="S79" s="68">
        <v>18337.5</v>
      </c>
      <c r="T79" s="65">
        <v>712887</v>
      </c>
      <c r="U79" s="65">
        <v>379000</v>
      </c>
      <c r="V79" s="65">
        <v>13068349498</v>
      </c>
      <c r="W79" s="65">
        <v>6938065778</v>
      </c>
      <c r="X79" s="69">
        <v>22</v>
      </c>
    </row>
    <row r="80" spans="1:24">
      <c r="A80" s="60" t="s">
        <v>958</v>
      </c>
      <c r="B80" s="60" t="s">
        <v>293</v>
      </c>
      <c r="C80" s="60" t="s">
        <v>294</v>
      </c>
      <c r="D80" s="60" t="s">
        <v>295</v>
      </c>
      <c r="E80" s="61" t="s">
        <v>46</v>
      </c>
      <c r="F80" s="62" t="s">
        <v>46</v>
      </c>
      <c r="G80" s="63" t="s">
        <v>46</v>
      </c>
      <c r="H80" s="64"/>
      <c r="I80" s="64" t="s">
        <v>47</v>
      </c>
      <c r="J80" s="65">
        <v>10</v>
      </c>
      <c r="K80" s="66">
        <v>2100.5</v>
      </c>
      <c r="L80" s="67" t="s">
        <v>853</v>
      </c>
      <c r="M80" s="66">
        <v>2135.5</v>
      </c>
      <c r="N80" s="67" t="s">
        <v>873</v>
      </c>
      <c r="O80" s="66">
        <v>2061.5</v>
      </c>
      <c r="P80" s="67" t="s">
        <v>857</v>
      </c>
      <c r="Q80" s="66">
        <v>2131</v>
      </c>
      <c r="R80" s="67" t="s">
        <v>873</v>
      </c>
      <c r="S80" s="68">
        <v>2096.9299999999998</v>
      </c>
      <c r="T80" s="65">
        <v>1829940</v>
      </c>
      <c r="U80" s="65">
        <v>255010</v>
      </c>
      <c r="V80" s="65">
        <v>3836648115</v>
      </c>
      <c r="W80" s="65">
        <v>533462910</v>
      </c>
      <c r="X80" s="69">
        <v>22</v>
      </c>
    </row>
    <row r="81" spans="1:24">
      <c r="A81" s="60" t="s">
        <v>958</v>
      </c>
      <c r="B81" s="60" t="s">
        <v>296</v>
      </c>
      <c r="C81" s="60" t="s">
        <v>297</v>
      </c>
      <c r="D81" s="60" t="s">
        <v>298</v>
      </c>
      <c r="E81" s="61" t="s">
        <v>46</v>
      </c>
      <c r="F81" s="62" t="s">
        <v>46</v>
      </c>
      <c r="G81" s="63" t="s">
        <v>46</v>
      </c>
      <c r="H81" s="64"/>
      <c r="I81" s="64" t="s">
        <v>47</v>
      </c>
      <c r="J81" s="65">
        <v>1</v>
      </c>
      <c r="K81" s="66">
        <v>34690</v>
      </c>
      <c r="L81" s="67" t="s">
        <v>853</v>
      </c>
      <c r="M81" s="66">
        <v>37100</v>
      </c>
      <c r="N81" s="67" t="s">
        <v>855</v>
      </c>
      <c r="O81" s="66">
        <v>34620</v>
      </c>
      <c r="P81" s="67" t="s">
        <v>853</v>
      </c>
      <c r="Q81" s="66">
        <v>36880</v>
      </c>
      <c r="R81" s="67" t="s">
        <v>873</v>
      </c>
      <c r="S81" s="68">
        <v>36232.730000000003</v>
      </c>
      <c r="T81" s="65">
        <v>24059</v>
      </c>
      <c r="U81" s="65">
        <v>3</v>
      </c>
      <c r="V81" s="65">
        <v>869605680</v>
      </c>
      <c r="W81" s="65">
        <v>107900</v>
      </c>
      <c r="X81" s="69">
        <v>22</v>
      </c>
    </row>
    <row r="82" spans="1:24">
      <c r="A82" s="60" t="s">
        <v>958</v>
      </c>
      <c r="B82" s="60" t="s">
        <v>299</v>
      </c>
      <c r="C82" s="60" t="s">
        <v>300</v>
      </c>
      <c r="D82" s="60" t="s">
        <v>301</v>
      </c>
      <c r="E82" s="61" t="s">
        <v>46</v>
      </c>
      <c r="F82" s="62" t="s">
        <v>46</v>
      </c>
      <c r="G82" s="63" t="s">
        <v>46</v>
      </c>
      <c r="H82" s="64"/>
      <c r="I82" s="64" t="s">
        <v>47</v>
      </c>
      <c r="J82" s="65">
        <v>10</v>
      </c>
      <c r="K82" s="66">
        <v>7340</v>
      </c>
      <c r="L82" s="67" t="s">
        <v>77</v>
      </c>
      <c r="M82" s="66">
        <v>7400</v>
      </c>
      <c r="N82" s="67" t="s">
        <v>371</v>
      </c>
      <c r="O82" s="66">
        <v>7340</v>
      </c>
      <c r="P82" s="67" t="s">
        <v>77</v>
      </c>
      <c r="Q82" s="66">
        <v>7400</v>
      </c>
      <c r="R82" s="67" t="s">
        <v>371</v>
      </c>
      <c r="S82" s="68">
        <v>7370</v>
      </c>
      <c r="T82" s="65">
        <v>28030</v>
      </c>
      <c r="U82" s="65">
        <v>28000</v>
      </c>
      <c r="V82" s="65">
        <v>207939400</v>
      </c>
      <c r="W82" s="65">
        <v>207718000</v>
      </c>
      <c r="X82" s="69">
        <v>2</v>
      </c>
    </row>
    <row r="83" spans="1:24">
      <c r="A83" s="60" t="s">
        <v>958</v>
      </c>
      <c r="B83" s="60" t="s">
        <v>302</v>
      </c>
      <c r="C83" s="60" t="s">
        <v>303</v>
      </c>
      <c r="D83" s="60" t="s">
        <v>304</v>
      </c>
      <c r="E83" s="61" t="s">
        <v>46</v>
      </c>
      <c r="F83" s="62" t="s">
        <v>46</v>
      </c>
      <c r="G83" s="63" t="s">
        <v>46</v>
      </c>
      <c r="H83" s="64"/>
      <c r="I83" s="64" t="s">
        <v>47</v>
      </c>
      <c r="J83" s="65">
        <v>1</v>
      </c>
      <c r="K83" s="66">
        <v>16380</v>
      </c>
      <c r="L83" s="67" t="s">
        <v>853</v>
      </c>
      <c r="M83" s="66">
        <v>16970</v>
      </c>
      <c r="N83" s="67" t="s">
        <v>860</v>
      </c>
      <c r="O83" s="66">
        <v>15965</v>
      </c>
      <c r="P83" s="67" t="s">
        <v>857</v>
      </c>
      <c r="Q83" s="66">
        <v>16885</v>
      </c>
      <c r="R83" s="67" t="s">
        <v>873</v>
      </c>
      <c r="S83" s="68">
        <v>16495.68</v>
      </c>
      <c r="T83" s="65">
        <v>1053</v>
      </c>
      <c r="U83" s="65">
        <v>10</v>
      </c>
      <c r="V83" s="65">
        <v>17265190</v>
      </c>
      <c r="W83" s="65">
        <v>168850</v>
      </c>
      <c r="X83" s="69">
        <v>22</v>
      </c>
    </row>
    <row r="84" spans="1:24">
      <c r="A84" s="60" t="s">
        <v>958</v>
      </c>
      <c r="B84" s="60" t="s">
        <v>305</v>
      </c>
      <c r="C84" s="60" t="s">
        <v>306</v>
      </c>
      <c r="D84" s="60" t="s">
        <v>307</v>
      </c>
      <c r="E84" s="61" t="s">
        <v>46</v>
      </c>
      <c r="F84" s="62" t="s">
        <v>46</v>
      </c>
      <c r="G84" s="63" t="s">
        <v>46</v>
      </c>
      <c r="H84" s="64"/>
      <c r="I84" s="64" t="s">
        <v>47</v>
      </c>
      <c r="J84" s="65">
        <v>1</v>
      </c>
      <c r="K84" s="66">
        <v>16345</v>
      </c>
      <c r="L84" s="67" t="s">
        <v>853</v>
      </c>
      <c r="M84" s="66">
        <v>17500</v>
      </c>
      <c r="N84" s="67" t="s">
        <v>96</v>
      </c>
      <c r="O84" s="66">
        <v>15750</v>
      </c>
      <c r="P84" s="67" t="s">
        <v>371</v>
      </c>
      <c r="Q84" s="66">
        <v>16530</v>
      </c>
      <c r="R84" s="67" t="s">
        <v>873</v>
      </c>
      <c r="S84" s="68">
        <v>16277.95</v>
      </c>
      <c r="T84" s="65">
        <v>15564</v>
      </c>
      <c r="U84" s="65" t="s">
        <v>955</v>
      </c>
      <c r="V84" s="65">
        <v>256182035</v>
      </c>
      <c r="W84" s="65" t="s">
        <v>955</v>
      </c>
      <c r="X84" s="69">
        <v>22</v>
      </c>
    </row>
    <row r="85" spans="1:24">
      <c r="A85" s="60" t="s">
        <v>958</v>
      </c>
      <c r="B85" s="60" t="s">
        <v>308</v>
      </c>
      <c r="C85" s="60" t="s">
        <v>309</v>
      </c>
      <c r="D85" s="60" t="s">
        <v>310</v>
      </c>
      <c r="E85" s="61" t="s">
        <v>46</v>
      </c>
      <c r="F85" s="62" t="s">
        <v>46</v>
      </c>
      <c r="G85" s="63" t="s">
        <v>46</v>
      </c>
      <c r="H85" s="64"/>
      <c r="I85" s="64" t="s">
        <v>47</v>
      </c>
      <c r="J85" s="65">
        <v>1</v>
      </c>
      <c r="K85" s="66">
        <v>17835</v>
      </c>
      <c r="L85" s="67" t="s">
        <v>853</v>
      </c>
      <c r="M85" s="66">
        <v>18875</v>
      </c>
      <c r="N85" s="67" t="s">
        <v>855</v>
      </c>
      <c r="O85" s="66">
        <v>17815</v>
      </c>
      <c r="P85" s="67" t="s">
        <v>857</v>
      </c>
      <c r="Q85" s="66">
        <v>18715</v>
      </c>
      <c r="R85" s="67" t="s">
        <v>873</v>
      </c>
      <c r="S85" s="68">
        <v>18512.27</v>
      </c>
      <c r="T85" s="65">
        <v>103114</v>
      </c>
      <c r="U85" s="65">
        <v>100012</v>
      </c>
      <c r="V85" s="65">
        <v>1922198955</v>
      </c>
      <c r="W85" s="65">
        <v>1865250580</v>
      </c>
      <c r="X85" s="69">
        <v>22</v>
      </c>
    </row>
    <row r="86" spans="1:24">
      <c r="A86" s="60" t="s">
        <v>958</v>
      </c>
      <c r="B86" s="60" t="s">
        <v>311</v>
      </c>
      <c r="C86" s="60" t="s">
        <v>312</v>
      </c>
      <c r="D86" s="60" t="s">
        <v>313</v>
      </c>
      <c r="E86" s="61" t="s">
        <v>46</v>
      </c>
      <c r="F86" s="62" t="s">
        <v>46</v>
      </c>
      <c r="G86" s="63" t="s">
        <v>46</v>
      </c>
      <c r="H86" s="64"/>
      <c r="I86" s="64" t="s">
        <v>47</v>
      </c>
      <c r="J86" s="65">
        <v>10</v>
      </c>
      <c r="K86" s="66">
        <v>10425</v>
      </c>
      <c r="L86" s="67" t="s">
        <v>853</v>
      </c>
      <c r="M86" s="66">
        <v>10530</v>
      </c>
      <c r="N86" s="67" t="s">
        <v>873</v>
      </c>
      <c r="O86" s="66">
        <v>10210</v>
      </c>
      <c r="P86" s="67" t="s">
        <v>858</v>
      </c>
      <c r="Q86" s="66">
        <v>10525</v>
      </c>
      <c r="R86" s="67" t="s">
        <v>873</v>
      </c>
      <c r="S86" s="68">
        <v>10332.27</v>
      </c>
      <c r="T86" s="65">
        <v>5980</v>
      </c>
      <c r="U86" s="65" t="s">
        <v>955</v>
      </c>
      <c r="V86" s="65">
        <v>61813450</v>
      </c>
      <c r="W86" s="65" t="s">
        <v>955</v>
      </c>
      <c r="X86" s="69">
        <v>22</v>
      </c>
    </row>
    <row r="87" spans="1:24">
      <c r="A87" s="60" t="s">
        <v>958</v>
      </c>
      <c r="B87" s="60" t="s">
        <v>314</v>
      </c>
      <c r="C87" s="60" t="s">
        <v>315</v>
      </c>
      <c r="D87" s="60" t="s">
        <v>316</v>
      </c>
      <c r="E87" s="61" t="s">
        <v>46</v>
      </c>
      <c r="F87" s="62" t="s">
        <v>46</v>
      </c>
      <c r="G87" s="63" t="s">
        <v>46</v>
      </c>
      <c r="H87" s="64"/>
      <c r="I87" s="64" t="s">
        <v>47</v>
      </c>
      <c r="J87" s="65">
        <v>1</v>
      </c>
      <c r="K87" s="66">
        <v>2585</v>
      </c>
      <c r="L87" s="67" t="s">
        <v>853</v>
      </c>
      <c r="M87" s="66">
        <v>2600</v>
      </c>
      <c r="N87" s="67" t="s">
        <v>77</v>
      </c>
      <c r="O87" s="66">
        <v>2561</v>
      </c>
      <c r="P87" s="67" t="s">
        <v>873</v>
      </c>
      <c r="Q87" s="66">
        <v>2570</v>
      </c>
      <c r="R87" s="67" t="s">
        <v>873</v>
      </c>
      <c r="S87" s="68">
        <v>2579.23</v>
      </c>
      <c r="T87" s="65">
        <v>333901</v>
      </c>
      <c r="U87" s="65">
        <v>289424</v>
      </c>
      <c r="V87" s="65">
        <v>859018254</v>
      </c>
      <c r="W87" s="65">
        <v>744313851</v>
      </c>
      <c r="X87" s="69">
        <v>22</v>
      </c>
    </row>
    <row r="88" spans="1:24">
      <c r="A88" s="60" t="s">
        <v>958</v>
      </c>
      <c r="B88" s="60" t="s">
        <v>317</v>
      </c>
      <c r="C88" s="60" t="s">
        <v>318</v>
      </c>
      <c r="D88" s="60" t="s">
        <v>319</v>
      </c>
      <c r="E88" s="61" t="s">
        <v>46</v>
      </c>
      <c r="F88" s="62" t="s">
        <v>46</v>
      </c>
      <c r="G88" s="63" t="s">
        <v>46</v>
      </c>
      <c r="H88" s="64"/>
      <c r="I88" s="64" t="s">
        <v>47</v>
      </c>
      <c r="J88" s="65">
        <v>1</v>
      </c>
      <c r="K88" s="66">
        <v>2320</v>
      </c>
      <c r="L88" s="67" t="s">
        <v>853</v>
      </c>
      <c r="M88" s="66">
        <v>2373</v>
      </c>
      <c r="N88" s="67" t="s">
        <v>88</v>
      </c>
      <c r="O88" s="66">
        <v>2315</v>
      </c>
      <c r="P88" s="67" t="s">
        <v>853</v>
      </c>
      <c r="Q88" s="66">
        <v>2370</v>
      </c>
      <c r="R88" s="67" t="s">
        <v>873</v>
      </c>
      <c r="S88" s="68">
        <v>2348.64</v>
      </c>
      <c r="T88" s="65">
        <v>68722</v>
      </c>
      <c r="U88" s="65">
        <v>1</v>
      </c>
      <c r="V88" s="65">
        <v>161065800</v>
      </c>
      <c r="W88" s="65">
        <v>2341</v>
      </c>
      <c r="X88" s="69">
        <v>22</v>
      </c>
    </row>
    <row r="89" spans="1:24">
      <c r="A89" s="60" t="s">
        <v>958</v>
      </c>
      <c r="B89" s="60" t="s">
        <v>320</v>
      </c>
      <c r="C89" s="60" t="s">
        <v>321</v>
      </c>
      <c r="D89" s="60" t="s">
        <v>322</v>
      </c>
      <c r="E89" s="61" t="s">
        <v>46</v>
      </c>
      <c r="F89" s="62" t="s">
        <v>46</v>
      </c>
      <c r="G89" s="63" t="s">
        <v>46</v>
      </c>
      <c r="H89" s="64"/>
      <c r="I89" s="64" t="s">
        <v>47</v>
      </c>
      <c r="J89" s="65">
        <v>1</v>
      </c>
      <c r="K89" s="66">
        <v>15000</v>
      </c>
      <c r="L89" s="67" t="s">
        <v>853</v>
      </c>
      <c r="M89" s="66">
        <v>15720</v>
      </c>
      <c r="N89" s="67" t="s">
        <v>132</v>
      </c>
      <c r="O89" s="66">
        <v>14900</v>
      </c>
      <c r="P89" s="67" t="s">
        <v>853</v>
      </c>
      <c r="Q89" s="66">
        <v>15570</v>
      </c>
      <c r="R89" s="67" t="s">
        <v>873</v>
      </c>
      <c r="S89" s="68">
        <v>15390</v>
      </c>
      <c r="T89" s="65">
        <v>21324</v>
      </c>
      <c r="U89" s="65" t="s">
        <v>955</v>
      </c>
      <c r="V89" s="65">
        <v>327202800</v>
      </c>
      <c r="W89" s="65" t="s">
        <v>955</v>
      </c>
      <c r="X89" s="69">
        <v>22</v>
      </c>
    </row>
    <row r="90" spans="1:24">
      <c r="A90" s="60" t="s">
        <v>958</v>
      </c>
      <c r="B90" s="60" t="s">
        <v>323</v>
      </c>
      <c r="C90" s="60" t="s">
        <v>324</v>
      </c>
      <c r="D90" s="60" t="s">
        <v>325</v>
      </c>
      <c r="E90" s="61" t="s">
        <v>46</v>
      </c>
      <c r="F90" s="62" t="s">
        <v>46</v>
      </c>
      <c r="G90" s="63" t="s">
        <v>46</v>
      </c>
      <c r="H90" s="64"/>
      <c r="I90" s="64" t="s">
        <v>47</v>
      </c>
      <c r="J90" s="65">
        <v>1</v>
      </c>
      <c r="K90" s="66">
        <v>8101</v>
      </c>
      <c r="L90" s="67" t="s">
        <v>853</v>
      </c>
      <c r="M90" s="66">
        <v>8335</v>
      </c>
      <c r="N90" s="67" t="s">
        <v>873</v>
      </c>
      <c r="O90" s="66">
        <v>8089</v>
      </c>
      <c r="P90" s="67" t="s">
        <v>853</v>
      </c>
      <c r="Q90" s="66">
        <v>8335</v>
      </c>
      <c r="R90" s="67" t="s">
        <v>873</v>
      </c>
      <c r="S90" s="68">
        <v>8190.86</v>
      </c>
      <c r="T90" s="65">
        <v>1678</v>
      </c>
      <c r="U90" s="65" t="s">
        <v>955</v>
      </c>
      <c r="V90" s="65">
        <v>13789961</v>
      </c>
      <c r="W90" s="65" t="s">
        <v>955</v>
      </c>
      <c r="X90" s="69">
        <v>22</v>
      </c>
    </row>
    <row r="91" spans="1:24">
      <c r="A91" s="60" t="s">
        <v>958</v>
      </c>
      <c r="B91" s="60" t="s">
        <v>326</v>
      </c>
      <c r="C91" s="60" t="s">
        <v>327</v>
      </c>
      <c r="D91" s="60" t="s">
        <v>328</v>
      </c>
      <c r="E91" s="61" t="s">
        <v>46</v>
      </c>
      <c r="F91" s="62" t="s">
        <v>46</v>
      </c>
      <c r="G91" s="63" t="s">
        <v>46</v>
      </c>
      <c r="H91" s="64"/>
      <c r="I91" s="64" t="s">
        <v>47</v>
      </c>
      <c r="J91" s="65">
        <v>1</v>
      </c>
      <c r="K91" s="66">
        <v>6150</v>
      </c>
      <c r="L91" s="67" t="s">
        <v>853</v>
      </c>
      <c r="M91" s="66">
        <v>6377</v>
      </c>
      <c r="N91" s="67" t="s">
        <v>88</v>
      </c>
      <c r="O91" s="66">
        <v>6128</v>
      </c>
      <c r="P91" s="67" t="s">
        <v>858</v>
      </c>
      <c r="Q91" s="66">
        <v>6345</v>
      </c>
      <c r="R91" s="67" t="s">
        <v>873</v>
      </c>
      <c r="S91" s="68">
        <v>6255.18</v>
      </c>
      <c r="T91" s="65">
        <v>1504077</v>
      </c>
      <c r="U91" s="65">
        <v>27030</v>
      </c>
      <c r="V91" s="65">
        <v>9381472625</v>
      </c>
      <c r="W91" s="65">
        <v>169303103</v>
      </c>
      <c r="X91" s="69">
        <v>22</v>
      </c>
    </row>
    <row r="92" spans="1:24">
      <c r="A92" s="60" t="s">
        <v>958</v>
      </c>
      <c r="B92" s="60" t="s">
        <v>329</v>
      </c>
      <c r="C92" s="60" t="s">
        <v>330</v>
      </c>
      <c r="D92" s="60" t="s">
        <v>331</v>
      </c>
      <c r="E92" s="61" t="s">
        <v>46</v>
      </c>
      <c r="F92" s="62" t="s">
        <v>46</v>
      </c>
      <c r="G92" s="63" t="s">
        <v>46</v>
      </c>
      <c r="H92" s="64"/>
      <c r="I92" s="64" t="s">
        <v>47</v>
      </c>
      <c r="J92" s="65">
        <v>1</v>
      </c>
      <c r="K92" s="66">
        <v>3225</v>
      </c>
      <c r="L92" s="67" t="s">
        <v>853</v>
      </c>
      <c r="M92" s="66">
        <v>3385</v>
      </c>
      <c r="N92" s="67" t="s">
        <v>50</v>
      </c>
      <c r="O92" s="66">
        <v>3175</v>
      </c>
      <c r="P92" s="67" t="s">
        <v>69</v>
      </c>
      <c r="Q92" s="66">
        <v>3340</v>
      </c>
      <c r="R92" s="67" t="s">
        <v>873</v>
      </c>
      <c r="S92" s="68">
        <v>3276.82</v>
      </c>
      <c r="T92" s="65">
        <v>714002</v>
      </c>
      <c r="U92" s="65">
        <v>5202</v>
      </c>
      <c r="V92" s="65">
        <v>2335042125</v>
      </c>
      <c r="W92" s="65">
        <v>16937450</v>
      </c>
      <c r="X92" s="69">
        <v>22</v>
      </c>
    </row>
    <row r="93" spans="1:24">
      <c r="A93" s="60" t="s">
        <v>958</v>
      </c>
      <c r="B93" s="60" t="s">
        <v>332</v>
      </c>
      <c r="C93" s="60" t="s">
        <v>333</v>
      </c>
      <c r="D93" s="60" t="s">
        <v>334</v>
      </c>
      <c r="E93" s="61" t="s">
        <v>46</v>
      </c>
      <c r="F93" s="62" t="s">
        <v>46</v>
      </c>
      <c r="G93" s="63" t="s">
        <v>46</v>
      </c>
      <c r="H93" s="64"/>
      <c r="I93" s="64" t="s">
        <v>47</v>
      </c>
      <c r="J93" s="65">
        <v>1</v>
      </c>
      <c r="K93" s="66">
        <v>7813</v>
      </c>
      <c r="L93" s="67" t="s">
        <v>853</v>
      </c>
      <c r="M93" s="66">
        <v>8000</v>
      </c>
      <c r="N93" s="67" t="s">
        <v>50</v>
      </c>
      <c r="O93" s="66">
        <v>7518</v>
      </c>
      <c r="P93" s="67" t="s">
        <v>860</v>
      </c>
      <c r="Q93" s="66">
        <v>7862</v>
      </c>
      <c r="R93" s="67" t="s">
        <v>873</v>
      </c>
      <c r="S93" s="68">
        <v>7746.95</v>
      </c>
      <c r="T93" s="65">
        <v>182944</v>
      </c>
      <c r="U93" s="65" t="s">
        <v>955</v>
      </c>
      <c r="V93" s="65">
        <v>1414431568</v>
      </c>
      <c r="W93" s="65" t="s">
        <v>955</v>
      </c>
      <c r="X93" s="69">
        <v>22</v>
      </c>
    </row>
    <row r="94" spans="1:24">
      <c r="A94" s="60" t="s">
        <v>958</v>
      </c>
      <c r="B94" s="60" t="s">
        <v>335</v>
      </c>
      <c r="C94" s="60" t="s">
        <v>336</v>
      </c>
      <c r="D94" s="60" t="s">
        <v>337</v>
      </c>
      <c r="E94" s="61" t="s">
        <v>46</v>
      </c>
      <c r="F94" s="62" t="s">
        <v>46</v>
      </c>
      <c r="G94" s="63" t="s">
        <v>46</v>
      </c>
      <c r="H94" s="64"/>
      <c r="I94" s="64" t="s">
        <v>47</v>
      </c>
      <c r="J94" s="65">
        <v>1</v>
      </c>
      <c r="K94" s="66">
        <v>61300</v>
      </c>
      <c r="L94" s="67" t="s">
        <v>853</v>
      </c>
      <c r="M94" s="66">
        <v>66730</v>
      </c>
      <c r="N94" s="67" t="s">
        <v>50</v>
      </c>
      <c r="O94" s="66">
        <v>57000</v>
      </c>
      <c r="P94" s="67" t="s">
        <v>69</v>
      </c>
      <c r="Q94" s="66">
        <v>65640</v>
      </c>
      <c r="R94" s="67" t="s">
        <v>873</v>
      </c>
      <c r="S94" s="68">
        <v>61918.64</v>
      </c>
      <c r="T94" s="65">
        <v>9064</v>
      </c>
      <c r="U94" s="65">
        <v>100</v>
      </c>
      <c r="V94" s="65">
        <v>557190180</v>
      </c>
      <c r="W94" s="65">
        <v>5726000</v>
      </c>
      <c r="X94" s="69">
        <v>22</v>
      </c>
    </row>
    <row r="95" spans="1:24">
      <c r="A95" s="60" t="s">
        <v>958</v>
      </c>
      <c r="B95" s="60" t="s">
        <v>338</v>
      </c>
      <c r="C95" s="60" t="s">
        <v>339</v>
      </c>
      <c r="D95" s="60" t="s">
        <v>340</v>
      </c>
      <c r="E95" s="61" t="s">
        <v>46</v>
      </c>
      <c r="F95" s="62" t="s">
        <v>46</v>
      </c>
      <c r="G95" s="63" t="s">
        <v>46</v>
      </c>
      <c r="H95" s="64"/>
      <c r="I95" s="64" t="s">
        <v>47</v>
      </c>
      <c r="J95" s="65">
        <v>1</v>
      </c>
      <c r="K95" s="66">
        <v>18630</v>
      </c>
      <c r="L95" s="67" t="s">
        <v>853</v>
      </c>
      <c r="M95" s="66">
        <v>19270</v>
      </c>
      <c r="N95" s="67" t="s">
        <v>88</v>
      </c>
      <c r="O95" s="66">
        <v>17910</v>
      </c>
      <c r="P95" s="67" t="s">
        <v>371</v>
      </c>
      <c r="Q95" s="66">
        <v>19205</v>
      </c>
      <c r="R95" s="67" t="s">
        <v>873</v>
      </c>
      <c r="S95" s="68">
        <v>18642.05</v>
      </c>
      <c r="T95" s="65">
        <v>2521434</v>
      </c>
      <c r="U95" s="65">
        <v>52741</v>
      </c>
      <c r="V95" s="65">
        <v>46790569281</v>
      </c>
      <c r="W95" s="65">
        <v>964726761</v>
      </c>
      <c r="X95" s="69">
        <v>22</v>
      </c>
    </row>
    <row r="96" spans="1:24">
      <c r="A96" s="60" t="s">
        <v>958</v>
      </c>
      <c r="B96" s="60" t="s">
        <v>341</v>
      </c>
      <c r="C96" s="60" t="s">
        <v>342</v>
      </c>
      <c r="D96" s="60" t="s">
        <v>343</v>
      </c>
      <c r="E96" s="61" t="s">
        <v>46</v>
      </c>
      <c r="F96" s="62" t="s">
        <v>46</v>
      </c>
      <c r="G96" s="63" t="s">
        <v>46</v>
      </c>
      <c r="H96" s="64"/>
      <c r="I96" s="64" t="s">
        <v>47</v>
      </c>
      <c r="J96" s="65">
        <v>1</v>
      </c>
      <c r="K96" s="66">
        <v>38220</v>
      </c>
      <c r="L96" s="67" t="s">
        <v>853</v>
      </c>
      <c r="M96" s="66">
        <v>41000</v>
      </c>
      <c r="N96" s="67" t="s">
        <v>873</v>
      </c>
      <c r="O96" s="66">
        <v>37650</v>
      </c>
      <c r="P96" s="67" t="s">
        <v>857</v>
      </c>
      <c r="Q96" s="66">
        <v>40950</v>
      </c>
      <c r="R96" s="67" t="s">
        <v>873</v>
      </c>
      <c r="S96" s="68">
        <v>39619.550000000003</v>
      </c>
      <c r="T96" s="65">
        <v>388635</v>
      </c>
      <c r="U96" s="65">
        <v>71183</v>
      </c>
      <c r="V96" s="65">
        <v>15379206501</v>
      </c>
      <c r="W96" s="65">
        <v>2865405541</v>
      </c>
      <c r="X96" s="69">
        <v>22</v>
      </c>
    </row>
    <row r="97" spans="1:24">
      <c r="A97" s="60" t="s">
        <v>958</v>
      </c>
      <c r="B97" s="60" t="s">
        <v>344</v>
      </c>
      <c r="C97" s="60" t="s">
        <v>345</v>
      </c>
      <c r="D97" s="60" t="s">
        <v>346</v>
      </c>
      <c r="E97" s="61" t="s">
        <v>46</v>
      </c>
      <c r="F97" s="62" t="s">
        <v>46</v>
      </c>
      <c r="G97" s="63" t="s">
        <v>46</v>
      </c>
      <c r="H97" s="64"/>
      <c r="I97" s="64" t="s">
        <v>47</v>
      </c>
      <c r="J97" s="65">
        <v>10</v>
      </c>
      <c r="K97" s="66">
        <v>5667</v>
      </c>
      <c r="L97" s="67" t="s">
        <v>853</v>
      </c>
      <c r="M97" s="66">
        <v>6020</v>
      </c>
      <c r="N97" s="67" t="s">
        <v>873</v>
      </c>
      <c r="O97" s="66">
        <v>5567</v>
      </c>
      <c r="P97" s="67" t="s">
        <v>857</v>
      </c>
      <c r="Q97" s="66">
        <v>6016</v>
      </c>
      <c r="R97" s="67" t="s">
        <v>873</v>
      </c>
      <c r="S97" s="68">
        <v>5804.14</v>
      </c>
      <c r="T97" s="65">
        <v>3089600</v>
      </c>
      <c r="U97" s="65">
        <v>9450</v>
      </c>
      <c r="V97" s="65">
        <v>17805621731</v>
      </c>
      <c r="W97" s="65">
        <v>53904471</v>
      </c>
      <c r="X97" s="69">
        <v>22</v>
      </c>
    </row>
    <row r="98" spans="1:24">
      <c r="A98" s="60" t="s">
        <v>958</v>
      </c>
      <c r="B98" s="60" t="s">
        <v>347</v>
      </c>
      <c r="C98" s="60" t="s">
        <v>348</v>
      </c>
      <c r="D98" s="60" t="s">
        <v>349</v>
      </c>
      <c r="E98" s="61" t="s">
        <v>46</v>
      </c>
      <c r="F98" s="62" t="s">
        <v>46</v>
      </c>
      <c r="G98" s="63" t="s">
        <v>46</v>
      </c>
      <c r="H98" s="64"/>
      <c r="I98" s="64" t="s">
        <v>47</v>
      </c>
      <c r="J98" s="65">
        <v>10</v>
      </c>
      <c r="K98" s="66">
        <v>3670</v>
      </c>
      <c r="L98" s="67" t="s">
        <v>853</v>
      </c>
      <c r="M98" s="66">
        <v>3839</v>
      </c>
      <c r="N98" s="67" t="s">
        <v>873</v>
      </c>
      <c r="O98" s="66">
        <v>3616</v>
      </c>
      <c r="P98" s="67" t="s">
        <v>77</v>
      </c>
      <c r="Q98" s="66">
        <v>3826</v>
      </c>
      <c r="R98" s="67" t="s">
        <v>873</v>
      </c>
      <c r="S98" s="68">
        <v>3713.77</v>
      </c>
      <c r="T98" s="65">
        <v>149110</v>
      </c>
      <c r="U98" s="65">
        <v>120</v>
      </c>
      <c r="V98" s="65">
        <v>552846920</v>
      </c>
      <c r="W98" s="65">
        <v>445040</v>
      </c>
      <c r="X98" s="69">
        <v>22</v>
      </c>
    </row>
    <row r="99" spans="1:24">
      <c r="A99" s="60" t="s">
        <v>958</v>
      </c>
      <c r="B99" s="60" t="s">
        <v>350</v>
      </c>
      <c r="C99" s="60" t="s">
        <v>351</v>
      </c>
      <c r="D99" s="60" t="s">
        <v>352</v>
      </c>
      <c r="E99" s="61" t="s">
        <v>46</v>
      </c>
      <c r="F99" s="62" t="s">
        <v>46</v>
      </c>
      <c r="G99" s="63" t="s">
        <v>46</v>
      </c>
      <c r="H99" s="64"/>
      <c r="I99" s="64" t="s">
        <v>47</v>
      </c>
      <c r="J99" s="65">
        <v>10</v>
      </c>
      <c r="K99" s="66">
        <v>5595</v>
      </c>
      <c r="L99" s="67" t="s">
        <v>853</v>
      </c>
      <c r="M99" s="66">
        <v>5745</v>
      </c>
      <c r="N99" s="67" t="s">
        <v>96</v>
      </c>
      <c r="O99" s="66">
        <v>5350</v>
      </c>
      <c r="P99" s="67" t="s">
        <v>268</v>
      </c>
      <c r="Q99" s="66">
        <v>5545</v>
      </c>
      <c r="R99" s="67" t="s">
        <v>873</v>
      </c>
      <c r="S99" s="68">
        <v>5571.95</v>
      </c>
      <c r="T99" s="65">
        <v>21270</v>
      </c>
      <c r="U99" s="65" t="s">
        <v>955</v>
      </c>
      <c r="V99" s="65">
        <v>118353840</v>
      </c>
      <c r="W99" s="65" t="s">
        <v>955</v>
      </c>
      <c r="X99" s="69">
        <v>22</v>
      </c>
    </row>
    <row r="100" spans="1:24">
      <c r="A100" s="60" t="s">
        <v>958</v>
      </c>
      <c r="B100" s="60" t="s">
        <v>353</v>
      </c>
      <c r="C100" s="60" t="s">
        <v>354</v>
      </c>
      <c r="D100" s="60" t="s">
        <v>355</v>
      </c>
      <c r="E100" s="61" t="s">
        <v>46</v>
      </c>
      <c r="F100" s="62" t="s">
        <v>46</v>
      </c>
      <c r="G100" s="63" t="s">
        <v>46</v>
      </c>
      <c r="H100" s="64" t="s">
        <v>540</v>
      </c>
      <c r="I100" s="64" t="s">
        <v>47</v>
      </c>
      <c r="J100" s="65">
        <v>1</v>
      </c>
      <c r="K100" s="66">
        <v>2239</v>
      </c>
      <c r="L100" s="67" t="s">
        <v>853</v>
      </c>
      <c r="M100" s="66">
        <v>2533</v>
      </c>
      <c r="N100" s="67" t="s">
        <v>77</v>
      </c>
      <c r="O100" s="66">
        <v>1730</v>
      </c>
      <c r="P100" s="67" t="s">
        <v>873</v>
      </c>
      <c r="Q100" s="66">
        <v>1742</v>
      </c>
      <c r="R100" s="67" t="s">
        <v>873</v>
      </c>
      <c r="S100" s="68">
        <v>2014.36</v>
      </c>
      <c r="T100" s="65">
        <v>30779258</v>
      </c>
      <c r="U100" s="65">
        <v>157325</v>
      </c>
      <c r="V100" s="65">
        <v>63268954362</v>
      </c>
      <c r="W100" s="65">
        <v>305574741</v>
      </c>
      <c r="X100" s="69">
        <v>22</v>
      </c>
    </row>
    <row r="101" spans="1:24">
      <c r="A101" s="60" t="s">
        <v>958</v>
      </c>
      <c r="B101" s="60" t="s">
        <v>356</v>
      </c>
      <c r="C101" s="60" t="s">
        <v>357</v>
      </c>
      <c r="D101" s="60" t="s">
        <v>358</v>
      </c>
      <c r="E101" s="61" t="s">
        <v>46</v>
      </c>
      <c r="F101" s="62" t="s">
        <v>46</v>
      </c>
      <c r="G101" s="63" t="s">
        <v>46</v>
      </c>
      <c r="H101" s="64"/>
      <c r="I101" s="64" t="s">
        <v>47</v>
      </c>
      <c r="J101" s="65">
        <v>10</v>
      </c>
      <c r="K101" s="66">
        <v>3119</v>
      </c>
      <c r="L101" s="67" t="s">
        <v>853</v>
      </c>
      <c r="M101" s="66">
        <v>3280</v>
      </c>
      <c r="N101" s="67" t="s">
        <v>50</v>
      </c>
      <c r="O101" s="66">
        <v>3037</v>
      </c>
      <c r="P101" s="67" t="s">
        <v>132</v>
      </c>
      <c r="Q101" s="66">
        <v>3264</v>
      </c>
      <c r="R101" s="67" t="s">
        <v>873</v>
      </c>
      <c r="S101" s="68">
        <v>3185.86</v>
      </c>
      <c r="T101" s="65">
        <v>173810</v>
      </c>
      <c r="U101" s="65">
        <v>10</v>
      </c>
      <c r="V101" s="65">
        <v>550206330</v>
      </c>
      <c r="W101" s="65">
        <v>31750</v>
      </c>
      <c r="X101" s="69">
        <v>22</v>
      </c>
    </row>
    <row r="102" spans="1:24">
      <c r="A102" s="60" t="s">
        <v>958</v>
      </c>
      <c r="B102" s="60" t="s">
        <v>359</v>
      </c>
      <c r="C102" s="60" t="s">
        <v>360</v>
      </c>
      <c r="D102" s="60" t="s">
        <v>361</v>
      </c>
      <c r="E102" s="61" t="s">
        <v>46</v>
      </c>
      <c r="F102" s="62" t="s">
        <v>46</v>
      </c>
      <c r="G102" s="63" t="s">
        <v>46</v>
      </c>
      <c r="H102" s="64"/>
      <c r="I102" s="64" t="s">
        <v>47</v>
      </c>
      <c r="J102" s="65">
        <v>10</v>
      </c>
      <c r="K102" s="66">
        <v>1794.5</v>
      </c>
      <c r="L102" s="67" t="s">
        <v>853</v>
      </c>
      <c r="M102" s="66">
        <v>1978</v>
      </c>
      <c r="N102" s="67" t="s">
        <v>873</v>
      </c>
      <c r="O102" s="66">
        <v>1750</v>
      </c>
      <c r="P102" s="67" t="s">
        <v>77</v>
      </c>
      <c r="Q102" s="66">
        <v>1978</v>
      </c>
      <c r="R102" s="67" t="s">
        <v>873</v>
      </c>
      <c r="S102" s="68">
        <v>1857.59</v>
      </c>
      <c r="T102" s="65">
        <v>127780</v>
      </c>
      <c r="U102" s="65">
        <v>40</v>
      </c>
      <c r="V102" s="65">
        <v>239439185</v>
      </c>
      <c r="W102" s="65">
        <v>73600</v>
      </c>
      <c r="X102" s="69">
        <v>22</v>
      </c>
    </row>
    <row r="103" spans="1:24">
      <c r="A103" s="60" t="s">
        <v>958</v>
      </c>
      <c r="B103" s="60" t="s">
        <v>362</v>
      </c>
      <c r="C103" s="60" t="s">
        <v>363</v>
      </c>
      <c r="D103" s="60" t="s">
        <v>364</v>
      </c>
      <c r="E103" s="61" t="s">
        <v>46</v>
      </c>
      <c r="F103" s="62" t="s">
        <v>46</v>
      </c>
      <c r="G103" s="63" t="s">
        <v>46</v>
      </c>
      <c r="H103" s="64"/>
      <c r="I103" s="64" t="s">
        <v>47</v>
      </c>
      <c r="J103" s="65">
        <v>1</v>
      </c>
      <c r="K103" s="66">
        <v>51920</v>
      </c>
      <c r="L103" s="67" t="s">
        <v>853</v>
      </c>
      <c r="M103" s="66">
        <v>54950</v>
      </c>
      <c r="N103" s="67" t="s">
        <v>873</v>
      </c>
      <c r="O103" s="66">
        <v>50980</v>
      </c>
      <c r="P103" s="67" t="s">
        <v>857</v>
      </c>
      <c r="Q103" s="66">
        <v>54920</v>
      </c>
      <c r="R103" s="67" t="s">
        <v>873</v>
      </c>
      <c r="S103" s="68">
        <v>53056.36</v>
      </c>
      <c r="T103" s="65">
        <v>242434</v>
      </c>
      <c r="U103" s="65">
        <v>18000</v>
      </c>
      <c r="V103" s="65">
        <v>12803683380</v>
      </c>
      <c r="W103" s="65">
        <v>961337580</v>
      </c>
      <c r="X103" s="69">
        <v>22</v>
      </c>
    </row>
    <row r="104" spans="1:24">
      <c r="A104" s="60" t="s">
        <v>958</v>
      </c>
      <c r="B104" s="60" t="s">
        <v>365</v>
      </c>
      <c r="C104" s="60" t="s">
        <v>366</v>
      </c>
      <c r="D104" s="60" t="s">
        <v>367</v>
      </c>
      <c r="E104" s="61" t="s">
        <v>46</v>
      </c>
      <c r="F104" s="62" t="s">
        <v>46</v>
      </c>
      <c r="G104" s="63" t="s">
        <v>46</v>
      </c>
      <c r="H104" s="64"/>
      <c r="I104" s="64" t="s">
        <v>47</v>
      </c>
      <c r="J104" s="65">
        <v>1</v>
      </c>
      <c r="K104" s="66">
        <v>2990</v>
      </c>
      <c r="L104" s="67" t="s">
        <v>853</v>
      </c>
      <c r="M104" s="66">
        <v>3110</v>
      </c>
      <c r="N104" s="67" t="s">
        <v>873</v>
      </c>
      <c r="O104" s="66">
        <v>2982</v>
      </c>
      <c r="P104" s="67" t="s">
        <v>268</v>
      </c>
      <c r="Q104" s="66">
        <v>3050</v>
      </c>
      <c r="R104" s="67" t="s">
        <v>873</v>
      </c>
      <c r="S104" s="68">
        <v>3037.64</v>
      </c>
      <c r="T104" s="65">
        <v>5628</v>
      </c>
      <c r="U104" s="65" t="s">
        <v>955</v>
      </c>
      <c r="V104" s="65">
        <v>17078141</v>
      </c>
      <c r="W104" s="65" t="s">
        <v>955</v>
      </c>
      <c r="X104" s="69">
        <v>22</v>
      </c>
    </row>
    <row r="105" spans="1:24">
      <c r="A105" s="60" t="s">
        <v>958</v>
      </c>
      <c r="B105" s="60" t="s">
        <v>368</v>
      </c>
      <c r="C105" s="60" t="s">
        <v>369</v>
      </c>
      <c r="D105" s="60" t="s">
        <v>370</v>
      </c>
      <c r="E105" s="61" t="s">
        <v>46</v>
      </c>
      <c r="F105" s="62" t="s">
        <v>46</v>
      </c>
      <c r="G105" s="63" t="s">
        <v>46</v>
      </c>
      <c r="H105" s="64"/>
      <c r="I105" s="64" t="s">
        <v>47</v>
      </c>
      <c r="J105" s="65">
        <v>1</v>
      </c>
      <c r="K105" s="66">
        <v>3955</v>
      </c>
      <c r="L105" s="67" t="s">
        <v>853</v>
      </c>
      <c r="M105" s="66">
        <v>4125</v>
      </c>
      <c r="N105" s="67" t="s">
        <v>873</v>
      </c>
      <c r="O105" s="66">
        <v>3900</v>
      </c>
      <c r="P105" s="67" t="s">
        <v>69</v>
      </c>
      <c r="Q105" s="66">
        <v>4115</v>
      </c>
      <c r="R105" s="67" t="s">
        <v>873</v>
      </c>
      <c r="S105" s="68">
        <v>3970.45</v>
      </c>
      <c r="T105" s="65">
        <v>4697</v>
      </c>
      <c r="U105" s="65" t="s">
        <v>955</v>
      </c>
      <c r="V105" s="65">
        <v>18697595</v>
      </c>
      <c r="W105" s="65" t="s">
        <v>955</v>
      </c>
      <c r="X105" s="69">
        <v>22</v>
      </c>
    </row>
    <row r="106" spans="1:24">
      <c r="A106" s="60" t="s">
        <v>958</v>
      </c>
      <c r="B106" s="60" t="s">
        <v>372</v>
      </c>
      <c r="C106" s="60" t="s">
        <v>373</v>
      </c>
      <c r="D106" s="60" t="s">
        <v>374</v>
      </c>
      <c r="E106" s="61" t="s">
        <v>46</v>
      </c>
      <c r="F106" s="62" t="s">
        <v>46</v>
      </c>
      <c r="G106" s="63" t="s">
        <v>46</v>
      </c>
      <c r="H106" s="64"/>
      <c r="I106" s="64" t="s">
        <v>47</v>
      </c>
      <c r="J106" s="65">
        <v>1</v>
      </c>
      <c r="K106" s="66">
        <v>4015</v>
      </c>
      <c r="L106" s="67" t="s">
        <v>853</v>
      </c>
      <c r="M106" s="66">
        <v>4355</v>
      </c>
      <c r="N106" s="67" t="s">
        <v>96</v>
      </c>
      <c r="O106" s="66">
        <v>3785</v>
      </c>
      <c r="P106" s="67" t="s">
        <v>371</v>
      </c>
      <c r="Q106" s="66">
        <v>4050</v>
      </c>
      <c r="R106" s="67" t="s">
        <v>873</v>
      </c>
      <c r="S106" s="68">
        <v>4062.5</v>
      </c>
      <c r="T106" s="65">
        <v>245898</v>
      </c>
      <c r="U106" s="65" t="s">
        <v>955</v>
      </c>
      <c r="V106" s="65">
        <v>996883785</v>
      </c>
      <c r="W106" s="65" t="s">
        <v>955</v>
      </c>
      <c r="X106" s="69">
        <v>22</v>
      </c>
    </row>
    <row r="107" spans="1:24">
      <c r="A107" s="60" t="s">
        <v>958</v>
      </c>
      <c r="B107" s="60" t="s">
        <v>375</v>
      </c>
      <c r="C107" s="60" t="s">
        <v>376</v>
      </c>
      <c r="D107" s="60" t="s">
        <v>377</v>
      </c>
      <c r="E107" s="61" t="s">
        <v>46</v>
      </c>
      <c r="F107" s="62" t="s">
        <v>46</v>
      </c>
      <c r="G107" s="63" t="s">
        <v>46</v>
      </c>
      <c r="H107" s="64"/>
      <c r="I107" s="64" t="s">
        <v>47</v>
      </c>
      <c r="J107" s="65">
        <v>1</v>
      </c>
      <c r="K107" s="66">
        <v>42450</v>
      </c>
      <c r="L107" s="67" t="s">
        <v>853</v>
      </c>
      <c r="M107" s="66">
        <v>43450</v>
      </c>
      <c r="N107" s="67" t="s">
        <v>50</v>
      </c>
      <c r="O107" s="66">
        <v>42300</v>
      </c>
      <c r="P107" s="67" t="s">
        <v>857</v>
      </c>
      <c r="Q107" s="66">
        <v>43390</v>
      </c>
      <c r="R107" s="67" t="s">
        <v>873</v>
      </c>
      <c r="S107" s="68">
        <v>42884.55</v>
      </c>
      <c r="T107" s="65">
        <v>24190</v>
      </c>
      <c r="U107" s="65">
        <v>643</v>
      </c>
      <c r="V107" s="65">
        <v>1037755544</v>
      </c>
      <c r="W107" s="65">
        <v>27512754</v>
      </c>
      <c r="X107" s="69">
        <v>22</v>
      </c>
    </row>
    <row r="108" spans="1:24">
      <c r="A108" s="60" t="s">
        <v>958</v>
      </c>
      <c r="B108" s="60" t="s">
        <v>381</v>
      </c>
      <c r="C108" s="60" t="s">
        <v>382</v>
      </c>
      <c r="D108" s="60" t="s">
        <v>383</v>
      </c>
      <c r="E108" s="61" t="s">
        <v>46</v>
      </c>
      <c r="F108" s="62" t="s">
        <v>46</v>
      </c>
      <c r="G108" s="63" t="s">
        <v>46</v>
      </c>
      <c r="H108" s="64"/>
      <c r="I108" s="64" t="s">
        <v>47</v>
      </c>
      <c r="J108" s="65">
        <v>10</v>
      </c>
      <c r="K108" s="66">
        <v>23560</v>
      </c>
      <c r="L108" s="67" t="s">
        <v>853</v>
      </c>
      <c r="M108" s="66">
        <v>25680</v>
      </c>
      <c r="N108" s="67" t="s">
        <v>854</v>
      </c>
      <c r="O108" s="66">
        <v>23210</v>
      </c>
      <c r="P108" s="67" t="s">
        <v>853</v>
      </c>
      <c r="Q108" s="66">
        <v>25150</v>
      </c>
      <c r="R108" s="67" t="s">
        <v>873</v>
      </c>
      <c r="S108" s="68">
        <v>24727.27</v>
      </c>
      <c r="T108" s="65">
        <v>2181270</v>
      </c>
      <c r="U108" s="65">
        <v>25780</v>
      </c>
      <c r="V108" s="65">
        <v>53478312390</v>
      </c>
      <c r="W108" s="65">
        <v>641168640</v>
      </c>
      <c r="X108" s="69">
        <v>22</v>
      </c>
    </row>
    <row r="109" spans="1:24">
      <c r="A109" s="60" t="s">
        <v>958</v>
      </c>
      <c r="B109" s="60" t="s">
        <v>384</v>
      </c>
      <c r="C109" s="60" t="s">
        <v>385</v>
      </c>
      <c r="D109" s="60" t="s">
        <v>386</v>
      </c>
      <c r="E109" s="61" t="s">
        <v>46</v>
      </c>
      <c r="F109" s="62" t="s">
        <v>46</v>
      </c>
      <c r="G109" s="63" t="s">
        <v>46</v>
      </c>
      <c r="H109" s="64"/>
      <c r="I109" s="64" t="s">
        <v>47</v>
      </c>
      <c r="J109" s="65">
        <v>10</v>
      </c>
      <c r="K109" s="66">
        <v>2199</v>
      </c>
      <c r="L109" s="67" t="s">
        <v>853</v>
      </c>
      <c r="M109" s="66">
        <v>2213</v>
      </c>
      <c r="N109" s="67" t="s">
        <v>853</v>
      </c>
      <c r="O109" s="66">
        <v>2096</v>
      </c>
      <c r="P109" s="67" t="s">
        <v>854</v>
      </c>
      <c r="Q109" s="66">
        <v>2112</v>
      </c>
      <c r="R109" s="67" t="s">
        <v>873</v>
      </c>
      <c r="S109" s="68">
        <v>2135.5500000000002</v>
      </c>
      <c r="T109" s="65">
        <v>2081620</v>
      </c>
      <c r="U109" s="65">
        <v>1800000</v>
      </c>
      <c r="V109" s="65">
        <v>4465340780</v>
      </c>
      <c r="W109" s="65">
        <v>3861540000</v>
      </c>
      <c r="X109" s="69">
        <v>22</v>
      </c>
    </row>
    <row r="110" spans="1:24">
      <c r="A110" s="60" t="s">
        <v>958</v>
      </c>
      <c r="B110" s="60" t="s">
        <v>387</v>
      </c>
      <c r="C110" s="60" t="s">
        <v>388</v>
      </c>
      <c r="D110" s="60" t="s">
        <v>389</v>
      </c>
      <c r="E110" s="61" t="s">
        <v>46</v>
      </c>
      <c r="F110" s="62" t="s">
        <v>46</v>
      </c>
      <c r="G110" s="63" t="s">
        <v>46</v>
      </c>
      <c r="H110" s="64"/>
      <c r="I110" s="64" t="s">
        <v>47</v>
      </c>
      <c r="J110" s="65">
        <v>1</v>
      </c>
      <c r="K110" s="66">
        <v>14695</v>
      </c>
      <c r="L110" s="67" t="s">
        <v>853</v>
      </c>
      <c r="M110" s="66">
        <v>15980</v>
      </c>
      <c r="N110" s="67" t="s">
        <v>50</v>
      </c>
      <c r="O110" s="66">
        <v>14385</v>
      </c>
      <c r="P110" s="67" t="s">
        <v>858</v>
      </c>
      <c r="Q110" s="66">
        <v>15655</v>
      </c>
      <c r="R110" s="67" t="s">
        <v>873</v>
      </c>
      <c r="S110" s="68">
        <v>15349.55</v>
      </c>
      <c r="T110" s="65">
        <v>154501162</v>
      </c>
      <c r="U110" s="65">
        <v>340386</v>
      </c>
      <c r="V110" s="65">
        <v>2358965711153</v>
      </c>
      <c r="W110" s="65">
        <v>5088383608</v>
      </c>
      <c r="X110" s="69">
        <v>22</v>
      </c>
    </row>
    <row r="111" spans="1:24">
      <c r="A111" s="60" t="s">
        <v>958</v>
      </c>
      <c r="B111" s="60" t="s">
        <v>390</v>
      </c>
      <c r="C111" s="60" t="s">
        <v>391</v>
      </c>
      <c r="D111" s="60" t="s">
        <v>392</v>
      </c>
      <c r="E111" s="61" t="s">
        <v>46</v>
      </c>
      <c r="F111" s="62" t="s">
        <v>46</v>
      </c>
      <c r="G111" s="63" t="s">
        <v>46</v>
      </c>
      <c r="H111" s="64"/>
      <c r="I111" s="64" t="s">
        <v>47</v>
      </c>
      <c r="J111" s="65">
        <v>1</v>
      </c>
      <c r="K111" s="66">
        <v>1022</v>
      </c>
      <c r="L111" s="67" t="s">
        <v>853</v>
      </c>
      <c r="M111" s="66">
        <v>1032</v>
      </c>
      <c r="N111" s="67" t="s">
        <v>853</v>
      </c>
      <c r="O111" s="66">
        <v>972</v>
      </c>
      <c r="P111" s="67" t="s">
        <v>88</v>
      </c>
      <c r="Q111" s="66">
        <v>981</v>
      </c>
      <c r="R111" s="67" t="s">
        <v>873</v>
      </c>
      <c r="S111" s="68">
        <v>994.73</v>
      </c>
      <c r="T111" s="65">
        <v>16778682</v>
      </c>
      <c r="U111" s="65">
        <v>3700002</v>
      </c>
      <c r="V111" s="65">
        <v>16765048706</v>
      </c>
      <c r="W111" s="65">
        <v>3709764019</v>
      </c>
      <c r="X111" s="69">
        <v>22</v>
      </c>
    </row>
    <row r="112" spans="1:24">
      <c r="A112" s="60" t="s">
        <v>958</v>
      </c>
      <c r="B112" s="60" t="s">
        <v>393</v>
      </c>
      <c r="C112" s="60" t="s">
        <v>394</v>
      </c>
      <c r="D112" s="60" t="s">
        <v>395</v>
      </c>
      <c r="E112" s="61" t="s">
        <v>46</v>
      </c>
      <c r="F112" s="62" t="s">
        <v>46</v>
      </c>
      <c r="G112" s="63" t="s">
        <v>46</v>
      </c>
      <c r="H112" s="64"/>
      <c r="I112" s="64" t="s">
        <v>47</v>
      </c>
      <c r="J112" s="65">
        <v>10</v>
      </c>
      <c r="K112" s="66">
        <v>7200</v>
      </c>
      <c r="L112" s="67" t="s">
        <v>853</v>
      </c>
      <c r="M112" s="66">
        <v>7725</v>
      </c>
      <c r="N112" s="67" t="s">
        <v>92</v>
      </c>
      <c r="O112" s="66">
        <v>6590</v>
      </c>
      <c r="P112" s="67" t="s">
        <v>268</v>
      </c>
      <c r="Q112" s="66">
        <v>6710</v>
      </c>
      <c r="R112" s="67" t="s">
        <v>873</v>
      </c>
      <c r="S112" s="68">
        <v>7081.55</v>
      </c>
      <c r="T112" s="65">
        <v>50010</v>
      </c>
      <c r="U112" s="65" t="s">
        <v>955</v>
      </c>
      <c r="V112" s="65">
        <v>354886730</v>
      </c>
      <c r="W112" s="65" t="s">
        <v>955</v>
      </c>
      <c r="X112" s="69">
        <v>22</v>
      </c>
    </row>
    <row r="113" spans="1:24">
      <c r="A113" s="60" t="s">
        <v>958</v>
      </c>
      <c r="B113" s="60" t="s">
        <v>396</v>
      </c>
      <c r="C113" s="60" t="s">
        <v>397</v>
      </c>
      <c r="D113" s="60" t="s">
        <v>398</v>
      </c>
      <c r="E113" s="61" t="s">
        <v>46</v>
      </c>
      <c r="F113" s="62" t="s">
        <v>46</v>
      </c>
      <c r="G113" s="63" t="s">
        <v>46</v>
      </c>
      <c r="H113" s="64"/>
      <c r="I113" s="64" t="s">
        <v>47</v>
      </c>
      <c r="J113" s="65">
        <v>10</v>
      </c>
      <c r="K113" s="66">
        <v>8387</v>
      </c>
      <c r="L113" s="67" t="s">
        <v>853</v>
      </c>
      <c r="M113" s="66">
        <v>8885</v>
      </c>
      <c r="N113" s="67" t="s">
        <v>50</v>
      </c>
      <c r="O113" s="66">
        <v>7981</v>
      </c>
      <c r="P113" s="67" t="s">
        <v>92</v>
      </c>
      <c r="Q113" s="66">
        <v>8780</v>
      </c>
      <c r="R113" s="67" t="s">
        <v>873</v>
      </c>
      <c r="S113" s="68">
        <v>8449.86</v>
      </c>
      <c r="T113" s="65">
        <v>14840</v>
      </c>
      <c r="U113" s="65">
        <v>30</v>
      </c>
      <c r="V113" s="65">
        <v>125262840</v>
      </c>
      <c r="W113" s="65">
        <v>251500</v>
      </c>
      <c r="X113" s="69">
        <v>22</v>
      </c>
    </row>
    <row r="114" spans="1:24">
      <c r="A114" s="60" t="s">
        <v>958</v>
      </c>
      <c r="B114" s="60" t="s">
        <v>402</v>
      </c>
      <c r="C114" s="60" t="s">
        <v>403</v>
      </c>
      <c r="D114" s="60" t="s">
        <v>404</v>
      </c>
      <c r="E114" s="61" t="s">
        <v>46</v>
      </c>
      <c r="F114" s="62" t="s">
        <v>46</v>
      </c>
      <c r="G114" s="63" t="s">
        <v>46</v>
      </c>
      <c r="H114" s="64"/>
      <c r="I114" s="64" t="s">
        <v>47</v>
      </c>
      <c r="J114" s="65">
        <v>10</v>
      </c>
      <c r="K114" s="66">
        <v>785</v>
      </c>
      <c r="L114" s="67" t="s">
        <v>853</v>
      </c>
      <c r="M114" s="66">
        <v>855</v>
      </c>
      <c r="N114" s="67" t="s">
        <v>268</v>
      </c>
      <c r="O114" s="66">
        <v>770</v>
      </c>
      <c r="P114" s="67" t="s">
        <v>77</v>
      </c>
      <c r="Q114" s="66">
        <v>810</v>
      </c>
      <c r="R114" s="67" t="s">
        <v>50</v>
      </c>
      <c r="S114" s="68">
        <v>804.9</v>
      </c>
      <c r="T114" s="65">
        <v>12270</v>
      </c>
      <c r="U114" s="65" t="s">
        <v>955</v>
      </c>
      <c r="V114" s="65">
        <v>9997591</v>
      </c>
      <c r="W114" s="65" t="s">
        <v>955</v>
      </c>
      <c r="X114" s="69">
        <v>21</v>
      </c>
    </row>
    <row r="115" spans="1:24">
      <c r="A115" s="60" t="s">
        <v>958</v>
      </c>
      <c r="B115" s="60" t="s">
        <v>408</v>
      </c>
      <c r="C115" s="60" t="s">
        <v>409</v>
      </c>
      <c r="D115" s="60" t="s">
        <v>410</v>
      </c>
      <c r="E115" s="61" t="s">
        <v>46</v>
      </c>
      <c r="F115" s="62" t="s">
        <v>46</v>
      </c>
      <c r="G115" s="63" t="s">
        <v>46</v>
      </c>
      <c r="H115" s="64"/>
      <c r="I115" s="64" t="s">
        <v>47</v>
      </c>
      <c r="J115" s="65">
        <v>1</v>
      </c>
      <c r="K115" s="66">
        <v>22045</v>
      </c>
      <c r="L115" s="67" t="s">
        <v>853</v>
      </c>
      <c r="M115" s="66">
        <v>23055</v>
      </c>
      <c r="N115" s="67" t="s">
        <v>855</v>
      </c>
      <c r="O115" s="66">
        <v>21650</v>
      </c>
      <c r="P115" s="67" t="s">
        <v>853</v>
      </c>
      <c r="Q115" s="66">
        <v>22795</v>
      </c>
      <c r="R115" s="67" t="s">
        <v>873</v>
      </c>
      <c r="S115" s="68">
        <v>22512.95</v>
      </c>
      <c r="T115" s="65">
        <v>23405</v>
      </c>
      <c r="U115" s="65">
        <v>2246</v>
      </c>
      <c r="V115" s="65">
        <v>523617381</v>
      </c>
      <c r="W115" s="65">
        <v>49953286</v>
      </c>
      <c r="X115" s="69">
        <v>22</v>
      </c>
    </row>
    <row r="116" spans="1:24">
      <c r="A116" s="60" t="s">
        <v>958</v>
      </c>
      <c r="B116" s="60" t="s">
        <v>411</v>
      </c>
      <c r="C116" s="60" t="s">
        <v>412</v>
      </c>
      <c r="D116" s="60" t="s">
        <v>413</v>
      </c>
      <c r="E116" s="61" t="s">
        <v>46</v>
      </c>
      <c r="F116" s="62" t="s">
        <v>46</v>
      </c>
      <c r="G116" s="63" t="s">
        <v>46</v>
      </c>
      <c r="H116" s="64"/>
      <c r="I116" s="64" t="s">
        <v>47</v>
      </c>
      <c r="J116" s="65">
        <v>1</v>
      </c>
      <c r="K116" s="66">
        <v>2239</v>
      </c>
      <c r="L116" s="67" t="s">
        <v>853</v>
      </c>
      <c r="M116" s="66">
        <v>2335</v>
      </c>
      <c r="N116" s="67" t="s">
        <v>50</v>
      </c>
      <c r="O116" s="66">
        <v>2210</v>
      </c>
      <c r="P116" s="67" t="s">
        <v>858</v>
      </c>
      <c r="Q116" s="66">
        <v>2317</v>
      </c>
      <c r="R116" s="67" t="s">
        <v>873</v>
      </c>
      <c r="S116" s="68">
        <v>2287.91</v>
      </c>
      <c r="T116" s="65">
        <v>16063</v>
      </c>
      <c r="U116" s="65" t="s">
        <v>955</v>
      </c>
      <c r="V116" s="65">
        <v>36664622</v>
      </c>
      <c r="W116" s="65" t="s">
        <v>955</v>
      </c>
      <c r="X116" s="69">
        <v>22</v>
      </c>
    </row>
    <row r="117" spans="1:24">
      <c r="A117" s="60" t="s">
        <v>958</v>
      </c>
      <c r="B117" s="60" t="s">
        <v>414</v>
      </c>
      <c r="C117" s="60" t="s">
        <v>415</v>
      </c>
      <c r="D117" s="60" t="s">
        <v>416</v>
      </c>
      <c r="E117" s="61" t="s">
        <v>46</v>
      </c>
      <c r="F117" s="62" t="s">
        <v>46</v>
      </c>
      <c r="G117" s="63" t="s">
        <v>46</v>
      </c>
      <c r="H117" s="64"/>
      <c r="I117" s="64" t="s">
        <v>47</v>
      </c>
      <c r="J117" s="65">
        <v>10</v>
      </c>
      <c r="K117" s="66">
        <v>15680</v>
      </c>
      <c r="L117" s="67" t="s">
        <v>853</v>
      </c>
      <c r="M117" s="66">
        <v>17095</v>
      </c>
      <c r="N117" s="67" t="s">
        <v>50</v>
      </c>
      <c r="O117" s="66">
        <v>15365</v>
      </c>
      <c r="P117" s="67" t="s">
        <v>858</v>
      </c>
      <c r="Q117" s="66">
        <v>16750</v>
      </c>
      <c r="R117" s="67" t="s">
        <v>873</v>
      </c>
      <c r="S117" s="68">
        <v>16406.14</v>
      </c>
      <c r="T117" s="65">
        <v>20265400</v>
      </c>
      <c r="U117" s="65">
        <v>40170</v>
      </c>
      <c r="V117" s="65">
        <v>329814299305</v>
      </c>
      <c r="W117" s="65">
        <v>659003705</v>
      </c>
      <c r="X117" s="69">
        <v>22</v>
      </c>
    </row>
    <row r="118" spans="1:24">
      <c r="A118" s="60" t="s">
        <v>958</v>
      </c>
      <c r="B118" s="60" t="s">
        <v>417</v>
      </c>
      <c r="C118" s="60" t="s">
        <v>418</v>
      </c>
      <c r="D118" s="60" t="s">
        <v>419</v>
      </c>
      <c r="E118" s="61" t="s">
        <v>46</v>
      </c>
      <c r="F118" s="62" t="s">
        <v>46</v>
      </c>
      <c r="G118" s="63" t="s">
        <v>46</v>
      </c>
      <c r="H118" s="64"/>
      <c r="I118" s="64" t="s">
        <v>47</v>
      </c>
      <c r="J118" s="65">
        <v>10</v>
      </c>
      <c r="K118" s="66">
        <v>2718.5</v>
      </c>
      <c r="L118" s="67" t="s">
        <v>853</v>
      </c>
      <c r="M118" s="66">
        <v>2745.5</v>
      </c>
      <c r="N118" s="67" t="s">
        <v>853</v>
      </c>
      <c r="O118" s="66">
        <v>2588</v>
      </c>
      <c r="P118" s="67" t="s">
        <v>50</v>
      </c>
      <c r="Q118" s="66">
        <v>2615</v>
      </c>
      <c r="R118" s="67" t="s">
        <v>873</v>
      </c>
      <c r="S118" s="68">
        <v>2649.57</v>
      </c>
      <c r="T118" s="65">
        <v>2653330</v>
      </c>
      <c r="U118" s="65">
        <v>1400090</v>
      </c>
      <c r="V118" s="65">
        <v>7060354480</v>
      </c>
      <c r="W118" s="65">
        <v>3742436790</v>
      </c>
      <c r="X118" s="69">
        <v>22</v>
      </c>
    </row>
    <row r="119" spans="1:24">
      <c r="A119" s="60" t="s">
        <v>958</v>
      </c>
      <c r="B119" s="60" t="s">
        <v>420</v>
      </c>
      <c r="C119" s="60" t="s">
        <v>421</v>
      </c>
      <c r="D119" s="60" t="s">
        <v>422</v>
      </c>
      <c r="E119" s="61" t="s">
        <v>46</v>
      </c>
      <c r="F119" s="62" t="s">
        <v>46</v>
      </c>
      <c r="G119" s="63" t="s">
        <v>46</v>
      </c>
      <c r="H119" s="64"/>
      <c r="I119" s="64" t="s">
        <v>47</v>
      </c>
      <c r="J119" s="65">
        <v>10</v>
      </c>
      <c r="K119" s="66">
        <v>910.2</v>
      </c>
      <c r="L119" s="67" t="s">
        <v>172</v>
      </c>
      <c r="M119" s="66">
        <v>959.7</v>
      </c>
      <c r="N119" s="67" t="s">
        <v>132</v>
      </c>
      <c r="O119" s="66">
        <v>910.1</v>
      </c>
      <c r="P119" s="67" t="s">
        <v>172</v>
      </c>
      <c r="Q119" s="66">
        <v>948</v>
      </c>
      <c r="R119" s="67" t="s">
        <v>873</v>
      </c>
      <c r="S119" s="68">
        <v>946.33</v>
      </c>
      <c r="T119" s="65">
        <v>2570</v>
      </c>
      <c r="U119" s="65">
        <v>10</v>
      </c>
      <c r="V119" s="65">
        <v>2430209</v>
      </c>
      <c r="W119" s="65">
        <v>9596</v>
      </c>
      <c r="X119" s="69">
        <v>10</v>
      </c>
    </row>
    <row r="120" spans="1:24">
      <c r="A120" s="60" t="s">
        <v>958</v>
      </c>
      <c r="B120" s="60" t="s">
        <v>423</v>
      </c>
      <c r="C120" s="60" t="s">
        <v>424</v>
      </c>
      <c r="D120" s="60" t="s">
        <v>425</v>
      </c>
      <c r="E120" s="61" t="s">
        <v>46</v>
      </c>
      <c r="F120" s="62" t="s">
        <v>46</v>
      </c>
      <c r="G120" s="63" t="s">
        <v>46</v>
      </c>
      <c r="H120" s="64"/>
      <c r="I120" s="64" t="s">
        <v>47</v>
      </c>
      <c r="J120" s="65">
        <v>10</v>
      </c>
      <c r="K120" s="66">
        <v>1538.5</v>
      </c>
      <c r="L120" s="67" t="s">
        <v>853</v>
      </c>
      <c r="M120" s="66">
        <v>1590</v>
      </c>
      <c r="N120" s="67" t="s">
        <v>96</v>
      </c>
      <c r="O120" s="66">
        <v>1528</v>
      </c>
      <c r="P120" s="67" t="s">
        <v>857</v>
      </c>
      <c r="Q120" s="66">
        <v>1543</v>
      </c>
      <c r="R120" s="67" t="s">
        <v>371</v>
      </c>
      <c r="S120" s="68">
        <v>1562.06</v>
      </c>
      <c r="T120" s="65">
        <v>19520</v>
      </c>
      <c r="U120" s="65">
        <v>6320</v>
      </c>
      <c r="V120" s="65">
        <v>30692367</v>
      </c>
      <c r="W120" s="65">
        <v>9981112</v>
      </c>
      <c r="X120" s="69">
        <v>8</v>
      </c>
    </row>
    <row r="121" spans="1:24">
      <c r="A121" s="60" t="s">
        <v>958</v>
      </c>
      <c r="B121" s="60" t="s">
        <v>426</v>
      </c>
      <c r="C121" s="60" t="s">
        <v>427</v>
      </c>
      <c r="D121" s="60" t="s">
        <v>428</v>
      </c>
      <c r="E121" s="61" t="s">
        <v>46</v>
      </c>
      <c r="F121" s="62" t="s">
        <v>46</v>
      </c>
      <c r="G121" s="63" t="s">
        <v>46</v>
      </c>
      <c r="H121" s="64"/>
      <c r="I121" s="64" t="s">
        <v>47</v>
      </c>
      <c r="J121" s="65">
        <v>1</v>
      </c>
      <c r="K121" s="66">
        <v>1778</v>
      </c>
      <c r="L121" s="67" t="s">
        <v>853</v>
      </c>
      <c r="M121" s="66">
        <v>1855</v>
      </c>
      <c r="N121" s="67" t="s">
        <v>50</v>
      </c>
      <c r="O121" s="66">
        <v>1735</v>
      </c>
      <c r="P121" s="67" t="s">
        <v>858</v>
      </c>
      <c r="Q121" s="66">
        <v>1798</v>
      </c>
      <c r="R121" s="67" t="s">
        <v>873</v>
      </c>
      <c r="S121" s="68">
        <v>1773.2</v>
      </c>
      <c r="T121" s="65">
        <v>1141</v>
      </c>
      <c r="U121" s="65" t="s">
        <v>955</v>
      </c>
      <c r="V121" s="65">
        <v>2054036</v>
      </c>
      <c r="W121" s="65" t="s">
        <v>955</v>
      </c>
      <c r="X121" s="69">
        <v>20</v>
      </c>
    </row>
    <row r="122" spans="1:24">
      <c r="A122" s="60" t="s">
        <v>958</v>
      </c>
      <c r="B122" s="60" t="s">
        <v>429</v>
      </c>
      <c r="C122" s="60" t="s">
        <v>430</v>
      </c>
      <c r="D122" s="60" t="s">
        <v>431</v>
      </c>
      <c r="E122" s="61" t="s">
        <v>46</v>
      </c>
      <c r="F122" s="62" t="s">
        <v>46</v>
      </c>
      <c r="G122" s="63" t="s">
        <v>46</v>
      </c>
      <c r="H122" s="64"/>
      <c r="I122" s="64" t="s">
        <v>47</v>
      </c>
      <c r="J122" s="65">
        <v>1</v>
      </c>
      <c r="K122" s="66">
        <v>17440</v>
      </c>
      <c r="L122" s="67" t="s">
        <v>853</v>
      </c>
      <c r="M122" s="66">
        <v>18255</v>
      </c>
      <c r="N122" s="67" t="s">
        <v>854</v>
      </c>
      <c r="O122" s="66">
        <v>17355</v>
      </c>
      <c r="P122" s="67" t="s">
        <v>853</v>
      </c>
      <c r="Q122" s="66">
        <v>18090</v>
      </c>
      <c r="R122" s="67" t="s">
        <v>873</v>
      </c>
      <c r="S122" s="68">
        <v>17924.55</v>
      </c>
      <c r="T122" s="65">
        <v>528395</v>
      </c>
      <c r="U122" s="65">
        <v>487905</v>
      </c>
      <c r="V122" s="65">
        <v>9376783990</v>
      </c>
      <c r="W122" s="65">
        <v>8651539195</v>
      </c>
      <c r="X122" s="69">
        <v>22</v>
      </c>
    </row>
    <row r="123" spans="1:24">
      <c r="A123" s="60" t="s">
        <v>958</v>
      </c>
      <c r="B123" s="60" t="s">
        <v>432</v>
      </c>
      <c r="C123" s="60" t="s">
        <v>433</v>
      </c>
      <c r="D123" s="60" t="s">
        <v>434</v>
      </c>
      <c r="E123" s="61" t="s">
        <v>46</v>
      </c>
      <c r="F123" s="62" t="s">
        <v>46</v>
      </c>
      <c r="G123" s="63" t="s">
        <v>46</v>
      </c>
      <c r="H123" s="64"/>
      <c r="I123" s="64" t="s">
        <v>47</v>
      </c>
      <c r="J123" s="65">
        <v>1</v>
      </c>
      <c r="K123" s="66">
        <v>1621</v>
      </c>
      <c r="L123" s="67" t="s">
        <v>853</v>
      </c>
      <c r="M123" s="66">
        <v>1698</v>
      </c>
      <c r="N123" s="67" t="s">
        <v>873</v>
      </c>
      <c r="O123" s="66">
        <v>1597</v>
      </c>
      <c r="P123" s="67" t="s">
        <v>853</v>
      </c>
      <c r="Q123" s="66">
        <v>1661</v>
      </c>
      <c r="R123" s="67" t="s">
        <v>873</v>
      </c>
      <c r="S123" s="68">
        <v>1652.82</v>
      </c>
      <c r="T123" s="65">
        <v>148090</v>
      </c>
      <c r="U123" s="65">
        <v>40094</v>
      </c>
      <c r="V123" s="65">
        <v>244159002</v>
      </c>
      <c r="W123" s="65">
        <v>66006758</v>
      </c>
      <c r="X123" s="69">
        <v>22</v>
      </c>
    </row>
    <row r="124" spans="1:24">
      <c r="A124" s="60" t="s">
        <v>958</v>
      </c>
      <c r="B124" s="60" t="s">
        <v>435</v>
      </c>
      <c r="C124" s="60" t="s">
        <v>436</v>
      </c>
      <c r="D124" s="60" t="s">
        <v>437</v>
      </c>
      <c r="E124" s="61" t="s">
        <v>46</v>
      </c>
      <c r="F124" s="62" t="s">
        <v>46</v>
      </c>
      <c r="G124" s="63" t="s">
        <v>46</v>
      </c>
      <c r="H124" s="64"/>
      <c r="I124" s="64" t="s">
        <v>47</v>
      </c>
      <c r="J124" s="65">
        <v>1</v>
      </c>
      <c r="K124" s="66">
        <v>18210</v>
      </c>
      <c r="L124" s="67" t="s">
        <v>853</v>
      </c>
      <c r="M124" s="66">
        <v>18850</v>
      </c>
      <c r="N124" s="67" t="s">
        <v>859</v>
      </c>
      <c r="O124" s="66">
        <v>17870</v>
      </c>
      <c r="P124" s="67" t="s">
        <v>853</v>
      </c>
      <c r="Q124" s="66">
        <v>18700</v>
      </c>
      <c r="R124" s="67" t="s">
        <v>873</v>
      </c>
      <c r="S124" s="68">
        <v>18449.77</v>
      </c>
      <c r="T124" s="65">
        <v>182031</v>
      </c>
      <c r="U124" s="65">
        <v>126447</v>
      </c>
      <c r="V124" s="65">
        <v>3372897456</v>
      </c>
      <c r="W124" s="65">
        <v>2350809431</v>
      </c>
      <c r="X124" s="69">
        <v>22</v>
      </c>
    </row>
    <row r="125" spans="1:24">
      <c r="A125" s="60" t="s">
        <v>958</v>
      </c>
      <c r="B125" s="60" t="s">
        <v>438</v>
      </c>
      <c r="C125" s="60" t="s">
        <v>439</v>
      </c>
      <c r="D125" s="60" t="s">
        <v>440</v>
      </c>
      <c r="E125" s="61" t="s">
        <v>46</v>
      </c>
      <c r="F125" s="62" t="s">
        <v>46</v>
      </c>
      <c r="G125" s="63" t="s">
        <v>46</v>
      </c>
      <c r="H125" s="64"/>
      <c r="I125" s="64" t="s">
        <v>47</v>
      </c>
      <c r="J125" s="65">
        <v>10</v>
      </c>
      <c r="K125" s="66">
        <v>2059</v>
      </c>
      <c r="L125" s="67" t="s">
        <v>853</v>
      </c>
      <c r="M125" s="66">
        <v>2125.5</v>
      </c>
      <c r="N125" s="67" t="s">
        <v>69</v>
      </c>
      <c r="O125" s="66">
        <v>2040</v>
      </c>
      <c r="P125" s="67" t="s">
        <v>857</v>
      </c>
      <c r="Q125" s="66">
        <v>2110</v>
      </c>
      <c r="R125" s="67" t="s">
        <v>873</v>
      </c>
      <c r="S125" s="68">
        <v>2078.02</v>
      </c>
      <c r="T125" s="65">
        <v>1424250</v>
      </c>
      <c r="U125" s="65">
        <v>716210</v>
      </c>
      <c r="V125" s="65">
        <v>2949465610</v>
      </c>
      <c r="W125" s="65">
        <v>1482017665</v>
      </c>
      <c r="X125" s="69">
        <v>22</v>
      </c>
    </row>
    <row r="126" spans="1:24">
      <c r="A126" s="60" t="s">
        <v>958</v>
      </c>
      <c r="B126" s="60" t="s">
        <v>441</v>
      </c>
      <c r="C126" s="60" t="s">
        <v>442</v>
      </c>
      <c r="D126" s="60" t="s">
        <v>443</v>
      </c>
      <c r="E126" s="61" t="s">
        <v>46</v>
      </c>
      <c r="F126" s="62" t="s">
        <v>46</v>
      </c>
      <c r="G126" s="63" t="s">
        <v>46</v>
      </c>
      <c r="H126" s="64"/>
      <c r="I126" s="64" t="s">
        <v>47</v>
      </c>
      <c r="J126" s="65">
        <v>10</v>
      </c>
      <c r="K126" s="66">
        <v>1709</v>
      </c>
      <c r="L126" s="67" t="s">
        <v>853</v>
      </c>
      <c r="M126" s="66">
        <v>1765</v>
      </c>
      <c r="N126" s="67" t="s">
        <v>854</v>
      </c>
      <c r="O126" s="66">
        <v>1709</v>
      </c>
      <c r="P126" s="67" t="s">
        <v>853</v>
      </c>
      <c r="Q126" s="66">
        <v>1763</v>
      </c>
      <c r="R126" s="67" t="s">
        <v>873</v>
      </c>
      <c r="S126" s="68">
        <v>1745.38</v>
      </c>
      <c r="T126" s="65">
        <v>180</v>
      </c>
      <c r="U126" s="65">
        <v>20</v>
      </c>
      <c r="V126" s="65">
        <v>314015</v>
      </c>
      <c r="W126" s="65">
        <v>34510</v>
      </c>
      <c r="X126" s="69">
        <v>8</v>
      </c>
    </row>
    <row r="127" spans="1:24">
      <c r="A127" s="60" t="s">
        <v>958</v>
      </c>
      <c r="B127" s="60" t="s">
        <v>444</v>
      </c>
      <c r="C127" s="60" t="s">
        <v>445</v>
      </c>
      <c r="D127" s="60" t="s">
        <v>446</v>
      </c>
      <c r="E127" s="61" t="s">
        <v>46</v>
      </c>
      <c r="F127" s="62" t="s">
        <v>46</v>
      </c>
      <c r="G127" s="63" t="s">
        <v>46</v>
      </c>
      <c r="H127" s="64"/>
      <c r="I127" s="64" t="s">
        <v>47</v>
      </c>
      <c r="J127" s="65">
        <v>10</v>
      </c>
      <c r="K127" s="66">
        <v>2077.5</v>
      </c>
      <c r="L127" s="67" t="s">
        <v>853</v>
      </c>
      <c r="M127" s="66">
        <v>2125</v>
      </c>
      <c r="N127" s="67" t="s">
        <v>873</v>
      </c>
      <c r="O127" s="66">
        <v>2060.5</v>
      </c>
      <c r="P127" s="67" t="s">
        <v>172</v>
      </c>
      <c r="Q127" s="66">
        <v>2120</v>
      </c>
      <c r="R127" s="67" t="s">
        <v>873</v>
      </c>
      <c r="S127" s="68">
        <v>2089.0700000000002</v>
      </c>
      <c r="T127" s="65">
        <v>684360</v>
      </c>
      <c r="U127" s="65">
        <v>237640</v>
      </c>
      <c r="V127" s="65">
        <v>1427253455</v>
      </c>
      <c r="W127" s="65">
        <v>495023265</v>
      </c>
      <c r="X127" s="69">
        <v>22</v>
      </c>
    </row>
    <row r="128" spans="1:24">
      <c r="A128" s="60" t="s">
        <v>958</v>
      </c>
      <c r="B128" s="60" t="s">
        <v>450</v>
      </c>
      <c r="C128" s="60" t="s">
        <v>451</v>
      </c>
      <c r="D128" s="60" t="s">
        <v>452</v>
      </c>
      <c r="E128" s="61" t="s">
        <v>46</v>
      </c>
      <c r="F128" s="62" t="s">
        <v>46</v>
      </c>
      <c r="G128" s="63" t="s">
        <v>46</v>
      </c>
      <c r="H128" s="64"/>
      <c r="I128" s="64" t="s">
        <v>47</v>
      </c>
      <c r="J128" s="65">
        <v>1</v>
      </c>
      <c r="K128" s="66">
        <v>17825</v>
      </c>
      <c r="L128" s="67" t="s">
        <v>853</v>
      </c>
      <c r="M128" s="66">
        <v>18820</v>
      </c>
      <c r="N128" s="67" t="s">
        <v>873</v>
      </c>
      <c r="O128" s="66">
        <v>17610</v>
      </c>
      <c r="P128" s="67" t="s">
        <v>858</v>
      </c>
      <c r="Q128" s="66">
        <v>18370</v>
      </c>
      <c r="R128" s="67" t="s">
        <v>873</v>
      </c>
      <c r="S128" s="68">
        <v>18236.05</v>
      </c>
      <c r="T128" s="65">
        <v>2763</v>
      </c>
      <c r="U128" s="65" t="s">
        <v>955</v>
      </c>
      <c r="V128" s="65">
        <v>50275070</v>
      </c>
      <c r="W128" s="65" t="s">
        <v>955</v>
      </c>
      <c r="X128" s="69">
        <v>19</v>
      </c>
    </row>
    <row r="129" spans="1:24">
      <c r="A129" s="60" t="s">
        <v>958</v>
      </c>
      <c r="B129" s="60" t="s">
        <v>453</v>
      </c>
      <c r="C129" s="60" t="s">
        <v>454</v>
      </c>
      <c r="D129" s="60" t="s">
        <v>455</v>
      </c>
      <c r="E129" s="61" t="s">
        <v>46</v>
      </c>
      <c r="F129" s="62" t="s">
        <v>46</v>
      </c>
      <c r="G129" s="63" t="s">
        <v>46</v>
      </c>
      <c r="H129" s="64"/>
      <c r="I129" s="64" t="s">
        <v>47</v>
      </c>
      <c r="J129" s="65">
        <v>100</v>
      </c>
      <c r="K129" s="66">
        <v>144</v>
      </c>
      <c r="L129" s="67" t="s">
        <v>853</v>
      </c>
      <c r="M129" s="66">
        <v>154.4</v>
      </c>
      <c r="N129" s="67" t="s">
        <v>855</v>
      </c>
      <c r="O129" s="66">
        <v>144</v>
      </c>
      <c r="P129" s="67" t="s">
        <v>853</v>
      </c>
      <c r="Q129" s="66">
        <v>152.30000000000001</v>
      </c>
      <c r="R129" s="67" t="s">
        <v>873</v>
      </c>
      <c r="S129" s="68">
        <v>150.59</v>
      </c>
      <c r="T129" s="65">
        <v>29685800</v>
      </c>
      <c r="U129" s="65">
        <v>120500</v>
      </c>
      <c r="V129" s="65">
        <v>4449080330</v>
      </c>
      <c r="W129" s="65">
        <v>18161820</v>
      </c>
      <c r="X129" s="69">
        <v>22</v>
      </c>
    </row>
    <row r="130" spans="1:24">
      <c r="A130" s="60" t="s">
        <v>958</v>
      </c>
      <c r="B130" s="60" t="s">
        <v>456</v>
      </c>
      <c r="C130" s="60" t="s">
        <v>457</v>
      </c>
      <c r="D130" s="60" t="s">
        <v>458</v>
      </c>
      <c r="E130" s="61" t="s">
        <v>46</v>
      </c>
      <c r="F130" s="62" t="s">
        <v>46</v>
      </c>
      <c r="G130" s="63" t="s">
        <v>46</v>
      </c>
      <c r="H130" s="64"/>
      <c r="I130" s="64" t="s">
        <v>47</v>
      </c>
      <c r="J130" s="65">
        <v>1</v>
      </c>
      <c r="K130" s="66">
        <v>26695</v>
      </c>
      <c r="L130" s="67" t="s">
        <v>853</v>
      </c>
      <c r="M130" s="66">
        <v>28280</v>
      </c>
      <c r="N130" s="67" t="s">
        <v>855</v>
      </c>
      <c r="O130" s="66">
        <v>26600</v>
      </c>
      <c r="P130" s="67" t="s">
        <v>853</v>
      </c>
      <c r="Q130" s="66">
        <v>28125</v>
      </c>
      <c r="R130" s="67" t="s">
        <v>873</v>
      </c>
      <c r="S130" s="68">
        <v>27722.5</v>
      </c>
      <c r="T130" s="65">
        <v>984</v>
      </c>
      <c r="U130" s="65" t="s">
        <v>955</v>
      </c>
      <c r="V130" s="65">
        <v>27236830</v>
      </c>
      <c r="W130" s="65" t="s">
        <v>955</v>
      </c>
      <c r="X130" s="69">
        <v>22</v>
      </c>
    </row>
    <row r="131" spans="1:24">
      <c r="A131" s="60" t="s">
        <v>958</v>
      </c>
      <c r="B131" s="60" t="s">
        <v>459</v>
      </c>
      <c r="C131" s="60" t="s">
        <v>460</v>
      </c>
      <c r="D131" s="60" t="s">
        <v>461</v>
      </c>
      <c r="E131" s="61" t="s">
        <v>46</v>
      </c>
      <c r="F131" s="62" t="s">
        <v>46</v>
      </c>
      <c r="G131" s="63" t="s">
        <v>46</v>
      </c>
      <c r="H131" s="64"/>
      <c r="I131" s="64" t="s">
        <v>47</v>
      </c>
      <c r="J131" s="65">
        <v>1</v>
      </c>
      <c r="K131" s="66">
        <v>10240</v>
      </c>
      <c r="L131" s="67" t="s">
        <v>853</v>
      </c>
      <c r="M131" s="66">
        <v>11100</v>
      </c>
      <c r="N131" s="67" t="s">
        <v>96</v>
      </c>
      <c r="O131" s="66">
        <v>10010</v>
      </c>
      <c r="P131" s="67" t="s">
        <v>857</v>
      </c>
      <c r="Q131" s="66">
        <v>10790</v>
      </c>
      <c r="R131" s="67" t="s">
        <v>873</v>
      </c>
      <c r="S131" s="68">
        <v>10625.45</v>
      </c>
      <c r="T131" s="65">
        <v>3516</v>
      </c>
      <c r="U131" s="65">
        <v>1</v>
      </c>
      <c r="V131" s="65">
        <v>37405850</v>
      </c>
      <c r="W131" s="65">
        <v>9775</v>
      </c>
      <c r="X131" s="69">
        <v>22</v>
      </c>
    </row>
    <row r="132" spans="1:24">
      <c r="A132" s="60" t="s">
        <v>958</v>
      </c>
      <c r="B132" s="60" t="s">
        <v>462</v>
      </c>
      <c r="C132" s="60" t="s">
        <v>463</v>
      </c>
      <c r="D132" s="60" t="s">
        <v>464</v>
      </c>
      <c r="E132" s="61" t="s">
        <v>46</v>
      </c>
      <c r="F132" s="62" t="s">
        <v>46</v>
      </c>
      <c r="G132" s="63" t="s">
        <v>46</v>
      </c>
      <c r="H132" s="64"/>
      <c r="I132" s="64" t="s">
        <v>47</v>
      </c>
      <c r="J132" s="65">
        <v>1</v>
      </c>
      <c r="K132" s="66">
        <v>21115</v>
      </c>
      <c r="L132" s="67" t="s">
        <v>853</v>
      </c>
      <c r="M132" s="66">
        <v>22500</v>
      </c>
      <c r="N132" s="67" t="s">
        <v>96</v>
      </c>
      <c r="O132" s="66">
        <v>21115</v>
      </c>
      <c r="P132" s="67" t="s">
        <v>853</v>
      </c>
      <c r="Q132" s="66">
        <v>22060</v>
      </c>
      <c r="R132" s="67" t="s">
        <v>50</v>
      </c>
      <c r="S132" s="68">
        <v>21805.79</v>
      </c>
      <c r="T132" s="65">
        <v>2754</v>
      </c>
      <c r="U132" s="65" t="s">
        <v>955</v>
      </c>
      <c r="V132" s="65">
        <v>60680935</v>
      </c>
      <c r="W132" s="65" t="s">
        <v>955</v>
      </c>
      <c r="X132" s="69">
        <v>19</v>
      </c>
    </row>
    <row r="133" spans="1:24">
      <c r="A133" s="60" t="s">
        <v>958</v>
      </c>
      <c r="B133" s="60" t="s">
        <v>465</v>
      </c>
      <c r="C133" s="60" t="s">
        <v>466</v>
      </c>
      <c r="D133" s="60" t="s">
        <v>467</v>
      </c>
      <c r="E133" s="61" t="s">
        <v>46</v>
      </c>
      <c r="F133" s="62" t="s">
        <v>46</v>
      </c>
      <c r="G133" s="63" t="s">
        <v>46</v>
      </c>
      <c r="H133" s="64"/>
      <c r="I133" s="64" t="s">
        <v>47</v>
      </c>
      <c r="J133" s="65">
        <v>1</v>
      </c>
      <c r="K133" s="66">
        <v>26210</v>
      </c>
      <c r="L133" s="67" t="s">
        <v>853</v>
      </c>
      <c r="M133" s="66">
        <v>27380</v>
      </c>
      <c r="N133" s="67" t="s">
        <v>96</v>
      </c>
      <c r="O133" s="66">
        <v>26030</v>
      </c>
      <c r="P133" s="67" t="s">
        <v>853</v>
      </c>
      <c r="Q133" s="66">
        <v>26960</v>
      </c>
      <c r="R133" s="67" t="s">
        <v>873</v>
      </c>
      <c r="S133" s="68">
        <v>26801.58</v>
      </c>
      <c r="T133" s="65">
        <v>747</v>
      </c>
      <c r="U133" s="65" t="s">
        <v>955</v>
      </c>
      <c r="V133" s="65">
        <v>19833705</v>
      </c>
      <c r="W133" s="65" t="s">
        <v>955</v>
      </c>
      <c r="X133" s="69">
        <v>19</v>
      </c>
    </row>
    <row r="134" spans="1:24">
      <c r="A134" s="60" t="s">
        <v>958</v>
      </c>
      <c r="B134" s="60" t="s">
        <v>468</v>
      </c>
      <c r="C134" s="60" t="s">
        <v>469</v>
      </c>
      <c r="D134" s="60" t="s">
        <v>470</v>
      </c>
      <c r="E134" s="61" t="s">
        <v>46</v>
      </c>
      <c r="F134" s="62" t="s">
        <v>46</v>
      </c>
      <c r="G134" s="63" t="s">
        <v>46</v>
      </c>
      <c r="H134" s="64"/>
      <c r="I134" s="64" t="s">
        <v>47</v>
      </c>
      <c r="J134" s="65">
        <v>1</v>
      </c>
      <c r="K134" s="66">
        <v>21780</v>
      </c>
      <c r="L134" s="67" t="s">
        <v>853</v>
      </c>
      <c r="M134" s="66">
        <v>22550</v>
      </c>
      <c r="N134" s="67" t="s">
        <v>50</v>
      </c>
      <c r="O134" s="66">
        <v>21360</v>
      </c>
      <c r="P134" s="67" t="s">
        <v>172</v>
      </c>
      <c r="Q134" s="66">
        <v>22385</v>
      </c>
      <c r="R134" s="67" t="s">
        <v>873</v>
      </c>
      <c r="S134" s="68">
        <v>22092.05</v>
      </c>
      <c r="T134" s="65">
        <v>4866</v>
      </c>
      <c r="U134" s="65" t="s">
        <v>955</v>
      </c>
      <c r="V134" s="65">
        <v>107444645</v>
      </c>
      <c r="W134" s="65" t="s">
        <v>955</v>
      </c>
      <c r="X134" s="69">
        <v>22</v>
      </c>
    </row>
    <row r="135" spans="1:24">
      <c r="A135" s="60" t="s">
        <v>958</v>
      </c>
      <c r="B135" s="60" t="s">
        <v>471</v>
      </c>
      <c r="C135" s="60" t="s">
        <v>472</v>
      </c>
      <c r="D135" s="60" t="s">
        <v>473</v>
      </c>
      <c r="E135" s="61" t="s">
        <v>46</v>
      </c>
      <c r="F135" s="62" t="s">
        <v>46</v>
      </c>
      <c r="G135" s="63" t="s">
        <v>46</v>
      </c>
      <c r="H135" s="64"/>
      <c r="I135" s="64" t="s">
        <v>47</v>
      </c>
      <c r="J135" s="65">
        <v>1</v>
      </c>
      <c r="K135" s="66">
        <v>23250</v>
      </c>
      <c r="L135" s="67" t="s">
        <v>853</v>
      </c>
      <c r="M135" s="66">
        <v>24780</v>
      </c>
      <c r="N135" s="67" t="s">
        <v>855</v>
      </c>
      <c r="O135" s="66">
        <v>23250</v>
      </c>
      <c r="P135" s="67" t="s">
        <v>853</v>
      </c>
      <c r="Q135" s="66">
        <v>24265</v>
      </c>
      <c r="R135" s="67" t="s">
        <v>873</v>
      </c>
      <c r="S135" s="68">
        <v>24059.09</v>
      </c>
      <c r="T135" s="65">
        <v>2624</v>
      </c>
      <c r="U135" s="65" t="s">
        <v>955</v>
      </c>
      <c r="V135" s="65">
        <v>62944510</v>
      </c>
      <c r="W135" s="65" t="s">
        <v>955</v>
      </c>
      <c r="X135" s="69">
        <v>22</v>
      </c>
    </row>
    <row r="136" spans="1:24">
      <c r="A136" s="60" t="s">
        <v>958</v>
      </c>
      <c r="B136" s="60" t="s">
        <v>474</v>
      </c>
      <c r="C136" s="60" t="s">
        <v>475</v>
      </c>
      <c r="D136" s="60" t="s">
        <v>476</v>
      </c>
      <c r="E136" s="61" t="s">
        <v>46</v>
      </c>
      <c r="F136" s="62" t="s">
        <v>46</v>
      </c>
      <c r="G136" s="63" t="s">
        <v>46</v>
      </c>
      <c r="H136" s="64"/>
      <c r="I136" s="64" t="s">
        <v>47</v>
      </c>
      <c r="J136" s="65">
        <v>1</v>
      </c>
      <c r="K136" s="66">
        <v>14750</v>
      </c>
      <c r="L136" s="67" t="s">
        <v>853</v>
      </c>
      <c r="M136" s="66">
        <v>15975</v>
      </c>
      <c r="N136" s="67" t="s">
        <v>855</v>
      </c>
      <c r="O136" s="66">
        <v>14750</v>
      </c>
      <c r="P136" s="67" t="s">
        <v>853</v>
      </c>
      <c r="Q136" s="66">
        <v>15725</v>
      </c>
      <c r="R136" s="67" t="s">
        <v>873</v>
      </c>
      <c r="S136" s="68">
        <v>15554.09</v>
      </c>
      <c r="T136" s="65">
        <v>2839</v>
      </c>
      <c r="U136" s="65" t="s">
        <v>955</v>
      </c>
      <c r="V136" s="65">
        <v>44154650</v>
      </c>
      <c r="W136" s="65" t="s">
        <v>955</v>
      </c>
      <c r="X136" s="69">
        <v>22</v>
      </c>
    </row>
    <row r="137" spans="1:24">
      <c r="A137" s="60" t="s">
        <v>958</v>
      </c>
      <c r="B137" s="60" t="s">
        <v>477</v>
      </c>
      <c r="C137" s="60" t="s">
        <v>478</v>
      </c>
      <c r="D137" s="60" t="s">
        <v>479</v>
      </c>
      <c r="E137" s="61" t="s">
        <v>46</v>
      </c>
      <c r="F137" s="62" t="s">
        <v>46</v>
      </c>
      <c r="G137" s="63" t="s">
        <v>46</v>
      </c>
      <c r="H137" s="64"/>
      <c r="I137" s="64" t="s">
        <v>47</v>
      </c>
      <c r="J137" s="65">
        <v>1</v>
      </c>
      <c r="K137" s="66">
        <v>39200</v>
      </c>
      <c r="L137" s="67" t="s">
        <v>853</v>
      </c>
      <c r="M137" s="66">
        <v>41920</v>
      </c>
      <c r="N137" s="67" t="s">
        <v>854</v>
      </c>
      <c r="O137" s="66">
        <v>38880</v>
      </c>
      <c r="P137" s="67" t="s">
        <v>853</v>
      </c>
      <c r="Q137" s="66">
        <v>41500</v>
      </c>
      <c r="R137" s="67" t="s">
        <v>873</v>
      </c>
      <c r="S137" s="68">
        <v>41041.9</v>
      </c>
      <c r="T137" s="65">
        <v>414</v>
      </c>
      <c r="U137" s="65" t="s">
        <v>955</v>
      </c>
      <c r="V137" s="65">
        <v>16772960</v>
      </c>
      <c r="W137" s="65" t="s">
        <v>955</v>
      </c>
      <c r="X137" s="69">
        <v>21</v>
      </c>
    </row>
    <row r="138" spans="1:24">
      <c r="A138" s="60" t="s">
        <v>958</v>
      </c>
      <c r="B138" s="60" t="s">
        <v>480</v>
      </c>
      <c r="C138" s="60" t="s">
        <v>481</v>
      </c>
      <c r="D138" s="60" t="s">
        <v>482</v>
      </c>
      <c r="E138" s="61" t="s">
        <v>46</v>
      </c>
      <c r="F138" s="62" t="s">
        <v>46</v>
      </c>
      <c r="G138" s="63" t="s">
        <v>46</v>
      </c>
      <c r="H138" s="64"/>
      <c r="I138" s="64" t="s">
        <v>47</v>
      </c>
      <c r="J138" s="65">
        <v>1</v>
      </c>
      <c r="K138" s="66">
        <v>31100</v>
      </c>
      <c r="L138" s="67" t="s">
        <v>853</v>
      </c>
      <c r="M138" s="66">
        <v>33160</v>
      </c>
      <c r="N138" s="67" t="s">
        <v>88</v>
      </c>
      <c r="O138" s="66">
        <v>30110</v>
      </c>
      <c r="P138" s="67" t="s">
        <v>857</v>
      </c>
      <c r="Q138" s="66">
        <v>32730</v>
      </c>
      <c r="R138" s="67" t="s">
        <v>873</v>
      </c>
      <c r="S138" s="68">
        <v>32081.360000000001</v>
      </c>
      <c r="T138" s="65">
        <v>5065</v>
      </c>
      <c r="U138" s="65" t="s">
        <v>955</v>
      </c>
      <c r="V138" s="65">
        <v>161674810</v>
      </c>
      <c r="W138" s="65" t="s">
        <v>955</v>
      </c>
      <c r="X138" s="69">
        <v>22</v>
      </c>
    </row>
    <row r="139" spans="1:24">
      <c r="A139" s="60" t="s">
        <v>958</v>
      </c>
      <c r="B139" s="60" t="s">
        <v>483</v>
      </c>
      <c r="C139" s="60" t="s">
        <v>484</v>
      </c>
      <c r="D139" s="60" t="s">
        <v>485</v>
      </c>
      <c r="E139" s="61" t="s">
        <v>46</v>
      </c>
      <c r="F139" s="62" t="s">
        <v>46</v>
      </c>
      <c r="G139" s="63" t="s">
        <v>46</v>
      </c>
      <c r="H139" s="64"/>
      <c r="I139" s="64" t="s">
        <v>47</v>
      </c>
      <c r="J139" s="65">
        <v>1</v>
      </c>
      <c r="K139" s="66">
        <v>29540</v>
      </c>
      <c r="L139" s="67" t="s">
        <v>853</v>
      </c>
      <c r="M139" s="66">
        <v>30280</v>
      </c>
      <c r="N139" s="67" t="s">
        <v>96</v>
      </c>
      <c r="O139" s="66">
        <v>28750</v>
      </c>
      <c r="P139" s="67" t="s">
        <v>371</v>
      </c>
      <c r="Q139" s="66">
        <v>29435</v>
      </c>
      <c r="R139" s="67" t="s">
        <v>873</v>
      </c>
      <c r="S139" s="68">
        <v>29424.77</v>
      </c>
      <c r="T139" s="65">
        <v>1593</v>
      </c>
      <c r="U139" s="65" t="s">
        <v>955</v>
      </c>
      <c r="V139" s="65">
        <v>46766795</v>
      </c>
      <c r="W139" s="65" t="s">
        <v>955</v>
      </c>
      <c r="X139" s="69">
        <v>22</v>
      </c>
    </row>
    <row r="140" spans="1:24">
      <c r="A140" s="60" t="s">
        <v>958</v>
      </c>
      <c r="B140" s="60" t="s">
        <v>486</v>
      </c>
      <c r="C140" s="60" t="s">
        <v>487</v>
      </c>
      <c r="D140" s="60" t="s">
        <v>488</v>
      </c>
      <c r="E140" s="61" t="s">
        <v>46</v>
      </c>
      <c r="F140" s="62" t="s">
        <v>46</v>
      </c>
      <c r="G140" s="63" t="s">
        <v>46</v>
      </c>
      <c r="H140" s="64"/>
      <c r="I140" s="64" t="s">
        <v>47</v>
      </c>
      <c r="J140" s="65">
        <v>1</v>
      </c>
      <c r="K140" s="66">
        <v>5380</v>
      </c>
      <c r="L140" s="67" t="s">
        <v>853</v>
      </c>
      <c r="M140" s="66">
        <v>5700</v>
      </c>
      <c r="N140" s="67" t="s">
        <v>855</v>
      </c>
      <c r="O140" s="66">
        <v>5380</v>
      </c>
      <c r="P140" s="67" t="s">
        <v>853</v>
      </c>
      <c r="Q140" s="66">
        <v>5460</v>
      </c>
      <c r="R140" s="67" t="s">
        <v>873</v>
      </c>
      <c r="S140" s="68">
        <v>5532.41</v>
      </c>
      <c r="T140" s="65">
        <v>13347</v>
      </c>
      <c r="U140" s="65">
        <v>3</v>
      </c>
      <c r="V140" s="65">
        <v>73681608</v>
      </c>
      <c r="W140" s="65">
        <v>15408</v>
      </c>
      <c r="X140" s="69">
        <v>22</v>
      </c>
    </row>
    <row r="141" spans="1:24">
      <c r="A141" s="60" t="s">
        <v>958</v>
      </c>
      <c r="B141" s="60" t="s">
        <v>489</v>
      </c>
      <c r="C141" s="60" t="s">
        <v>490</v>
      </c>
      <c r="D141" s="60" t="s">
        <v>491</v>
      </c>
      <c r="E141" s="61" t="s">
        <v>46</v>
      </c>
      <c r="F141" s="62" t="s">
        <v>46</v>
      </c>
      <c r="G141" s="63" t="s">
        <v>46</v>
      </c>
      <c r="H141" s="64"/>
      <c r="I141" s="64" t="s">
        <v>47</v>
      </c>
      <c r="J141" s="65">
        <v>1</v>
      </c>
      <c r="K141" s="66">
        <v>13650</v>
      </c>
      <c r="L141" s="67" t="s">
        <v>853</v>
      </c>
      <c r="M141" s="66">
        <v>14810</v>
      </c>
      <c r="N141" s="67" t="s">
        <v>96</v>
      </c>
      <c r="O141" s="66">
        <v>13635</v>
      </c>
      <c r="P141" s="67" t="s">
        <v>853</v>
      </c>
      <c r="Q141" s="66">
        <v>14450</v>
      </c>
      <c r="R141" s="67" t="s">
        <v>873</v>
      </c>
      <c r="S141" s="68">
        <v>14367.27</v>
      </c>
      <c r="T141" s="65">
        <v>18930</v>
      </c>
      <c r="U141" s="65" t="s">
        <v>955</v>
      </c>
      <c r="V141" s="65">
        <v>271267585</v>
      </c>
      <c r="W141" s="65" t="s">
        <v>955</v>
      </c>
      <c r="X141" s="69">
        <v>22</v>
      </c>
    </row>
    <row r="142" spans="1:24">
      <c r="A142" s="60" t="s">
        <v>958</v>
      </c>
      <c r="B142" s="60" t="s">
        <v>492</v>
      </c>
      <c r="C142" s="60" t="s">
        <v>493</v>
      </c>
      <c r="D142" s="60" t="s">
        <v>494</v>
      </c>
      <c r="E142" s="61" t="s">
        <v>46</v>
      </c>
      <c r="F142" s="62" t="s">
        <v>46</v>
      </c>
      <c r="G142" s="63" t="s">
        <v>46</v>
      </c>
      <c r="H142" s="64"/>
      <c r="I142" s="64" t="s">
        <v>47</v>
      </c>
      <c r="J142" s="65">
        <v>1</v>
      </c>
      <c r="K142" s="66">
        <v>39510</v>
      </c>
      <c r="L142" s="67" t="s">
        <v>853</v>
      </c>
      <c r="M142" s="66">
        <v>42460</v>
      </c>
      <c r="N142" s="67" t="s">
        <v>50</v>
      </c>
      <c r="O142" s="66">
        <v>39020</v>
      </c>
      <c r="P142" s="67" t="s">
        <v>853</v>
      </c>
      <c r="Q142" s="66">
        <v>41920</v>
      </c>
      <c r="R142" s="67" t="s">
        <v>873</v>
      </c>
      <c r="S142" s="68">
        <v>40917.269999999997</v>
      </c>
      <c r="T142" s="65">
        <v>2181</v>
      </c>
      <c r="U142" s="65" t="s">
        <v>955</v>
      </c>
      <c r="V142" s="65">
        <v>88637340</v>
      </c>
      <c r="W142" s="65" t="s">
        <v>955</v>
      </c>
      <c r="X142" s="69">
        <v>22</v>
      </c>
    </row>
    <row r="143" spans="1:24">
      <c r="A143" s="60" t="s">
        <v>958</v>
      </c>
      <c r="B143" s="60" t="s">
        <v>495</v>
      </c>
      <c r="C143" s="60" t="s">
        <v>496</v>
      </c>
      <c r="D143" s="60" t="s">
        <v>497</v>
      </c>
      <c r="E143" s="61" t="s">
        <v>46</v>
      </c>
      <c r="F143" s="62" t="s">
        <v>46</v>
      </c>
      <c r="G143" s="63" t="s">
        <v>46</v>
      </c>
      <c r="H143" s="64"/>
      <c r="I143" s="64" t="s">
        <v>47</v>
      </c>
      <c r="J143" s="65">
        <v>1</v>
      </c>
      <c r="K143" s="66">
        <v>21110</v>
      </c>
      <c r="L143" s="67" t="s">
        <v>853</v>
      </c>
      <c r="M143" s="66">
        <v>21950</v>
      </c>
      <c r="N143" s="67" t="s">
        <v>96</v>
      </c>
      <c r="O143" s="66">
        <v>20975</v>
      </c>
      <c r="P143" s="67" t="s">
        <v>857</v>
      </c>
      <c r="Q143" s="66">
        <v>21315</v>
      </c>
      <c r="R143" s="67" t="s">
        <v>873</v>
      </c>
      <c r="S143" s="68">
        <v>21429.05</v>
      </c>
      <c r="T143" s="65">
        <v>363</v>
      </c>
      <c r="U143" s="65" t="s">
        <v>955</v>
      </c>
      <c r="V143" s="65">
        <v>7744530</v>
      </c>
      <c r="W143" s="65" t="s">
        <v>955</v>
      </c>
      <c r="X143" s="69">
        <v>21</v>
      </c>
    </row>
    <row r="144" spans="1:24">
      <c r="A144" s="60" t="s">
        <v>958</v>
      </c>
      <c r="B144" s="60" t="s">
        <v>498</v>
      </c>
      <c r="C144" s="60" t="s">
        <v>499</v>
      </c>
      <c r="D144" s="60" t="s">
        <v>500</v>
      </c>
      <c r="E144" s="61" t="s">
        <v>46</v>
      </c>
      <c r="F144" s="62" t="s">
        <v>46</v>
      </c>
      <c r="G144" s="63" t="s">
        <v>46</v>
      </c>
      <c r="H144" s="64"/>
      <c r="I144" s="64" t="s">
        <v>47</v>
      </c>
      <c r="J144" s="65">
        <v>1</v>
      </c>
      <c r="K144" s="66">
        <v>7530</v>
      </c>
      <c r="L144" s="67" t="s">
        <v>853</v>
      </c>
      <c r="M144" s="66">
        <v>8069</v>
      </c>
      <c r="N144" s="67" t="s">
        <v>855</v>
      </c>
      <c r="O144" s="66">
        <v>7530</v>
      </c>
      <c r="P144" s="67" t="s">
        <v>853</v>
      </c>
      <c r="Q144" s="66">
        <v>7970</v>
      </c>
      <c r="R144" s="67" t="s">
        <v>873</v>
      </c>
      <c r="S144" s="68">
        <v>7872.05</v>
      </c>
      <c r="T144" s="65">
        <v>11597</v>
      </c>
      <c r="U144" s="65" t="s">
        <v>955</v>
      </c>
      <c r="V144" s="65">
        <v>91674479</v>
      </c>
      <c r="W144" s="65" t="s">
        <v>955</v>
      </c>
      <c r="X144" s="69">
        <v>22</v>
      </c>
    </row>
    <row r="145" spans="1:24">
      <c r="A145" s="60" t="s">
        <v>958</v>
      </c>
      <c r="B145" s="60" t="s">
        <v>501</v>
      </c>
      <c r="C145" s="60" t="s">
        <v>502</v>
      </c>
      <c r="D145" s="60" t="s">
        <v>503</v>
      </c>
      <c r="E145" s="61" t="s">
        <v>46</v>
      </c>
      <c r="F145" s="62" t="s">
        <v>46</v>
      </c>
      <c r="G145" s="63" t="s">
        <v>46</v>
      </c>
      <c r="H145" s="64"/>
      <c r="I145" s="64" t="s">
        <v>47</v>
      </c>
      <c r="J145" s="65">
        <v>1</v>
      </c>
      <c r="K145" s="66">
        <v>13195</v>
      </c>
      <c r="L145" s="67" t="s">
        <v>853</v>
      </c>
      <c r="M145" s="66">
        <v>14350</v>
      </c>
      <c r="N145" s="67" t="s">
        <v>854</v>
      </c>
      <c r="O145" s="66">
        <v>13195</v>
      </c>
      <c r="P145" s="67" t="s">
        <v>853</v>
      </c>
      <c r="Q145" s="66">
        <v>14010</v>
      </c>
      <c r="R145" s="67" t="s">
        <v>873</v>
      </c>
      <c r="S145" s="68">
        <v>13776.9</v>
      </c>
      <c r="T145" s="65">
        <v>2354</v>
      </c>
      <c r="U145" s="65" t="s">
        <v>955</v>
      </c>
      <c r="V145" s="65">
        <v>32534235</v>
      </c>
      <c r="W145" s="65" t="s">
        <v>955</v>
      </c>
      <c r="X145" s="69">
        <v>21</v>
      </c>
    </row>
    <row r="146" spans="1:24">
      <c r="A146" s="60" t="s">
        <v>958</v>
      </c>
      <c r="B146" s="60" t="s">
        <v>504</v>
      </c>
      <c r="C146" s="60" t="s">
        <v>505</v>
      </c>
      <c r="D146" s="60" t="s">
        <v>506</v>
      </c>
      <c r="E146" s="61" t="s">
        <v>46</v>
      </c>
      <c r="F146" s="62" t="s">
        <v>46</v>
      </c>
      <c r="G146" s="63" t="s">
        <v>46</v>
      </c>
      <c r="H146" s="64"/>
      <c r="I146" s="64" t="s">
        <v>47</v>
      </c>
      <c r="J146" s="65">
        <v>1</v>
      </c>
      <c r="K146" s="66">
        <v>27500</v>
      </c>
      <c r="L146" s="67" t="s">
        <v>853</v>
      </c>
      <c r="M146" s="66">
        <v>28850</v>
      </c>
      <c r="N146" s="67" t="s">
        <v>172</v>
      </c>
      <c r="O146" s="66">
        <v>26670</v>
      </c>
      <c r="P146" s="67" t="s">
        <v>371</v>
      </c>
      <c r="Q146" s="66">
        <v>27520</v>
      </c>
      <c r="R146" s="67" t="s">
        <v>873</v>
      </c>
      <c r="S146" s="68">
        <v>27697.73</v>
      </c>
      <c r="T146" s="65">
        <v>1146</v>
      </c>
      <c r="U146" s="65" t="s">
        <v>955</v>
      </c>
      <c r="V146" s="65">
        <v>31804385</v>
      </c>
      <c r="W146" s="65" t="s">
        <v>955</v>
      </c>
      <c r="X146" s="69">
        <v>22</v>
      </c>
    </row>
    <row r="147" spans="1:24">
      <c r="A147" s="60" t="s">
        <v>958</v>
      </c>
      <c r="B147" s="60" t="s">
        <v>507</v>
      </c>
      <c r="C147" s="60" t="s">
        <v>508</v>
      </c>
      <c r="D147" s="60" t="s">
        <v>509</v>
      </c>
      <c r="E147" s="61" t="s">
        <v>46</v>
      </c>
      <c r="F147" s="62" t="s">
        <v>46</v>
      </c>
      <c r="G147" s="63" t="s">
        <v>46</v>
      </c>
      <c r="H147" s="64"/>
      <c r="I147" s="64" t="s">
        <v>47</v>
      </c>
      <c r="J147" s="65">
        <v>10</v>
      </c>
      <c r="K147" s="66">
        <v>1069</v>
      </c>
      <c r="L147" s="67" t="s">
        <v>853</v>
      </c>
      <c r="M147" s="66">
        <v>1119</v>
      </c>
      <c r="N147" s="67" t="s">
        <v>371</v>
      </c>
      <c r="O147" s="66">
        <v>1048</v>
      </c>
      <c r="P147" s="67" t="s">
        <v>853</v>
      </c>
      <c r="Q147" s="66">
        <v>1102.5</v>
      </c>
      <c r="R147" s="67" t="s">
        <v>873</v>
      </c>
      <c r="S147" s="68">
        <v>1087.3599999999999</v>
      </c>
      <c r="T147" s="65">
        <v>146510</v>
      </c>
      <c r="U147" s="65">
        <v>18940</v>
      </c>
      <c r="V147" s="65">
        <v>158462785</v>
      </c>
      <c r="W147" s="65">
        <v>19991170</v>
      </c>
      <c r="X147" s="69">
        <v>22</v>
      </c>
    </row>
    <row r="148" spans="1:24">
      <c r="A148" s="60" t="s">
        <v>958</v>
      </c>
      <c r="B148" s="60" t="s">
        <v>510</v>
      </c>
      <c r="C148" s="60" t="s">
        <v>511</v>
      </c>
      <c r="D148" s="60" t="s">
        <v>512</v>
      </c>
      <c r="E148" s="61" t="s">
        <v>46</v>
      </c>
      <c r="F148" s="62" t="s">
        <v>46</v>
      </c>
      <c r="G148" s="63" t="s">
        <v>46</v>
      </c>
      <c r="H148" s="64"/>
      <c r="I148" s="64" t="s">
        <v>47</v>
      </c>
      <c r="J148" s="65">
        <v>10</v>
      </c>
      <c r="K148" s="66">
        <v>2396</v>
      </c>
      <c r="L148" s="67" t="s">
        <v>853</v>
      </c>
      <c r="M148" s="66">
        <v>2486.5</v>
      </c>
      <c r="N148" s="67" t="s">
        <v>96</v>
      </c>
      <c r="O148" s="66">
        <v>2377.5</v>
      </c>
      <c r="P148" s="67" t="s">
        <v>853</v>
      </c>
      <c r="Q148" s="66">
        <v>2469</v>
      </c>
      <c r="R148" s="67" t="s">
        <v>873</v>
      </c>
      <c r="S148" s="68">
        <v>2447.83</v>
      </c>
      <c r="T148" s="65">
        <v>6470</v>
      </c>
      <c r="U148" s="65" t="s">
        <v>955</v>
      </c>
      <c r="V148" s="65">
        <v>15491575</v>
      </c>
      <c r="W148" s="65" t="s">
        <v>955</v>
      </c>
      <c r="X148" s="69">
        <v>12</v>
      </c>
    </row>
    <row r="149" spans="1:24">
      <c r="A149" s="60" t="s">
        <v>958</v>
      </c>
      <c r="B149" s="60" t="s">
        <v>513</v>
      </c>
      <c r="C149" s="60" t="s">
        <v>514</v>
      </c>
      <c r="D149" s="60" t="s">
        <v>515</v>
      </c>
      <c r="E149" s="61" t="s">
        <v>46</v>
      </c>
      <c r="F149" s="62" t="s">
        <v>46</v>
      </c>
      <c r="G149" s="63" t="s">
        <v>46</v>
      </c>
      <c r="H149" s="64"/>
      <c r="I149" s="64" t="s">
        <v>47</v>
      </c>
      <c r="J149" s="65">
        <v>10</v>
      </c>
      <c r="K149" s="66">
        <v>2518.5</v>
      </c>
      <c r="L149" s="67" t="s">
        <v>853</v>
      </c>
      <c r="M149" s="66">
        <v>2625</v>
      </c>
      <c r="N149" s="67" t="s">
        <v>854</v>
      </c>
      <c r="O149" s="66">
        <v>2501</v>
      </c>
      <c r="P149" s="67" t="s">
        <v>853</v>
      </c>
      <c r="Q149" s="66">
        <v>2615.5</v>
      </c>
      <c r="R149" s="67" t="s">
        <v>873</v>
      </c>
      <c r="S149" s="68">
        <v>2580.5700000000002</v>
      </c>
      <c r="T149" s="65">
        <v>118340</v>
      </c>
      <c r="U149" s="65">
        <v>52000</v>
      </c>
      <c r="V149" s="65">
        <v>302472710</v>
      </c>
      <c r="W149" s="65">
        <v>132036960</v>
      </c>
      <c r="X149" s="69">
        <v>22</v>
      </c>
    </row>
    <row r="150" spans="1:24">
      <c r="A150" s="60" t="s">
        <v>958</v>
      </c>
      <c r="B150" s="60" t="s">
        <v>516</v>
      </c>
      <c r="C150" s="60" t="s">
        <v>517</v>
      </c>
      <c r="D150" s="60" t="s">
        <v>518</v>
      </c>
      <c r="E150" s="61" t="s">
        <v>46</v>
      </c>
      <c r="F150" s="62" t="s">
        <v>46</v>
      </c>
      <c r="G150" s="63" t="s">
        <v>46</v>
      </c>
      <c r="H150" s="64"/>
      <c r="I150" s="64" t="s">
        <v>47</v>
      </c>
      <c r="J150" s="65">
        <v>10</v>
      </c>
      <c r="K150" s="66">
        <v>1511</v>
      </c>
      <c r="L150" s="67" t="s">
        <v>853</v>
      </c>
      <c r="M150" s="66">
        <v>1579</v>
      </c>
      <c r="N150" s="67" t="s">
        <v>855</v>
      </c>
      <c r="O150" s="66">
        <v>1501.5</v>
      </c>
      <c r="P150" s="67" t="s">
        <v>853</v>
      </c>
      <c r="Q150" s="66">
        <v>1579</v>
      </c>
      <c r="R150" s="67" t="s">
        <v>50</v>
      </c>
      <c r="S150" s="68">
        <v>1551.88</v>
      </c>
      <c r="T150" s="65">
        <v>35750</v>
      </c>
      <c r="U150" s="65" t="s">
        <v>955</v>
      </c>
      <c r="V150" s="65">
        <v>55937790</v>
      </c>
      <c r="W150" s="65" t="s">
        <v>955</v>
      </c>
      <c r="X150" s="69">
        <v>13</v>
      </c>
    </row>
    <row r="151" spans="1:24">
      <c r="A151" s="60" t="s">
        <v>958</v>
      </c>
      <c r="B151" s="60" t="s">
        <v>519</v>
      </c>
      <c r="C151" s="60" t="s">
        <v>520</v>
      </c>
      <c r="D151" s="60" t="s">
        <v>521</v>
      </c>
      <c r="E151" s="61" t="s">
        <v>46</v>
      </c>
      <c r="F151" s="62" t="s">
        <v>46</v>
      </c>
      <c r="G151" s="63" t="s">
        <v>46</v>
      </c>
      <c r="H151" s="64"/>
      <c r="I151" s="64" t="s">
        <v>47</v>
      </c>
      <c r="J151" s="65">
        <v>1</v>
      </c>
      <c r="K151" s="66">
        <v>3735</v>
      </c>
      <c r="L151" s="67" t="s">
        <v>853</v>
      </c>
      <c r="M151" s="66">
        <v>3965</v>
      </c>
      <c r="N151" s="67" t="s">
        <v>873</v>
      </c>
      <c r="O151" s="66">
        <v>3665</v>
      </c>
      <c r="P151" s="67" t="s">
        <v>857</v>
      </c>
      <c r="Q151" s="66">
        <v>3965</v>
      </c>
      <c r="R151" s="67" t="s">
        <v>873</v>
      </c>
      <c r="S151" s="68">
        <v>3821.14</v>
      </c>
      <c r="T151" s="65">
        <v>14616949</v>
      </c>
      <c r="U151" s="65">
        <v>6578740</v>
      </c>
      <c r="V151" s="65">
        <v>56417886752</v>
      </c>
      <c r="W151" s="65">
        <v>25782352747</v>
      </c>
      <c r="X151" s="69">
        <v>22</v>
      </c>
    </row>
    <row r="152" spans="1:24">
      <c r="A152" s="60" t="s">
        <v>958</v>
      </c>
      <c r="B152" s="60" t="s">
        <v>522</v>
      </c>
      <c r="C152" s="60" t="s">
        <v>523</v>
      </c>
      <c r="D152" s="60" t="s">
        <v>524</v>
      </c>
      <c r="E152" s="61" t="s">
        <v>46</v>
      </c>
      <c r="F152" s="62" t="s">
        <v>46</v>
      </c>
      <c r="G152" s="63" t="s">
        <v>46</v>
      </c>
      <c r="H152" s="64"/>
      <c r="I152" s="64" t="s">
        <v>47</v>
      </c>
      <c r="J152" s="65">
        <v>1</v>
      </c>
      <c r="K152" s="66">
        <v>2694</v>
      </c>
      <c r="L152" s="67" t="s">
        <v>853</v>
      </c>
      <c r="M152" s="66">
        <v>2736</v>
      </c>
      <c r="N152" s="67" t="s">
        <v>88</v>
      </c>
      <c r="O152" s="66">
        <v>2689</v>
      </c>
      <c r="P152" s="67" t="s">
        <v>853</v>
      </c>
      <c r="Q152" s="66">
        <v>2726</v>
      </c>
      <c r="R152" s="67" t="s">
        <v>873</v>
      </c>
      <c r="S152" s="68">
        <v>2712.5</v>
      </c>
      <c r="T152" s="65">
        <v>1223782</v>
      </c>
      <c r="U152" s="65">
        <v>173690</v>
      </c>
      <c r="V152" s="65">
        <v>3315276503</v>
      </c>
      <c r="W152" s="65">
        <v>471752621</v>
      </c>
      <c r="X152" s="69">
        <v>22</v>
      </c>
    </row>
    <row r="153" spans="1:24">
      <c r="A153" s="60" t="s">
        <v>958</v>
      </c>
      <c r="B153" s="60" t="s">
        <v>525</v>
      </c>
      <c r="C153" s="60" t="s">
        <v>526</v>
      </c>
      <c r="D153" s="60" t="s">
        <v>527</v>
      </c>
      <c r="E153" s="61" t="s">
        <v>46</v>
      </c>
      <c r="F153" s="62" t="s">
        <v>46</v>
      </c>
      <c r="G153" s="63" t="s">
        <v>46</v>
      </c>
      <c r="H153" s="64"/>
      <c r="I153" s="64" t="s">
        <v>47</v>
      </c>
      <c r="J153" s="65">
        <v>1</v>
      </c>
      <c r="K153" s="66">
        <v>3260</v>
      </c>
      <c r="L153" s="67" t="s">
        <v>853</v>
      </c>
      <c r="M153" s="66">
        <v>3455</v>
      </c>
      <c r="N153" s="67" t="s">
        <v>873</v>
      </c>
      <c r="O153" s="66">
        <v>3205</v>
      </c>
      <c r="P153" s="67" t="s">
        <v>857</v>
      </c>
      <c r="Q153" s="66">
        <v>3455</v>
      </c>
      <c r="R153" s="67" t="s">
        <v>873</v>
      </c>
      <c r="S153" s="68">
        <v>3331.36</v>
      </c>
      <c r="T153" s="65">
        <v>64602</v>
      </c>
      <c r="U153" s="65">
        <v>1521</v>
      </c>
      <c r="V153" s="65">
        <v>214782547</v>
      </c>
      <c r="W153" s="65">
        <v>5100347</v>
      </c>
      <c r="X153" s="69">
        <v>22</v>
      </c>
    </row>
    <row r="154" spans="1:24">
      <c r="A154" s="60" t="s">
        <v>958</v>
      </c>
      <c r="B154" s="60" t="s">
        <v>528</v>
      </c>
      <c r="C154" s="60" t="s">
        <v>529</v>
      </c>
      <c r="D154" s="60" t="s">
        <v>530</v>
      </c>
      <c r="E154" s="61" t="s">
        <v>46</v>
      </c>
      <c r="F154" s="62" t="s">
        <v>46</v>
      </c>
      <c r="G154" s="63" t="s">
        <v>46</v>
      </c>
      <c r="H154" s="64"/>
      <c r="I154" s="64" t="s">
        <v>47</v>
      </c>
      <c r="J154" s="65">
        <v>1</v>
      </c>
      <c r="K154" s="66">
        <v>2291</v>
      </c>
      <c r="L154" s="67" t="s">
        <v>853</v>
      </c>
      <c r="M154" s="66">
        <v>2372</v>
      </c>
      <c r="N154" s="67" t="s">
        <v>859</v>
      </c>
      <c r="O154" s="66">
        <v>2237</v>
      </c>
      <c r="P154" s="67" t="s">
        <v>371</v>
      </c>
      <c r="Q154" s="66">
        <v>2332</v>
      </c>
      <c r="R154" s="67" t="s">
        <v>873</v>
      </c>
      <c r="S154" s="68">
        <v>2310.4499999999998</v>
      </c>
      <c r="T154" s="65">
        <v>60380</v>
      </c>
      <c r="U154" s="65">
        <v>4346</v>
      </c>
      <c r="V154" s="65">
        <v>139186996</v>
      </c>
      <c r="W154" s="65">
        <v>9997642</v>
      </c>
      <c r="X154" s="69">
        <v>22</v>
      </c>
    </row>
    <row r="155" spans="1:24">
      <c r="A155" s="60" t="s">
        <v>958</v>
      </c>
      <c r="B155" s="60" t="s">
        <v>531</v>
      </c>
      <c r="C155" s="60" t="s">
        <v>532</v>
      </c>
      <c r="D155" s="60" t="s">
        <v>533</v>
      </c>
      <c r="E155" s="61" t="s">
        <v>46</v>
      </c>
      <c r="F155" s="62" t="s">
        <v>46</v>
      </c>
      <c r="G155" s="63" t="s">
        <v>46</v>
      </c>
      <c r="H155" s="64"/>
      <c r="I155" s="64" t="s">
        <v>47</v>
      </c>
      <c r="J155" s="65">
        <v>1</v>
      </c>
      <c r="K155" s="66">
        <v>2650</v>
      </c>
      <c r="L155" s="67" t="s">
        <v>853</v>
      </c>
      <c r="M155" s="66">
        <v>2908</v>
      </c>
      <c r="N155" s="67" t="s">
        <v>873</v>
      </c>
      <c r="O155" s="66">
        <v>2599</v>
      </c>
      <c r="P155" s="67" t="s">
        <v>857</v>
      </c>
      <c r="Q155" s="66">
        <v>2902</v>
      </c>
      <c r="R155" s="67" t="s">
        <v>873</v>
      </c>
      <c r="S155" s="68">
        <v>2765.09</v>
      </c>
      <c r="T155" s="65">
        <v>510143</v>
      </c>
      <c r="U155" s="65">
        <v>139364</v>
      </c>
      <c r="V155" s="65">
        <v>1375577663</v>
      </c>
      <c r="W155" s="65">
        <v>365622729</v>
      </c>
      <c r="X155" s="69">
        <v>22</v>
      </c>
    </row>
    <row r="156" spans="1:24">
      <c r="A156" s="60" t="s">
        <v>958</v>
      </c>
      <c r="B156" s="60" t="s">
        <v>534</v>
      </c>
      <c r="C156" s="60" t="s">
        <v>535</v>
      </c>
      <c r="D156" s="60" t="s">
        <v>536</v>
      </c>
      <c r="E156" s="61" t="s">
        <v>46</v>
      </c>
      <c r="F156" s="62" t="s">
        <v>46</v>
      </c>
      <c r="G156" s="63" t="s">
        <v>46</v>
      </c>
      <c r="H156" s="64"/>
      <c r="I156" s="64" t="s">
        <v>47</v>
      </c>
      <c r="J156" s="65">
        <v>1</v>
      </c>
      <c r="K156" s="66">
        <v>11335</v>
      </c>
      <c r="L156" s="67" t="s">
        <v>853</v>
      </c>
      <c r="M156" s="66">
        <v>11575</v>
      </c>
      <c r="N156" s="67" t="s">
        <v>860</v>
      </c>
      <c r="O156" s="66">
        <v>11240</v>
      </c>
      <c r="P156" s="67" t="s">
        <v>132</v>
      </c>
      <c r="Q156" s="66">
        <v>11500</v>
      </c>
      <c r="R156" s="67" t="s">
        <v>873</v>
      </c>
      <c r="S156" s="68">
        <v>11392.27</v>
      </c>
      <c r="T156" s="65">
        <v>29893</v>
      </c>
      <c r="U156" s="65">
        <v>10002</v>
      </c>
      <c r="V156" s="65">
        <v>339530015</v>
      </c>
      <c r="W156" s="65">
        <v>113357210</v>
      </c>
      <c r="X156" s="69">
        <v>22</v>
      </c>
    </row>
    <row r="157" spans="1:24">
      <c r="A157" s="60" t="s">
        <v>958</v>
      </c>
      <c r="B157" s="60" t="s">
        <v>541</v>
      </c>
      <c r="C157" s="60" t="s">
        <v>542</v>
      </c>
      <c r="D157" s="60" t="s">
        <v>543</v>
      </c>
      <c r="E157" s="61" t="s">
        <v>46</v>
      </c>
      <c r="F157" s="62" t="s">
        <v>46</v>
      </c>
      <c r="G157" s="63" t="s">
        <v>46</v>
      </c>
      <c r="H157" s="64"/>
      <c r="I157" s="64" t="s">
        <v>47</v>
      </c>
      <c r="J157" s="65">
        <v>1</v>
      </c>
      <c r="K157" s="66">
        <v>1524</v>
      </c>
      <c r="L157" s="67" t="s">
        <v>853</v>
      </c>
      <c r="M157" s="66">
        <v>1782</v>
      </c>
      <c r="N157" s="67" t="s">
        <v>873</v>
      </c>
      <c r="O157" s="66">
        <v>1485</v>
      </c>
      <c r="P157" s="67" t="s">
        <v>857</v>
      </c>
      <c r="Q157" s="66">
        <v>1775</v>
      </c>
      <c r="R157" s="67" t="s">
        <v>873</v>
      </c>
      <c r="S157" s="68">
        <v>1635.5</v>
      </c>
      <c r="T157" s="65">
        <v>20832310</v>
      </c>
      <c r="U157" s="65">
        <v>9739</v>
      </c>
      <c r="V157" s="65">
        <v>33580535573</v>
      </c>
      <c r="W157" s="65">
        <v>17786648</v>
      </c>
      <c r="X157" s="69">
        <v>22</v>
      </c>
    </row>
    <row r="158" spans="1:24">
      <c r="A158" s="60" t="s">
        <v>958</v>
      </c>
      <c r="B158" s="60" t="s">
        <v>544</v>
      </c>
      <c r="C158" s="60" t="s">
        <v>545</v>
      </c>
      <c r="D158" s="60" t="s">
        <v>546</v>
      </c>
      <c r="E158" s="61" t="s">
        <v>46</v>
      </c>
      <c r="F158" s="62" t="s">
        <v>46</v>
      </c>
      <c r="G158" s="63" t="s">
        <v>46</v>
      </c>
      <c r="H158" s="64"/>
      <c r="I158" s="64" t="s">
        <v>47</v>
      </c>
      <c r="J158" s="65">
        <v>1</v>
      </c>
      <c r="K158" s="66">
        <v>19025</v>
      </c>
      <c r="L158" s="67" t="s">
        <v>853</v>
      </c>
      <c r="M158" s="66">
        <v>19700</v>
      </c>
      <c r="N158" s="67" t="s">
        <v>88</v>
      </c>
      <c r="O158" s="66">
        <v>18800</v>
      </c>
      <c r="P158" s="67" t="s">
        <v>858</v>
      </c>
      <c r="Q158" s="66">
        <v>19500</v>
      </c>
      <c r="R158" s="67" t="s">
        <v>873</v>
      </c>
      <c r="S158" s="68">
        <v>19202.73</v>
      </c>
      <c r="T158" s="65">
        <v>1548</v>
      </c>
      <c r="U158" s="65" t="s">
        <v>955</v>
      </c>
      <c r="V158" s="65">
        <v>29654945</v>
      </c>
      <c r="W158" s="65" t="s">
        <v>955</v>
      </c>
      <c r="X158" s="69">
        <v>22</v>
      </c>
    </row>
    <row r="159" spans="1:24">
      <c r="A159" s="60" t="s">
        <v>958</v>
      </c>
      <c r="B159" s="60" t="s">
        <v>547</v>
      </c>
      <c r="C159" s="60" t="s">
        <v>548</v>
      </c>
      <c r="D159" s="60" t="s">
        <v>549</v>
      </c>
      <c r="E159" s="61" t="s">
        <v>46</v>
      </c>
      <c r="F159" s="62" t="s">
        <v>46</v>
      </c>
      <c r="G159" s="63" t="s">
        <v>46</v>
      </c>
      <c r="H159" s="64"/>
      <c r="I159" s="64" t="s">
        <v>47</v>
      </c>
      <c r="J159" s="65">
        <v>10</v>
      </c>
      <c r="K159" s="66">
        <v>2391</v>
      </c>
      <c r="L159" s="67" t="s">
        <v>853</v>
      </c>
      <c r="M159" s="66">
        <v>2479.5</v>
      </c>
      <c r="N159" s="67" t="s">
        <v>50</v>
      </c>
      <c r="O159" s="66">
        <v>2310</v>
      </c>
      <c r="P159" s="67" t="s">
        <v>860</v>
      </c>
      <c r="Q159" s="66">
        <v>2422</v>
      </c>
      <c r="R159" s="67" t="s">
        <v>873</v>
      </c>
      <c r="S159" s="68">
        <v>2381.4299999999998</v>
      </c>
      <c r="T159" s="65">
        <v>19910</v>
      </c>
      <c r="U159" s="65" t="s">
        <v>955</v>
      </c>
      <c r="V159" s="65">
        <v>47736210</v>
      </c>
      <c r="W159" s="65" t="s">
        <v>955</v>
      </c>
      <c r="X159" s="69">
        <v>22</v>
      </c>
    </row>
    <row r="160" spans="1:24">
      <c r="A160" s="60" t="s">
        <v>958</v>
      </c>
      <c r="B160" s="60" t="s">
        <v>550</v>
      </c>
      <c r="C160" s="60" t="s">
        <v>551</v>
      </c>
      <c r="D160" s="60" t="s">
        <v>552</v>
      </c>
      <c r="E160" s="61" t="s">
        <v>46</v>
      </c>
      <c r="F160" s="62" t="s">
        <v>46</v>
      </c>
      <c r="G160" s="63" t="s">
        <v>46</v>
      </c>
      <c r="H160" s="64"/>
      <c r="I160" s="64" t="s">
        <v>47</v>
      </c>
      <c r="J160" s="65">
        <v>1</v>
      </c>
      <c r="K160" s="66">
        <v>10070</v>
      </c>
      <c r="L160" s="67" t="s">
        <v>853</v>
      </c>
      <c r="M160" s="66">
        <v>10650</v>
      </c>
      <c r="N160" s="67" t="s">
        <v>856</v>
      </c>
      <c r="O160" s="66">
        <v>9631</v>
      </c>
      <c r="P160" s="67" t="s">
        <v>69</v>
      </c>
      <c r="Q160" s="66">
        <v>10295</v>
      </c>
      <c r="R160" s="67" t="s">
        <v>873</v>
      </c>
      <c r="S160" s="68">
        <v>10087.36</v>
      </c>
      <c r="T160" s="65">
        <v>4283</v>
      </c>
      <c r="U160" s="65" t="s">
        <v>955</v>
      </c>
      <c r="V160" s="65">
        <v>43315948</v>
      </c>
      <c r="W160" s="65" t="s">
        <v>955</v>
      </c>
      <c r="X160" s="69">
        <v>22</v>
      </c>
    </row>
    <row r="161" spans="1:24">
      <c r="A161" s="60" t="s">
        <v>958</v>
      </c>
      <c r="B161" s="60" t="s">
        <v>553</v>
      </c>
      <c r="C161" s="60" t="s">
        <v>554</v>
      </c>
      <c r="D161" s="60" t="s">
        <v>555</v>
      </c>
      <c r="E161" s="61" t="s">
        <v>46</v>
      </c>
      <c r="F161" s="62" t="s">
        <v>46</v>
      </c>
      <c r="G161" s="63" t="s">
        <v>46</v>
      </c>
      <c r="H161" s="64"/>
      <c r="I161" s="64" t="s">
        <v>47</v>
      </c>
      <c r="J161" s="65">
        <v>1</v>
      </c>
      <c r="K161" s="66">
        <v>18545</v>
      </c>
      <c r="L161" s="67" t="s">
        <v>853</v>
      </c>
      <c r="M161" s="66">
        <v>21265</v>
      </c>
      <c r="N161" s="67" t="s">
        <v>50</v>
      </c>
      <c r="O161" s="66">
        <v>17115</v>
      </c>
      <c r="P161" s="67" t="s">
        <v>69</v>
      </c>
      <c r="Q161" s="66">
        <v>21005</v>
      </c>
      <c r="R161" s="67" t="s">
        <v>873</v>
      </c>
      <c r="S161" s="68">
        <v>19246.36</v>
      </c>
      <c r="T161" s="65">
        <v>2715</v>
      </c>
      <c r="U161" s="65" t="s">
        <v>955</v>
      </c>
      <c r="V161" s="65">
        <v>51950585</v>
      </c>
      <c r="W161" s="65" t="s">
        <v>955</v>
      </c>
      <c r="X161" s="69">
        <v>22</v>
      </c>
    </row>
    <row r="162" spans="1:24">
      <c r="A162" s="60" t="s">
        <v>958</v>
      </c>
      <c r="B162" s="60" t="s">
        <v>556</v>
      </c>
      <c r="C162" s="60" t="s">
        <v>557</v>
      </c>
      <c r="D162" s="60" t="s">
        <v>558</v>
      </c>
      <c r="E162" s="61" t="s">
        <v>46</v>
      </c>
      <c r="F162" s="62" t="s">
        <v>46</v>
      </c>
      <c r="G162" s="63" t="s">
        <v>46</v>
      </c>
      <c r="H162" s="64"/>
      <c r="I162" s="64" t="s">
        <v>47</v>
      </c>
      <c r="J162" s="65">
        <v>1</v>
      </c>
      <c r="K162" s="66">
        <v>15605</v>
      </c>
      <c r="L162" s="67" t="s">
        <v>853</v>
      </c>
      <c r="M162" s="66">
        <v>15780</v>
      </c>
      <c r="N162" s="67" t="s">
        <v>50</v>
      </c>
      <c r="O162" s="66">
        <v>14560</v>
      </c>
      <c r="P162" s="67" t="s">
        <v>855</v>
      </c>
      <c r="Q162" s="66">
        <v>15780</v>
      </c>
      <c r="R162" s="67" t="s">
        <v>50</v>
      </c>
      <c r="S162" s="68">
        <v>15271.67</v>
      </c>
      <c r="T162" s="65">
        <v>135</v>
      </c>
      <c r="U162" s="65" t="s">
        <v>955</v>
      </c>
      <c r="V162" s="65">
        <v>2071240</v>
      </c>
      <c r="W162" s="65" t="s">
        <v>955</v>
      </c>
      <c r="X162" s="69">
        <v>6</v>
      </c>
    </row>
    <row r="163" spans="1:24">
      <c r="A163" s="60" t="s">
        <v>958</v>
      </c>
      <c r="B163" s="60" t="s">
        <v>559</v>
      </c>
      <c r="C163" s="60" t="s">
        <v>560</v>
      </c>
      <c r="D163" s="60" t="s">
        <v>561</v>
      </c>
      <c r="E163" s="61" t="s">
        <v>46</v>
      </c>
      <c r="F163" s="62" t="s">
        <v>46</v>
      </c>
      <c r="G163" s="63" t="s">
        <v>46</v>
      </c>
      <c r="H163" s="64"/>
      <c r="I163" s="64" t="s">
        <v>47</v>
      </c>
      <c r="J163" s="65">
        <v>10</v>
      </c>
      <c r="K163" s="66">
        <v>51800</v>
      </c>
      <c r="L163" s="67" t="s">
        <v>853</v>
      </c>
      <c r="M163" s="66">
        <v>52300</v>
      </c>
      <c r="N163" s="67" t="s">
        <v>88</v>
      </c>
      <c r="O163" s="66">
        <v>51700</v>
      </c>
      <c r="P163" s="67" t="s">
        <v>132</v>
      </c>
      <c r="Q163" s="66">
        <v>52120</v>
      </c>
      <c r="R163" s="67" t="s">
        <v>873</v>
      </c>
      <c r="S163" s="68">
        <v>51943.18</v>
      </c>
      <c r="T163" s="65">
        <v>8570</v>
      </c>
      <c r="U163" s="65">
        <v>110</v>
      </c>
      <c r="V163" s="65">
        <v>444997700</v>
      </c>
      <c r="W163" s="65">
        <v>5711300</v>
      </c>
      <c r="X163" s="69">
        <v>22</v>
      </c>
    </row>
    <row r="164" spans="1:24">
      <c r="A164" s="60" t="s">
        <v>958</v>
      </c>
      <c r="B164" s="60" t="s">
        <v>562</v>
      </c>
      <c r="C164" s="60" t="s">
        <v>563</v>
      </c>
      <c r="D164" s="60" t="s">
        <v>564</v>
      </c>
      <c r="E164" s="61" t="s">
        <v>46</v>
      </c>
      <c r="F164" s="62" t="s">
        <v>46</v>
      </c>
      <c r="G164" s="63" t="s">
        <v>46</v>
      </c>
      <c r="H164" s="64"/>
      <c r="I164" s="64" t="s">
        <v>47</v>
      </c>
      <c r="J164" s="65">
        <v>100</v>
      </c>
      <c r="K164" s="66">
        <v>229.4</v>
      </c>
      <c r="L164" s="67" t="s">
        <v>853</v>
      </c>
      <c r="M164" s="66">
        <v>236.9</v>
      </c>
      <c r="N164" s="67" t="s">
        <v>873</v>
      </c>
      <c r="O164" s="66">
        <v>219.1</v>
      </c>
      <c r="P164" s="67" t="s">
        <v>371</v>
      </c>
      <c r="Q164" s="66">
        <v>236.9</v>
      </c>
      <c r="R164" s="67" t="s">
        <v>873</v>
      </c>
      <c r="S164" s="68">
        <v>230.65</v>
      </c>
      <c r="T164" s="65">
        <v>20199100</v>
      </c>
      <c r="U164" s="65">
        <v>900000</v>
      </c>
      <c r="V164" s="65">
        <v>4641695360</v>
      </c>
      <c r="W164" s="65">
        <v>211365000</v>
      </c>
      <c r="X164" s="69">
        <v>22</v>
      </c>
    </row>
    <row r="165" spans="1:24">
      <c r="A165" s="60" t="s">
        <v>958</v>
      </c>
      <c r="B165" s="60" t="s">
        <v>565</v>
      </c>
      <c r="C165" s="60" t="s">
        <v>566</v>
      </c>
      <c r="D165" s="60" t="s">
        <v>567</v>
      </c>
      <c r="E165" s="61" t="s">
        <v>46</v>
      </c>
      <c r="F165" s="62" t="s">
        <v>46</v>
      </c>
      <c r="G165" s="63" t="s">
        <v>46</v>
      </c>
      <c r="H165" s="64"/>
      <c r="I165" s="64" t="s">
        <v>47</v>
      </c>
      <c r="J165" s="65">
        <v>10</v>
      </c>
      <c r="K165" s="66">
        <v>34500</v>
      </c>
      <c r="L165" s="67" t="s">
        <v>853</v>
      </c>
      <c r="M165" s="66">
        <v>36310</v>
      </c>
      <c r="N165" s="67" t="s">
        <v>873</v>
      </c>
      <c r="O165" s="66">
        <v>33700</v>
      </c>
      <c r="P165" s="67" t="s">
        <v>858</v>
      </c>
      <c r="Q165" s="66">
        <v>36200</v>
      </c>
      <c r="R165" s="67" t="s">
        <v>873</v>
      </c>
      <c r="S165" s="68">
        <v>35076.36</v>
      </c>
      <c r="T165" s="65">
        <v>21040</v>
      </c>
      <c r="U165" s="65">
        <v>20</v>
      </c>
      <c r="V165" s="65">
        <v>730185800</v>
      </c>
      <c r="W165" s="65">
        <v>705800</v>
      </c>
      <c r="X165" s="69">
        <v>22</v>
      </c>
    </row>
    <row r="166" spans="1:24">
      <c r="A166" s="60" t="s">
        <v>958</v>
      </c>
      <c r="B166" s="60" t="s">
        <v>568</v>
      </c>
      <c r="C166" s="60" t="s">
        <v>569</v>
      </c>
      <c r="D166" s="60" t="s">
        <v>570</v>
      </c>
      <c r="E166" s="61" t="s">
        <v>46</v>
      </c>
      <c r="F166" s="62" t="s">
        <v>46</v>
      </c>
      <c r="G166" s="63" t="s">
        <v>46</v>
      </c>
      <c r="H166" s="64"/>
      <c r="I166" s="64" t="s">
        <v>47</v>
      </c>
      <c r="J166" s="65">
        <v>10</v>
      </c>
      <c r="K166" s="66">
        <v>3755</v>
      </c>
      <c r="L166" s="67" t="s">
        <v>853</v>
      </c>
      <c r="M166" s="66">
        <v>3980</v>
      </c>
      <c r="N166" s="67" t="s">
        <v>873</v>
      </c>
      <c r="O166" s="66">
        <v>3695</v>
      </c>
      <c r="P166" s="67" t="s">
        <v>857</v>
      </c>
      <c r="Q166" s="66">
        <v>3979</v>
      </c>
      <c r="R166" s="67" t="s">
        <v>873</v>
      </c>
      <c r="S166" s="68">
        <v>3839</v>
      </c>
      <c r="T166" s="65">
        <v>142750</v>
      </c>
      <c r="U166" s="65">
        <v>10</v>
      </c>
      <c r="V166" s="65">
        <v>545733450</v>
      </c>
      <c r="W166" s="65">
        <v>39760</v>
      </c>
      <c r="X166" s="69">
        <v>22</v>
      </c>
    </row>
    <row r="167" spans="1:24">
      <c r="A167" s="60" t="s">
        <v>958</v>
      </c>
      <c r="B167" s="60" t="s">
        <v>571</v>
      </c>
      <c r="C167" s="60" t="s">
        <v>572</v>
      </c>
      <c r="D167" s="60" t="s">
        <v>573</v>
      </c>
      <c r="E167" s="61" t="s">
        <v>46</v>
      </c>
      <c r="F167" s="62" t="s">
        <v>46</v>
      </c>
      <c r="G167" s="63" t="s">
        <v>46</v>
      </c>
      <c r="H167" s="64"/>
      <c r="I167" s="64" t="s">
        <v>47</v>
      </c>
      <c r="J167" s="65">
        <v>10</v>
      </c>
      <c r="K167" s="66">
        <v>1750.5</v>
      </c>
      <c r="L167" s="67" t="s">
        <v>853</v>
      </c>
      <c r="M167" s="66">
        <v>1813.5</v>
      </c>
      <c r="N167" s="67" t="s">
        <v>859</v>
      </c>
      <c r="O167" s="66">
        <v>1716</v>
      </c>
      <c r="P167" s="67" t="s">
        <v>268</v>
      </c>
      <c r="Q167" s="66">
        <v>1777</v>
      </c>
      <c r="R167" s="67" t="s">
        <v>873</v>
      </c>
      <c r="S167" s="68">
        <v>1770.34</v>
      </c>
      <c r="T167" s="65">
        <v>301090</v>
      </c>
      <c r="U167" s="65">
        <v>20</v>
      </c>
      <c r="V167" s="65">
        <v>536916925</v>
      </c>
      <c r="W167" s="65">
        <v>35315</v>
      </c>
      <c r="X167" s="69">
        <v>22</v>
      </c>
    </row>
    <row r="168" spans="1:24">
      <c r="A168" s="60" t="s">
        <v>958</v>
      </c>
      <c r="B168" s="60" t="s">
        <v>574</v>
      </c>
      <c r="C168" s="60" t="s">
        <v>575</v>
      </c>
      <c r="D168" s="60" t="s">
        <v>576</v>
      </c>
      <c r="E168" s="61" t="s">
        <v>46</v>
      </c>
      <c r="F168" s="62" t="s">
        <v>46</v>
      </c>
      <c r="G168" s="63" t="s">
        <v>46</v>
      </c>
      <c r="H168" s="64"/>
      <c r="I168" s="64" t="s">
        <v>47</v>
      </c>
      <c r="J168" s="65">
        <v>100</v>
      </c>
      <c r="K168" s="66">
        <v>181.2</v>
      </c>
      <c r="L168" s="67" t="s">
        <v>853</v>
      </c>
      <c r="M168" s="66">
        <v>190.9</v>
      </c>
      <c r="N168" s="67" t="s">
        <v>856</v>
      </c>
      <c r="O168" s="66">
        <v>181.1</v>
      </c>
      <c r="P168" s="67" t="s">
        <v>854</v>
      </c>
      <c r="Q168" s="66">
        <v>187.9</v>
      </c>
      <c r="R168" s="67" t="s">
        <v>873</v>
      </c>
      <c r="S168" s="68">
        <v>185.44</v>
      </c>
      <c r="T168" s="65">
        <v>184400</v>
      </c>
      <c r="U168" s="65" t="s">
        <v>955</v>
      </c>
      <c r="V168" s="65">
        <v>34194990</v>
      </c>
      <c r="W168" s="65" t="s">
        <v>955</v>
      </c>
      <c r="X168" s="69">
        <v>22</v>
      </c>
    </row>
    <row r="169" spans="1:24">
      <c r="A169" s="60" t="s">
        <v>958</v>
      </c>
      <c r="B169" s="60" t="s">
        <v>577</v>
      </c>
      <c r="C169" s="60" t="s">
        <v>578</v>
      </c>
      <c r="D169" s="60" t="s">
        <v>579</v>
      </c>
      <c r="E169" s="61" t="s">
        <v>46</v>
      </c>
      <c r="F169" s="62" t="s">
        <v>46</v>
      </c>
      <c r="G169" s="63" t="s">
        <v>46</v>
      </c>
      <c r="H169" s="64"/>
      <c r="I169" s="64" t="s">
        <v>47</v>
      </c>
      <c r="J169" s="65">
        <v>10</v>
      </c>
      <c r="K169" s="66">
        <v>1137</v>
      </c>
      <c r="L169" s="67" t="s">
        <v>853</v>
      </c>
      <c r="M169" s="66">
        <v>1159.5</v>
      </c>
      <c r="N169" s="67" t="s">
        <v>859</v>
      </c>
      <c r="O169" s="66">
        <v>1093</v>
      </c>
      <c r="P169" s="67" t="s">
        <v>371</v>
      </c>
      <c r="Q169" s="66">
        <v>1142</v>
      </c>
      <c r="R169" s="67" t="s">
        <v>73</v>
      </c>
      <c r="S169" s="68">
        <v>1135</v>
      </c>
      <c r="T169" s="65">
        <v>1330</v>
      </c>
      <c r="U169" s="65" t="s">
        <v>955</v>
      </c>
      <c r="V169" s="65">
        <v>1508350</v>
      </c>
      <c r="W169" s="65" t="s">
        <v>955</v>
      </c>
      <c r="X169" s="69">
        <v>16</v>
      </c>
    </row>
    <row r="170" spans="1:24">
      <c r="A170" s="60" t="s">
        <v>958</v>
      </c>
      <c r="B170" s="60" t="s">
        <v>580</v>
      </c>
      <c r="C170" s="60" t="s">
        <v>581</v>
      </c>
      <c r="D170" s="60" t="s">
        <v>582</v>
      </c>
      <c r="E170" s="61" t="s">
        <v>46</v>
      </c>
      <c r="F170" s="62" t="s">
        <v>46</v>
      </c>
      <c r="G170" s="63" t="s">
        <v>46</v>
      </c>
      <c r="H170" s="64"/>
      <c r="I170" s="64" t="s">
        <v>47</v>
      </c>
      <c r="J170" s="65">
        <v>10</v>
      </c>
      <c r="K170" s="66">
        <v>357.1</v>
      </c>
      <c r="L170" s="67" t="s">
        <v>853</v>
      </c>
      <c r="M170" s="66">
        <v>394</v>
      </c>
      <c r="N170" s="67" t="s">
        <v>873</v>
      </c>
      <c r="O170" s="66">
        <v>344.6</v>
      </c>
      <c r="P170" s="67" t="s">
        <v>77</v>
      </c>
      <c r="Q170" s="66">
        <v>386.2</v>
      </c>
      <c r="R170" s="67" t="s">
        <v>873</v>
      </c>
      <c r="S170" s="68">
        <v>365.09</v>
      </c>
      <c r="T170" s="65">
        <v>31550</v>
      </c>
      <c r="U170" s="65" t="s">
        <v>955</v>
      </c>
      <c r="V170" s="65">
        <v>11563071</v>
      </c>
      <c r="W170" s="65" t="s">
        <v>955</v>
      </c>
      <c r="X170" s="69">
        <v>22</v>
      </c>
    </row>
    <row r="171" spans="1:24">
      <c r="A171" s="60" t="s">
        <v>958</v>
      </c>
      <c r="B171" s="60" t="s">
        <v>583</v>
      </c>
      <c r="C171" s="60" t="s">
        <v>584</v>
      </c>
      <c r="D171" s="60" t="s">
        <v>585</v>
      </c>
      <c r="E171" s="61" t="s">
        <v>46</v>
      </c>
      <c r="F171" s="62" t="s">
        <v>46</v>
      </c>
      <c r="G171" s="63" t="s">
        <v>46</v>
      </c>
      <c r="H171" s="64"/>
      <c r="I171" s="64" t="s">
        <v>47</v>
      </c>
      <c r="J171" s="65">
        <v>10</v>
      </c>
      <c r="K171" s="66">
        <v>1820</v>
      </c>
      <c r="L171" s="67" t="s">
        <v>853</v>
      </c>
      <c r="M171" s="66">
        <v>1945</v>
      </c>
      <c r="N171" s="67" t="s">
        <v>856</v>
      </c>
      <c r="O171" s="66">
        <v>1764</v>
      </c>
      <c r="P171" s="67" t="s">
        <v>92</v>
      </c>
      <c r="Q171" s="66">
        <v>1930</v>
      </c>
      <c r="R171" s="67" t="s">
        <v>873</v>
      </c>
      <c r="S171" s="68">
        <v>1846.32</v>
      </c>
      <c r="T171" s="65">
        <v>4800</v>
      </c>
      <c r="U171" s="65" t="s">
        <v>955</v>
      </c>
      <c r="V171" s="65">
        <v>8808885</v>
      </c>
      <c r="W171" s="65" t="s">
        <v>955</v>
      </c>
      <c r="X171" s="69">
        <v>22</v>
      </c>
    </row>
    <row r="172" spans="1:24">
      <c r="A172" s="60" t="s">
        <v>958</v>
      </c>
      <c r="B172" s="60" t="s">
        <v>586</v>
      </c>
      <c r="C172" s="60" t="s">
        <v>587</v>
      </c>
      <c r="D172" s="60" t="s">
        <v>588</v>
      </c>
      <c r="E172" s="61" t="s">
        <v>46</v>
      </c>
      <c r="F172" s="62" t="s">
        <v>46</v>
      </c>
      <c r="G172" s="63" t="s">
        <v>46</v>
      </c>
      <c r="H172" s="64"/>
      <c r="I172" s="64" t="s">
        <v>47</v>
      </c>
      <c r="J172" s="65">
        <v>10</v>
      </c>
      <c r="K172" s="66">
        <v>643.4</v>
      </c>
      <c r="L172" s="67" t="s">
        <v>853</v>
      </c>
      <c r="M172" s="66">
        <v>700</v>
      </c>
      <c r="N172" s="67" t="s">
        <v>873</v>
      </c>
      <c r="O172" s="66">
        <v>640.79999999999995</v>
      </c>
      <c r="P172" s="67" t="s">
        <v>857</v>
      </c>
      <c r="Q172" s="66">
        <v>694</v>
      </c>
      <c r="R172" s="67" t="s">
        <v>873</v>
      </c>
      <c r="S172" s="68">
        <v>667.04</v>
      </c>
      <c r="T172" s="65">
        <v>52770</v>
      </c>
      <c r="U172" s="65" t="s">
        <v>955</v>
      </c>
      <c r="V172" s="65">
        <v>35238895</v>
      </c>
      <c r="W172" s="65" t="s">
        <v>955</v>
      </c>
      <c r="X172" s="69">
        <v>22</v>
      </c>
    </row>
    <row r="173" spans="1:24">
      <c r="A173" s="60" t="s">
        <v>958</v>
      </c>
      <c r="B173" s="60" t="s">
        <v>589</v>
      </c>
      <c r="C173" s="60" t="s">
        <v>590</v>
      </c>
      <c r="D173" s="60" t="s">
        <v>591</v>
      </c>
      <c r="E173" s="61" t="s">
        <v>46</v>
      </c>
      <c r="F173" s="62" t="s">
        <v>46</v>
      </c>
      <c r="G173" s="63" t="s">
        <v>46</v>
      </c>
      <c r="H173" s="64"/>
      <c r="I173" s="64" t="s">
        <v>47</v>
      </c>
      <c r="J173" s="65">
        <v>10</v>
      </c>
      <c r="K173" s="66">
        <v>465</v>
      </c>
      <c r="L173" s="67" t="s">
        <v>853</v>
      </c>
      <c r="M173" s="66">
        <v>510</v>
      </c>
      <c r="N173" s="67" t="s">
        <v>873</v>
      </c>
      <c r="O173" s="66">
        <v>455.7</v>
      </c>
      <c r="P173" s="67" t="s">
        <v>853</v>
      </c>
      <c r="Q173" s="66">
        <v>510</v>
      </c>
      <c r="R173" s="67" t="s">
        <v>873</v>
      </c>
      <c r="S173" s="68">
        <v>477.43</v>
      </c>
      <c r="T173" s="65">
        <v>130450</v>
      </c>
      <c r="U173" s="65" t="s">
        <v>955</v>
      </c>
      <c r="V173" s="65">
        <v>62850839</v>
      </c>
      <c r="W173" s="65" t="s">
        <v>955</v>
      </c>
      <c r="X173" s="69">
        <v>22</v>
      </c>
    </row>
    <row r="174" spans="1:24">
      <c r="A174" s="60" t="s">
        <v>958</v>
      </c>
      <c r="B174" s="60" t="s">
        <v>592</v>
      </c>
      <c r="C174" s="60" t="s">
        <v>593</v>
      </c>
      <c r="D174" s="60" t="s">
        <v>594</v>
      </c>
      <c r="E174" s="61" t="s">
        <v>46</v>
      </c>
      <c r="F174" s="62" t="s">
        <v>46</v>
      </c>
      <c r="G174" s="63" t="s">
        <v>46</v>
      </c>
      <c r="H174" s="64"/>
      <c r="I174" s="64" t="s">
        <v>47</v>
      </c>
      <c r="J174" s="65">
        <v>100</v>
      </c>
      <c r="K174" s="66">
        <v>2.1</v>
      </c>
      <c r="L174" s="67" t="s">
        <v>853</v>
      </c>
      <c r="M174" s="66">
        <v>2.2000000000000002</v>
      </c>
      <c r="N174" s="67" t="s">
        <v>853</v>
      </c>
      <c r="O174" s="66">
        <v>1.7</v>
      </c>
      <c r="P174" s="67" t="s">
        <v>77</v>
      </c>
      <c r="Q174" s="66">
        <v>1.8</v>
      </c>
      <c r="R174" s="67" t="s">
        <v>873</v>
      </c>
      <c r="S174" s="68">
        <v>1.79</v>
      </c>
      <c r="T174" s="65">
        <v>606011000</v>
      </c>
      <c r="U174" s="65">
        <v>263700</v>
      </c>
      <c r="V174" s="65">
        <v>1105127230</v>
      </c>
      <c r="W174" s="65">
        <v>471280</v>
      </c>
      <c r="X174" s="69">
        <v>22</v>
      </c>
    </row>
    <row r="175" spans="1:24">
      <c r="A175" s="60" t="s">
        <v>958</v>
      </c>
      <c r="B175" s="60" t="s">
        <v>595</v>
      </c>
      <c r="C175" s="60" t="s">
        <v>596</v>
      </c>
      <c r="D175" s="60" t="s">
        <v>597</v>
      </c>
      <c r="E175" s="61" t="s">
        <v>46</v>
      </c>
      <c r="F175" s="62" t="s">
        <v>46</v>
      </c>
      <c r="G175" s="63" t="s">
        <v>46</v>
      </c>
      <c r="H175" s="64"/>
      <c r="I175" s="64" t="s">
        <v>47</v>
      </c>
      <c r="J175" s="65">
        <v>10</v>
      </c>
      <c r="K175" s="66">
        <v>719.6</v>
      </c>
      <c r="L175" s="67" t="s">
        <v>853</v>
      </c>
      <c r="M175" s="66">
        <v>839.8</v>
      </c>
      <c r="N175" s="67" t="s">
        <v>873</v>
      </c>
      <c r="O175" s="66">
        <v>702.6</v>
      </c>
      <c r="P175" s="67" t="s">
        <v>857</v>
      </c>
      <c r="Q175" s="66">
        <v>837.5</v>
      </c>
      <c r="R175" s="67" t="s">
        <v>873</v>
      </c>
      <c r="S175" s="68">
        <v>772.38</v>
      </c>
      <c r="T175" s="65">
        <v>379330</v>
      </c>
      <c r="U175" s="65" t="s">
        <v>955</v>
      </c>
      <c r="V175" s="65">
        <v>293481915</v>
      </c>
      <c r="W175" s="65" t="s">
        <v>955</v>
      </c>
      <c r="X175" s="69">
        <v>22</v>
      </c>
    </row>
    <row r="176" spans="1:24">
      <c r="A176" s="60" t="s">
        <v>958</v>
      </c>
      <c r="B176" s="60" t="s">
        <v>598</v>
      </c>
      <c r="C176" s="60" t="s">
        <v>599</v>
      </c>
      <c r="D176" s="60" t="s">
        <v>600</v>
      </c>
      <c r="E176" s="61" t="s">
        <v>46</v>
      </c>
      <c r="F176" s="62" t="s">
        <v>46</v>
      </c>
      <c r="G176" s="63" t="s">
        <v>46</v>
      </c>
      <c r="H176" s="64"/>
      <c r="I176" s="64" t="s">
        <v>47</v>
      </c>
      <c r="J176" s="65">
        <v>1</v>
      </c>
      <c r="K176" s="66">
        <v>3195</v>
      </c>
      <c r="L176" s="67" t="s">
        <v>853</v>
      </c>
      <c r="M176" s="66">
        <v>3750</v>
      </c>
      <c r="N176" s="67" t="s">
        <v>856</v>
      </c>
      <c r="O176" s="66">
        <v>3185</v>
      </c>
      <c r="P176" s="67" t="s">
        <v>853</v>
      </c>
      <c r="Q176" s="66">
        <v>3710</v>
      </c>
      <c r="R176" s="67" t="s">
        <v>873</v>
      </c>
      <c r="S176" s="68">
        <v>3456.67</v>
      </c>
      <c r="T176" s="65">
        <v>1621</v>
      </c>
      <c r="U176" s="65" t="s">
        <v>955</v>
      </c>
      <c r="V176" s="65">
        <v>5585900</v>
      </c>
      <c r="W176" s="65" t="s">
        <v>955</v>
      </c>
      <c r="X176" s="69">
        <v>21</v>
      </c>
    </row>
    <row r="177" spans="1:24">
      <c r="A177" s="60" t="s">
        <v>958</v>
      </c>
      <c r="B177" s="60" t="s">
        <v>601</v>
      </c>
      <c r="C177" s="60" t="s">
        <v>602</v>
      </c>
      <c r="D177" s="60" t="s">
        <v>603</v>
      </c>
      <c r="E177" s="61" t="s">
        <v>46</v>
      </c>
      <c r="F177" s="62" t="s">
        <v>46</v>
      </c>
      <c r="G177" s="63" t="s">
        <v>46</v>
      </c>
      <c r="H177" s="64"/>
      <c r="I177" s="64" t="s">
        <v>47</v>
      </c>
      <c r="J177" s="65">
        <v>100</v>
      </c>
      <c r="K177" s="66">
        <v>413.8</v>
      </c>
      <c r="L177" s="67" t="s">
        <v>853</v>
      </c>
      <c r="M177" s="66">
        <v>455.8</v>
      </c>
      <c r="N177" s="67" t="s">
        <v>856</v>
      </c>
      <c r="O177" s="66">
        <v>408.8</v>
      </c>
      <c r="P177" s="67" t="s">
        <v>858</v>
      </c>
      <c r="Q177" s="66">
        <v>452.2</v>
      </c>
      <c r="R177" s="67" t="s">
        <v>873</v>
      </c>
      <c r="S177" s="68">
        <v>428.1</v>
      </c>
      <c r="T177" s="65">
        <v>110700</v>
      </c>
      <c r="U177" s="65" t="s">
        <v>955</v>
      </c>
      <c r="V177" s="65">
        <v>48100350</v>
      </c>
      <c r="W177" s="65" t="s">
        <v>955</v>
      </c>
      <c r="X177" s="69">
        <v>22</v>
      </c>
    </row>
    <row r="178" spans="1:24">
      <c r="A178" s="60" t="s">
        <v>958</v>
      </c>
      <c r="B178" s="60" t="s">
        <v>604</v>
      </c>
      <c r="C178" s="60" t="s">
        <v>605</v>
      </c>
      <c r="D178" s="60" t="s">
        <v>606</v>
      </c>
      <c r="E178" s="61" t="s">
        <v>46</v>
      </c>
      <c r="F178" s="62" t="s">
        <v>46</v>
      </c>
      <c r="G178" s="63" t="s">
        <v>46</v>
      </c>
      <c r="H178" s="64"/>
      <c r="I178" s="64" t="s">
        <v>47</v>
      </c>
      <c r="J178" s="65">
        <v>10</v>
      </c>
      <c r="K178" s="66">
        <v>4350</v>
      </c>
      <c r="L178" s="67" t="s">
        <v>853</v>
      </c>
      <c r="M178" s="66">
        <v>4524</v>
      </c>
      <c r="N178" s="67" t="s">
        <v>873</v>
      </c>
      <c r="O178" s="66">
        <v>4251</v>
      </c>
      <c r="P178" s="67" t="s">
        <v>857</v>
      </c>
      <c r="Q178" s="66">
        <v>4463</v>
      </c>
      <c r="R178" s="67" t="s">
        <v>873</v>
      </c>
      <c r="S178" s="68">
        <v>4367.3599999999997</v>
      </c>
      <c r="T178" s="65">
        <v>13210</v>
      </c>
      <c r="U178" s="65" t="s">
        <v>955</v>
      </c>
      <c r="V178" s="65">
        <v>57587350</v>
      </c>
      <c r="W178" s="65" t="s">
        <v>955</v>
      </c>
      <c r="X178" s="69">
        <v>22</v>
      </c>
    </row>
    <row r="179" spans="1:24">
      <c r="A179" s="60" t="s">
        <v>958</v>
      </c>
      <c r="B179" s="60" t="s">
        <v>607</v>
      </c>
      <c r="C179" s="60" t="s">
        <v>608</v>
      </c>
      <c r="D179" s="60" t="s">
        <v>609</v>
      </c>
      <c r="E179" s="61" t="s">
        <v>46</v>
      </c>
      <c r="F179" s="62" t="s">
        <v>46</v>
      </c>
      <c r="G179" s="63" t="s">
        <v>46</v>
      </c>
      <c r="H179" s="64"/>
      <c r="I179" s="64" t="s">
        <v>47</v>
      </c>
      <c r="J179" s="65">
        <v>10</v>
      </c>
      <c r="K179" s="66">
        <v>2108.5</v>
      </c>
      <c r="L179" s="67" t="s">
        <v>853</v>
      </c>
      <c r="M179" s="66">
        <v>2190</v>
      </c>
      <c r="N179" s="67" t="s">
        <v>873</v>
      </c>
      <c r="O179" s="66">
        <v>2032</v>
      </c>
      <c r="P179" s="67" t="s">
        <v>854</v>
      </c>
      <c r="Q179" s="66">
        <v>2187</v>
      </c>
      <c r="R179" s="67" t="s">
        <v>873</v>
      </c>
      <c r="S179" s="68">
        <v>2110.0500000000002</v>
      </c>
      <c r="T179" s="65">
        <v>23860</v>
      </c>
      <c r="U179" s="65" t="s">
        <v>955</v>
      </c>
      <c r="V179" s="65">
        <v>50523165</v>
      </c>
      <c r="W179" s="65" t="s">
        <v>955</v>
      </c>
      <c r="X179" s="69">
        <v>22</v>
      </c>
    </row>
    <row r="180" spans="1:24">
      <c r="A180" s="60" t="s">
        <v>958</v>
      </c>
      <c r="B180" s="60" t="s">
        <v>610</v>
      </c>
      <c r="C180" s="60" t="s">
        <v>611</v>
      </c>
      <c r="D180" s="60" t="s">
        <v>612</v>
      </c>
      <c r="E180" s="61" t="s">
        <v>46</v>
      </c>
      <c r="F180" s="62" t="s">
        <v>46</v>
      </c>
      <c r="G180" s="63" t="s">
        <v>46</v>
      </c>
      <c r="H180" s="64"/>
      <c r="I180" s="64" t="s">
        <v>47</v>
      </c>
      <c r="J180" s="65">
        <v>100</v>
      </c>
      <c r="K180" s="66">
        <v>95.8</v>
      </c>
      <c r="L180" s="67" t="s">
        <v>853</v>
      </c>
      <c r="M180" s="66">
        <v>100</v>
      </c>
      <c r="N180" s="67" t="s">
        <v>856</v>
      </c>
      <c r="O180" s="66">
        <v>91.2</v>
      </c>
      <c r="P180" s="67" t="s">
        <v>854</v>
      </c>
      <c r="Q180" s="66">
        <v>96</v>
      </c>
      <c r="R180" s="67" t="s">
        <v>873</v>
      </c>
      <c r="S180" s="68">
        <v>95.65</v>
      </c>
      <c r="T180" s="65">
        <v>1966800</v>
      </c>
      <c r="U180" s="65" t="s">
        <v>955</v>
      </c>
      <c r="V180" s="65">
        <v>187311280</v>
      </c>
      <c r="W180" s="65" t="s">
        <v>955</v>
      </c>
      <c r="X180" s="69">
        <v>22</v>
      </c>
    </row>
    <row r="181" spans="1:24">
      <c r="A181" s="60" t="s">
        <v>958</v>
      </c>
      <c r="B181" s="60" t="s">
        <v>614</v>
      </c>
      <c r="C181" s="60" t="s">
        <v>615</v>
      </c>
      <c r="D181" s="60" t="s">
        <v>616</v>
      </c>
      <c r="E181" s="61" t="s">
        <v>46</v>
      </c>
      <c r="F181" s="62" t="s">
        <v>46</v>
      </c>
      <c r="G181" s="63" t="s">
        <v>46</v>
      </c>
      <c r="H181" s="64"/>
      <c r="I181" s="64" t="s">
        <v>47</v>
      </c>
      <c r="J181" s="65">
        <v>100</v>
      </c>
      <c r="K181" s="66">
        <v>122.5</v>
      </c>
      <c r="L181" s="67" t="s">
        <v>853</v>
      </c>
      <c r="M181" s="66">
        <v>133.19999999999999</v>
      </c>
      <c r="N181" s="67" t="s">
        <v>88</v>
      </c>
      <c r="O181" s="66">
        <v>120.2</v>
      </c>
      <c r="P181" s="67" t="s">
        <v>853</v>
      </c>
      <c r="Q181" s="66">
        <v>130.69999999999999</v>
      </c>
      <c r="R181" s="67" t="s">
        <v>873</v>
      </c>
      <c r="S181" s="68">
        <v>126.24</v>
      </c>
      <c r="T181" s="65">
        <v>1086900</v>
      </c>
      <c r="U181" s="65" t="s">
        <v>955</v>
      </c>
      <c r="V181" s="65">
        <v>137155040</v>
      </c>
      <c r="W181" s="65" t="s">
        <v>955</v>
      </c>
      <c r="X181" s="69">
        <v>22</v>
      </c>
    </row>
    <row r="182" spans="1:24">
      <c r="A182" s="60" t="s">
        <v>958</v>
      </c>
      <c r="B182" s="60" t="s">
        <v>617</v>
      </c>
      <c r="C182" s="60" t="s">
        <v>618</v>
      </c>
      <c r="D182" s="60" t="s">
        <v>619</v>
      </c>
      <c r="E182" s="61" t="s">
        <v>46</v>
      </c>
      <c r="F182" s="62" t="s">
        <v>46</v>
      </c>
      <c r="G182" s="63" t="s">
        <v>46</v>
      </c>
      <c r="H182" s="64"/>
      <c r="I182" s="64" t="s">
        <v>47</v>
      </c>
      <c r="J182" s="65">
        <v>10</v>
      </c>
      <c r="K182" s="66">
        <v>2520</v>
      </c>
      <c r="L182" s="67" t="s">
        <v>853</v>
      </c>
      <c r="M182" s="66">
        <v>2900</v>
      </c>
      <c r="N182" s="67" t="s">
        <v>132</v>
      </c>
      <c r="O182" s="66">
        <v>2500.5</v>
      </c>
      <c r="P182" s="67" t="s">
        <v>853</v>
      </c>
      <c r="Q182" s="66">
        <v>2842.5</v>
      </c>
      <c r="R182" s="67" t="s">
        <v>873</v>
      </c>
      <c r="S182" s="68">
        <v>2680.41</v>
      </c>
      <c r="T182" s="65">
        <v>44870</v>
      </c>
      <c r="U182" s="65" t="s">
        <v>955</v>
      </c>
      <c r="V182" s="65">
        <v>122025760</v>
      </c>
      <c r="W182" s="65" t="s">
        <v>955</v>
      </c>
      <c r="X182" s="69">
        <v>22</v>
      </c>
    </row>
    <row r="183" spans="1:24">
      <c r="A183" s="60" t="s">
        <v>958</v>
      </c>
      <c r="B183" s="60" t="s">
        <v>620</v>
      </c>
      <c r="C183" s="60" t="s">
        <v>621</v>
      </c>
      <c r="D183" s="60" t="s">
        <v>622</v>
      </c>
      <c r="E183" s="61" t="s">
        <v>46</v>
      </c>
      <c r="F183" s="62" t="s">
        <v>46</v>
      </c>
      <c r="G183" s="63" t="s">
        <v>46</v>
      </c>
      <c r="H183" s="64"/>
      <c r="I183" s="64" t="s">
        <v>47</v>
      </c>
      <c r="J183" s="65">
        <v>10</v>
      </c>
      <c r="K183" s="66">
        <v>1776.5</v>
      </c>
      <c r="L183" s="67" t="s">
        <v>853</v>
      </c>
      <c r="M183" s="66">
        <v>1882.5</v>
      </c>
      <c r="N183" s="67" t="s">
        <v>50</v>
      </c>
      <c r="O183" s="66">
        <v>1760</v>
      </c>
      <c r="P183" s="67" t="s">
        <v>857</v>
      </c>
      <c r="Q183" s="66">
        <v>1868.5</v>
      </c>
      <c r="R183" s="67" t="s">
        <v>873</v>
      </c>
      <c r="S183" s="68">
        <v>1844.75</v>
      </c>
      <c r="T183" s="65">
        <v>30440</v>
      </c>
      <c r="U183" s="65" t="s">
        <v>955</v>
      </c>
      <c r="V183" s="65">
        <v>55866170</v>
      </c>
      <c r="W183" s="65" t="s">
        <v>955</v>
      </c>
      <c r="X183" s="69">
        <v>22</v>
      </c>
    </row>
    <row r="184" spans="1:24">
      <c r="A184" s="60" t="s">
        <v>958</v>
      </c>
      <c r="B184" s="60" t="s">
        <v>623</v>
      </c>
      <c r="C184" s="60" t="s">
        <v>624</v>
      </c>
      <c r="D184" s="60" t="s">
        <v>625</v>
      </c>
      <c r="E184" s="61" t="s">
        <v>46</v>
      </c>
      <c r="F184" s="62" t="s">
        <v>46</v>
      </c>
      <c r="G184" s="63" t="s">
        <v>46</v>
      </c>
      <c r="H184" s="64"/>
      <c r="I184" s="64" t="s">
        <v>47</v>
      </c>
      <c r="J184" s="65">
        <v>10</v>
      </c>
      <c r="K184" s="66">
        <v>191.4</v>
      </c>
      <c r="L184" s="67" t="s">
        <v>853</v>
      </c>
      <c r="M184" s="66">
        <v>224</v>
      </c>
      <c r="N184" s="67" t="s">
        <v>873</v>
      </c>
      <c r="O184" s="66">
        <v>186.9</v>
      </c>
      <c r="P184" s="67" t="s">
        <v>857</v>
      </c>
      <c r="Q184" s="66">
        <v>223.1</v>
      </c>
      <c r="R184" s="67" t="s">
        <v>873</v>
      </c>
      <c r="S184" s="68">
        <v>205.75</v>
      </c>
      <c r="T184" s="65">
        <v>78050450</v>
      </c>
      <c r="U184" s="65">
        <v>3651530</v>
      </c>
      <c r="V184" s="65">
        <v>16023882731</v>
      </c>
      <c r="W184" s="65">
        <v>802211657</v>
      </c>
      <c r="X184" s="69">
        <v>22</v>
      </c>
    </row>
    <row r="185" spans="1:24">
      <c r="A185" s="60" t="s">
        <v>958</v>
      </c>
      <c r="B185" s="60" t="s">
        <v>626</v>
      </c>
      <c r="C185" s="60" t="s">
        <v>627</v>
      </c>
      <c r="D185" s="60" t="s">
        <v>628</v>
      </c>
      <c r="E185" s="61" t="s">
        <v>46</v>
      </c>
      <c r="F185" s="62" t="s">
        <v>46</v>
      </c>
      <c r="G185" s="63" t="s">
        <v>46</v>
      </c>
      <c r="H185" s="64"/>
      <c r="I185" s="64" t="s">
        <v>629</v>
      </c>
      <c r="J185" s="65">
        <v>1</v>
      </c>
      <c r="K185" s="66">
        <v>7882</v>
      </c>
      <c r="L185" s="67" t="s">
        <v>853</v>
      </c>
      <c r="M185" s="66">
        <v>8607</v>
      </c>
      <c r="N185" s="67" t="s">
        <v>859</v>
      </c>
      <c r="O185" s="66">
        <v>7441</v>
      </c>
      <c r="P185" s="67" t="s">
        <v>371</v>
      </c>
      <c r="Q185" s="66">
        <v>7810</v>
      </c>
      <c r="R185" s="67" t="s">
        <v>873</v>
      </c>
      <c r="S185" s="68">
        <v>7986.82</v>
      </c>
      <c r="T185" s="65">
        <v>15236</v>
      </c>
      <c r="U185" s="65" t="s">
        <v>955</v>
      </c>
      <c r="V185" s="65">
        <v>120965567</v>
      </c>
      <c r="W185" s="65" t="s">
        <v>955</v>
      </c>
      <c r="X185" s="69">
        <v>22</v>
      </c>
    </row>
    <row r="186" spans="1:24">
      <c r="A186" s="60" t="s">
        <v>958</v>
      </c>
      <c r="B186" s="60" t="s">
        <v>630</v>
      </c>
      <c r="C186" s="60" t="s">
        <v>631</v>
      </c>
      <c r="D186" s="60" t="s">
        <v>632</v>
      </c>
      <c r="E186" s="61" t="s">
        <v>46</v>
      </c>
      <c r="F186" s="62" t="s">
        <v>46</v>
      </c>
      <c r="G186" s="63" t="s">
        <v>46</v>
      </c>
      <c r="H186" s="64"/>
      <c r="I186" s="64" t="s">
        <v>629</v>
      </c>
      <c r="J186" s="65">
        <v>1</v>
      </c>
      <c r="K186" s="66">
        <v>6240</v>
      </c>
      <c r="L186" s="67" t="s">
        <v>853</v>
      </c>
      <c r="M186" s="66">
        <v>6500</v>
      </c>
      <c r="N186" s="67" t="s">
        <v>268</v>
      </c>
      <c r="O186" s="66">
        <v>6020</v>
      </c>
      <c r="P186" s="67" t="s">
        <v>96</v>
      </c>
      <c r="Q186" s="66">
        <v>6490</v>
      </c>
      <c r="R186" s="67" t="s">
        <v>873</v>
      </c>
      <c r="S186" s="68">
        <v>6325.77</v>
      </c>
      <c r="T186" s="65">
        <v>4755</v>
      </c>
      <c r="U186" s="65">
        <v>1</v>
      </c>
      <c r="V186" s="65">
        <v>29940783</v>
      </c>
      <c r="W186" s="65">
        <v>6310</v>
      </c>
      <c r="X186" s="69">
        <v>22</v>
      </c>
    </row>
    <row r="187" spans="1:24">
      <c r="A187" s="60" t="s">
        <v>958</v>
      </c>
      <c r="B187" s="60" t="s">
        <v>633</v>
      </c>
      <c r="C187" s="60" t="s">
        <v>634</v>
      </c>
      <c r="D187" s="60" t="s">
        <v>635</v>
      </c>
      <c r="E187" s="61" t="s">
        <v>46</v>
      </c>
      <c r="F187" s="62" t="s">
        <v>46</v>
      </c>
      <c r="G187" s="63" t="s">
        <v>46</v>
      </c>
      <c r="H187" s="64"/>
      <c r="I187" s="64" t="s">
        <v>629</v>
      </c>
      <c r="J187" s="65">
        <v>1</v>
      </c>
      <c r="K187" s="66">
        <v>15265</v>
      </c>
      <c r="L187" s="67" t="s">
        <v>853</v>
      </c>
      <c r="M187" s="66">
        <v>17145</v>
      </c>
      <c r="N187" s="67" t="s">
        <v>96</v>
      </c>
      <c r="O187" s="66">
        <v>15180</v>
      </c>
      <c r="P187" s="67" t="s">
        <v>857</v>
      </c>
      <c r="Q187" s="66">
        <v>16505</v>
      </c>
      <c r="R187" s="67" t="s">
        <v>873</v>
      </c>
      <c r="S187" s="68">
        <v>16392.060000000001</v>
      </c>
      <c r="T187" s="65">
        <v>499</v>
      </c>
      <c r="U187" s="65" t="s">
        <v>955</v>
      </c>
      <c r="V187" s="65">
        <v>8175390</v>
      </c>
      <c r="W187" s="65" t="s">
        <v>955</v>
      </c>
      <c r="X187" s="69">
        <v>17</v>
      </c>
    </row>
    <row r="188" spans="1:24">
      <c r="A188" s="60" t="s">
        <v>958</v>
      </c>
      <c r="B188" s="60" t="s">
        <v>636</v>
      </c>
      <c r="C188" s="60" t="s">
        <v>637</v>
      </c>
      <c r="D188" s="60" t="s">
        <v>638</v>
      </c>
      <c r="E188" s="61" t="s">
        <v>46</v>
      </c>
      <c r="F188" s="62" t="s">
        <v>46</v>
      </c>
      <c r="G188" s="63" t="s">
        <v>46</v>
      </c>
      <c r="H188" s="64"/>
      <c r="I188" s="64" t="s">
        <v>629</v>
      </c>
      <c r="J188" s="65">
        <v>1</v>
      </c>
      <c r="K188" s="66">
        <v>6403</v>
      </c>
      <c r="L188" s="67" t="s">
        <v>853</v>
      </c>
      <c r="M188" s="66">
        <v>6527</v>
      </c>
      <c r="N188" s="67" t="s">
        <v>853</v>
      </c>
      <c r="O188" s="66">
        <v>6035</v>
      </c>
      <c r="P188" s="67" t="s">
        <v>92</v>
      </c>
      <c r="Q188" s="66">
        <v>6190</v>
      </c>
      <c r="R188" s="67" t="s">
        <v>873</v>
      </c>
      <c r="S188" s="68">
        <v>6172</v>
      </c>
      <c r="T188" s="65">
        <v>15048</v>
      </c>
      <c r="U188" s="65" t="s">
        <v>955</v>
      </c>
      <c r="V188" s="65">
        <v>93774496</v>
      </c>
      <c r="W188" s="65" t="s">
        <v>955</v>
      </c>
      <c r="X188" s="69">
        <v>22</v>
      </c>
    </row>
    <row r="189" spans="1:24">
      <c r="A189" s="60" t="s">
        <v>958</v>
      </c>
      <c r="B189" s="60" t="s">
        <v>639</v>
      </c>
      <c r="C189" s="60" t="s">
        <v>640</v>
      </c>
      <c r="D189" s="60" t="s">
        <v>641</v>
      </c>
      <c r="E189" s="61" t="s">
        <v>46</v>
      </c>
      <c r="F189" s="62" t="s">
        <v>46</v>
      </c>
      <c r="G189" s="63" t="s">
        <v>46</v>
      </c>
      <c r="H189" s="64" t="s">
        <v>540</v>
      </c>
      <c r="I189" s="64" t="s">
        <v>629</v>
      </c>
      <c r="J189" s="65">
        <v>1</v>
      </c>
      <c r="K189" s="66">
        <v>125</v>
      </c>
      <c r="L189" s="67" t="s">
        <v>853</v>
      </c>
      <c r="M189" s="66">
        <v>131</v>
      </c>
      <c r="N189" s="67" t="s">
        <v>77</v>
      </c>
      <c r="O189" s="66">
        <v>100</v>
      </c>
      <c r="P189" s="67" t="s">
        <v>50</v>
      </c>
      <c r="Q189" s="66">
        <v>103</v>
      </c>
      <c r="R189" s="67" t="s">
        <v>873</v>
      </c>
      <c r="S189" s="68">
        <v>111.86</v>
      </c>
      <c r="T189" s="65">
        <v>18887046</v>
      </c>
      <c r="U189" s="65">
        <v>15001</v>
      </c>
      <c r="V189" s="65">
        <v>2133858387</v>
      </c>
      <c r="W189" s="65">
        <v>1694108</v>
      </c>
      <c r="X189" s="69">
        <v>22</v>
      </c>
    </row>
    <row r="190" spans="1:24">
      <c r="A190" s="60" t="s">
        <v>958</v>
      </c>
      <c r="B190" s="60" t="s">
        <v>642</v>
      </c>
      <c r="C190" s="60" t="s">
        <v>643</v>
      </c>
      <c r="D190" s="60" t="s">
        <v>644</v>
      </c>
      <c r="E190" s="61" t="s">
        <v>46</v>
      </c>
      <c r="F190" s="62" t="s">
        <v>46</v>
      </c>
      <c r="G190" s="63" t="s">
        <v>46</v>
      </c>
      <c r="H190" s="64"/>
      <c r="I190" s="64" t="s">
        <v>629</v>
      </c>
      <c r="J190" s="65">
        <v>1</v>
      </c>
      <c r="K190" s="66">
        <v>17980</v>
      </c>
      <c r="L190" s="67" t="s">
        <v>853</v>
      </c>
      <c r="M190" s="66">
        <v>19260</v>
      </c>
      <c r="N190" s="67" t="s">
        <v>88</v>
      </c>
      <c r="O190" s="66">
        <v>17805</v>
      </c>
      <c r="P190" s="67" t="s">
        <v>858</v>
      </c>
      <c r="Q190" s="66">
        <v>19015</v>
      </c>
      <c r="R190" s="67" t="s">
        <v>873</v>
      </c>
      <c r="S190" s="68">
        <v>18499.77</v>
      </c>
      <c r="T190" s="65">
        <v>33451</v>
      </c>
      <c r="U190" s="65">
        <v>2</v>
      </c>
      <c r="V190" s="65">
        <v>622425935</v>
      </c>
      <c r="W190" s="65">
        <v>36000</v>
      </c>
      <c r="X190" s="69">
        <v>22</v>
      </c>
    </row>
    <row r="191" spans="1:24">
      <c r="A191" s="60" t="s">
        <v>958</v>
      </c>
      <c r="B191" s="60" t="s">
        <v>645</v>
      </c>
      <c r="C191" s="60" t="s">
        <v>646</v>
      </c>
      <c r="D191" s="60" t="s">
        <v>647</v>
      </c>
      <c r="E191" s="61" t="s">
        <v>46</v>
      </c>
      <c r="F191" s="62" t="s">
        <v>46</v>
      </c>
      <c r="G191" s="63" t="s">
        <v>46</v>
      </c>
      <c r="H191" s="64"/>
      <c r="I191" s="64" t="s">
        <v>629</v>
      </c>
      <c r="J191" s="65">
        <v>1</v>
      </c>
      <c r="K191" s="66">
        <v>5377</v>
      </c>
      <c r="L191" s="67" t="s">
        <v>853</v>
      </c>
      <c r="M191" s="66">
        <v>5420</v>
      </c>
      <c r="N191" s="67" t="s">
        <v>858</v>
      </c>
      <c r="O191" s="66">
        <v>5179</v>
      </c>
      <c r="P191" s="67" t="s">
        <v>88</v>
      </c>
      <c r="Q191" s="66">
        <v>5219</v>
      </c>
      <c r="R191" s="67" t="s">
        <v>873</v>
      </c>
      <c r="S191" s="68">
        <v>5298.73</v>
      </c>
      <c r="T191" s="65">
        <v>9725</v>
      </c>
      <c r="U191" s="65" t="s">
        <v>955</v>
      </c>
      <c r="V191" s="65">
        <v>51482393</v>
      </c>
      <c r="W191" s="65" t="s">
        <v>955</v>
      </c>
      <c r="X191" s="69">
        <v>22</v>
      </c>
    </row>
    <row r="192" spans="1:24">
      <c r="A192" s="60" t="s">
        <v>958</v>
      </c>
      <c r="B192" s="60" t="s">
        <v>648</v>
      </c>
      <c r="C192" s="60" t="s">
        <v>649</v>
      </c>
      <c r="D192" s="60" t="s">
        <v>650</v>
      </c>
      <c r="E192" s="61" t="s">
        <v>46</v>
      </c>
      <c r="F192" s="62" t="s">
        <v>46</v>
      </c>
      <c r="G192" s="63" t="s">
        <v>46</v>
      </c>
      <c r="H192" s="64"/>
      <c r="I192" s="64" t="s">
        <v>629</v>
      </c>
      <c r="J192" s="65">
        <v>1</v>
      </c>
      <c r="K192" s="66">
        <v>615</v>
      </c>
      <c r="L192" s="67" t="s">
        <v>853</v>
      </c>
      <c r="M192" s="66">
        <v>801</v>
      </c>
      <c r="N192" s="67" t="s">
        <v>873</v>
      </c>
      <c r="O192" s="66">
        <v>594</v>
      </c>
      <c r="P192" s="67" t="s">
        <v>857</v>
      </c>
      <c r="Q192" s="66">
        <v>796</v>
      </c>
      <c r="R192" s="67" t="s">
        <v>873</v>
      </c>
      <c r="S192" s="68">
        <v>697.73</v>
      </c>
      <c r="T192" s="65">
        <v>140482589</v>
      </c>
      <c r="U192" s="65">
        <v>1450710</v>
      </c>
      <c r="V192" s="65">
        <v>97332792451</v>
      </c>
      <c r="W192" s="65">
        <v>1124642192</v>
      </c>
      <c r="X192" s="69">
        <v>22</v>
      </c>
    </row>
    <row r="193" spans="1:24">
      <c r="A193" s="60" t="s">
        <v>958</v>
      </c>
      <c r="B193" s="60" t="s">
        <v>651</v>
      </c>
      <c r="C193" s="60" t="s">
        <v>652</v>
      </c>
      <c r="D193" s="60" t="s">
        <v>653</v>
      </c>
      <c r="E193" s="61" t="s">
        <v>46</v>
      </c>
      <c r="F193" s="62" t="s">
        <v>46</v>
      </c>
      <c r="G193" s="63" t="s">
        <v>46</v>
      </c>
      <c r="H193" s="64"/>
      <c r="I193" s="64" t="s">
        <v>629</v>
      </c>
      <c r="J193" s="65">
        <v>1</v>
      </c>
      <c r="K193" s="66">
        <v>2982</v>
      </c>
      <c r="L193" s="67" t="s">
        <v>853</v>
      </c>
      <c r="M193" s="66">
        <v>3050</v>
      </c>
      <c r="N193" s="67" t="s">
        <v>857</v>
      </c>
      <c r="O193" s="66">
        <v>2612</v>
      </c>
      <c r="P193" s="67" t="s">
        <v>873</v>
      </c>
      <c r="Q193" s="66">
        <v>2625</v>
      </c>
      <c r="R193" s="67" t="s">
        <v>873</v>
      </c>
      <c r="S193" s="68">
        <v>2800.32</v>
      </c>
      <c r="T193" s="65">
        <v>1064314</v>
      </c>
      <c r="U193" s="65">
        <v>4245</v>
      </c>
      <c r="V193" s="65">
        <v>3004567107</v>
      </c>
      <c r="W193" s="65">
        <v>10456707</v>
      </c>
      <c r="X193" s="69">
        <v>22</v>
      </c>
    </row>
    <row r="194" spans="1:24">
      <c r="A194" s="60" t="s">
        <v>958</v>
      </c>
      <c r="B194" s="60" t="s">
        <v>654</v>
      </c>
      <c r="C194" s="60" t="s">
        <v>655</v>
      </c>
      <c r="D194" s="60" t="s">
        <v>656</v>
      </c>
      <c r="E194" s="61" t="s">
        <v>46</v>
      </c>
      <c r="F194" s="62" t="s">
        <v>46</v>
      </c>
      <c r="G194" s="63" t="s">
        <v>46</v>
      </c>
      <c r="H194" s="64"/>
      <c r="I194" s="64" t="s">
        <v>629</v>
      </c>
      <c r="J194" s="65">
        <v>1</v>
      </c>
      <c r="K194" s="66">
        <v>30990</v>
      </c>
      <c r="L194" s="67" t="s">
        <v>853</v>
      </c>
      <c r="M194" s="66">
        <v>33870</v>
      </c>
      <c r="N194" s="67" t="s">
        <v>873</v>
      </c>
      <c r="O194" s="66">
        <v>30190</v>
      </c>
      <c r="P194" s="67" t="s">
        <v>857</v>
      </c>
      <c r="Q194" s="66">
        <v>33750</v>
      </c>
      <c r="R194" s="67" t="s">
        <v>873</v>
      </c>
      <c r="S194" s="68">
        <v>32409.09</v>
      </c>
      <c r="T194" s="65">
        <v>191003</v>
      </c>
      <c r="U194" s="65">
        <v>3</v>
      </c>
      <c r="V194" s="65">
        <v>6154761030</v>
      </c>
      <c r="W194" s="65">
        <v>96490</v>
      </c>
      <c r="X194" s="69">
        <v>22</v>
      </c>
    </row>
    <row r="195" spans="1:24">
      <c r="A195" s="60" t="s">
        <v>958</v>
      </c>
      <c r="B195" s="60" t="s">
        <v>657</v>
      </c>
      <c r="C195" s="60" t="s">
        <v>658</v>
      </c>
      <c r="D195" s="60" t="s">
        <v>659</v>
      </c>
      <c r="E195" s="61" t="s">
        <v>46</v>
      </c>
      <c r="F195" s="62" t="s">
        <v>46</v>
      </c>
      <c r="G195" s="63" t="s">
        <v>46</v>
      </c>
      <c r="H195" s="64"/>
      <c r="I195" s="64" t="s">
        <v>629</v>
      </c>
      <c r="J195" s="65">
        <v>1</v>
      </c>
      <c r="K195" s="66">
        <v>2913</v>
      </c>
      <c r="L195" s="67" t="s">
        <v>853</v>
      </c>
      <c r="M195" s="66">
        <v>2937</v>
      </c>
      <c r="N195" s="67" t="s">
        <v>857</v>
      </c>
      <c r="O195" s="66">
        <v>2752</v>
      </c>
      <c r="P195" s="67" t="s">
        <v>50</v>
      </c>
      <c r="Q195" s="66">
        <v>2760</v>
      </c>
      <c r="R195" s="67" t="s">
        <v>873</v>
      </c>
      <c r="S195" s="68">
        <v>2823.95</v>
      </c>
      <c r="T195" s="65">
        <v>512940</v>
      </c>
      <c r="U195" s="65" t="s">
        <v>955</v>
      </c>
      <c r="V195" s="65">
        <v>1453215024</v>
      </c>
      <c r="W195" s="65" t="s">
        <v>955</v>
      </c>
      <c r="X195" s="69">
        <v>22</v>
      </c>
    </row>
    <row r="196" spans="1:24">
      <c r="A196" s="60" t="s">
        <v>958</v>
      </c>
      <c r="B196" s="60" t="s">
        <v>660</v>
      </c>
      <c r="C196" s="60" t="s">
        <v>661</v>
      </c>
      <c r="D196" s="60" t="s">
        <v>662</v>
      </c>
      <c r="E196" s="61" t="s">
        <v>46</v>
      </c>
      <c r="F196" s="62" t="s">
        <v>46</v>
      </c>
      <c r="G196" s="63" t="s">
        <v>46</v>
      </c>
      <c r="H196" s="64"/>
      <c r="I196" s="64" t="s">
        <v>629</v>
      </c>
      <c r="J196" s="65">
        <v>1</v>
      </c>
      <c r="K196" s="66">
        <v>11505</v>
      </c>
      <c r="L196" s="67" t="s">
        <v>853</v>
      </c>
      <c r="M196" s="66">
        <v>11590</v>
      </c>
      <c r="N196" s="67" t="s">
        <v>853</v>
      </c>
      <c r="O196" s="66">
        <v>10170</v>
      </c>
      <c r="P196" s="67" t="s">
        <v>371</v>
      </c>
      <c r="Q196" s="66">
        <v>10675</v>
      </c>
      <c r="R196" s="67" t="s">
        <v>873</v>
      </c>
      <c r="S196" s="68">
        <v>10867.05</v>
      </c>
      <c r="T196" s="65">
        <v>170218</v>
      </c>
      <c r="U196" s="65">
        <v>13003</v>
      </c>
      <c r="V196" s="65">
        <v>1825657380</v>
      </c>
      <c r="W196" s="65">
        <v>139672205</v>
      </c>
      <c r="X196" s="69">
        <v>22</v>
      </c>
    </row>
    <row r="197" spans="1:24">
      <c r="A197" s="60" t="s">
        <v>958</v>
      </c>
      <c r="B197" s="60" t="s">
        <v>663</v>
      </c>
      <c r="C197" s="60" t="s">
        <v>664</v>
      </c>
      <c r="D197" s="60" t="s">
        <v>665</v>
      </c>
      <c r="E197" s="61" t="s">
        <v>46</v>
      </c>
      <c r="F197" s="62" t="s">
        <v>46</v>
      </c>
      <c r="G197" s="63" t="s">
        <v>46</v>
      </c>
      <c r="H197" s="64"/>
      <c r="I197" s="64" t="s">
        <v>629</v>
      </c>
      <c r="J197" s="65">
        <v>1</v>
      </c>
      <c r="K197" s="66">
        <v>13200</v>
      </c>
      <c r="L197" s="67" t="s">
        <v>853</v>
      </c>
      <c r="M197" s="66">
        <v>13995</v>
      </c>
      <c r="N197" s="67" t="s">
        <v>873</v>
      </c>
      <c r="O197" s="66">
        <v>13010</v>
      </c>
      <c r="P197" s="67" t="s">
        <v>857</v>
      </c>
      <c r="Q197" s="66">
        <v>13750</v>
      </c>
      <c r="R197" s="67" t="s">
        <v>873</v>
      </c>
      <c r="S197" s="68">
        <v>13347.5</v>
      </c>
      <c r="T197" s="65">
        <v>362</v>
      </c>
      <c r="U197" s="65" t="s">
        <v>955</v>
      </c>
      <c r="V197" s="65">
        <v>4836760</v>
      </c>
      <c r="W197" s="65" t="s">
        <v>955</v>
      </c>
      <c r="X197" s="69">
        <v>14</v>
      </c>
    </row>
    <row r="198" spans="1:24">
      <c r="A198" s="60" t="s">
        <v>958</v>
      </c>
      <c r="B198" s="60" t="s">
        <v>666</v>
      </c>
      <c r="C198" s="60" t="s">
        <v>667</v>
      </c>
      <c r="D198" s="60" t="s">
        <v>668</v>
      </c>
      <c r="E198" s="61" t="s">
        <v>46</v>
      </c>
      <c r="F198" s="62" t="s">
        <v>46</v>
      </c>
      <c r="G198" s="63" t="s">
        <v>46</v>
      </c>
      <c r="H198" s="64"/>
      <c r="I198" s="64" t="s">
        <v>629</v>
      </c>
      <c r="J198" s="65">
        <v>1</v>
      </c>
      <c r="K198" s="66">
        <v>19625</v>
      </c>
      <c r="L198" s="67" t="s">
        <v>853</v>
      </c>
      <c r="M198" s="66">
        <v>21225</v>
      </c>
      <c r="N198" s="67" t="s">
        <v>873</v>
      </c>
      <c r="O198" s="66">
        <v>19325</v>
      </c>
      <c r="P198" s="67" t="s">
        <v>857</v>
      </c>
      <c r="Q198" s="66">
        <v>21200</v>
      </c>
      <c r="R198" s="67" t="s">
        <v>873</v>
      </c>
      <c r="S198" s="68">
        <v>20329.55</v>
      </c>
      <c r="T198" s="65">
        <v>19291</v>
      </c>
      <c r="U198" s="65">
        <v>1</v>
      </c>
      <c r="V198" s="65">
        <v>392433155</v>
      </c>
      <c r="W198" s="65">
        <v>19670</v>
      </c>
      <c r="X198" s="69">
        <v>22</v>
      </c>
    </row>
    <row r="199" spans="1:24">
      <c r="A199" s="60" t="s">
        <v>958</v>
      </c>
      <c r="B199" s="60" t="s">
        <v>669</v>
      </c>
      <c r="C199" s="60" t="s">
        <v>670</v>
      </c>
      <c r="D199" s="60" t="s">
        <v>671</v>
      </c>
      <c r="E199" s="61" t="s">
        <v>46</v>
      </c>
      <c r="F199" s="62" t="s">
        <v>46</v>
      </c>
      <c r="G199" s="63" t="s">
        <v>46</v>
      </c>
      <c r="H199" s="64"/>
      <c r="I199" s="64" t="s">
        <v>629</v>
      </c>
      <c r="J199" s="65">
        <v>1</v>
      </c>
      <c r="K199" s="66">
        <v>13935</v>
      </c>
      <c r="L199" s="67" t="s">
        <v>853</v>
      </c>
      <c r="M199" s="66">
        <v>14200</v>
      </c>
      <c r="N199" s="67" t="s">
        <v>73</v>
      </c>
      <c r="O199" s="66">
        <v>13345</v>
      </c>
      <c r="P199" s="67" t="s">
        <v>132</v>
      </c>
      <c r="Q199" s="66">
        <v>14125</v>
      </c>
      <c r="R199" s="67" t="s">
        <v>873</v>
      </c>
      <c r="S199" s="68">
        <v>13792.67</v>
      </c>
      <c r="T199" s="65">
        <v>643</v>
      </c>
      <c r="U199" s="65" t="s">
        <v>955</v>
      </c>
      <c r="V199" s="65">
        <v>8799955</v>
      </c>
      <c r="W199" s="65" t="s">
        <v>955</v>
      </c>
      <c r="X199" s="69">
        <v>15</v>
      </c>
    </row>
    <row r="200" spans="1:24">
      <c r="A200" s="60" t="s">
        <v>958</v>
      </c>
      <c r="B200" s="60" t="s">
        <v>672</v>
      </c>
      <c r="C200" s="60" t="s">
        <v>673</v>
      </c>
      <c r="D200" s="60" t="s">
        <v>674</v>
      </c>
      <c r="E200" s="61" t="s">
        <v>46</v>
      </c>
      <c r="F200" s="62" t="s">
        <v>46</v>
      </c>
      <c r="G200" s="63" t="s">
        <v>46</v>
      </c>
      <c r="H200" s="64"/>
      <c r="I200" s="64" t="s">
        <v>629</v>
      </c>
      <c r="J200" s="65">
        <v>1</v>
      </c>
      <c r="K200" s="66">
        <v>17075</v>
      </c>
      <c r="L200" s="67" t="s">
        <v>853</v>
      </c>
      <c r="M200" s="66">
        <v>18390</v>
      </c>
      <c r="N200" s="67" t="s">
        <v>858</v>
      </c>
      <c r="O200" s="66">
        <v>15930</v>
      </c>
      <c r="P200" s="67" t="s">
        <v>371</v>
      </c>
      <c r="Q200" s="66">
        <v>17660</v>
      </c>
      <c r="R200" s="67" t="s">
        <v>873</v>
      </c>
      <c r="S200" s="68">
        <v>17327.73</v>
      </c>
      <c r="T200" s="65">
        <v>63995</v>
      </c>
      <c r="U200" s="65">
        <v>1</v>
      </c>
      <c r="V200" s="65">
        <v>1105236300</v>
      </c>
      <c r="W200" s="65">
        <v>17835</v>
      </c>
      <c r="X200" s="69">
        <v>22</v>
      </c>
    </row>
    <row r="201" spans="1:24">
      <c r="A201" s="60" t="s">
        <v>958</v>
      </c>
      <c r="B201" s="60" t="s">
        <v>675</v>
      </c>
      <c r="C201" s="60" t="s">
        <v>676</v>
      </c>
      <c r="D201" s="60" t="s">
        <v>677</v>
      </c>
      <c r="E201" s="61" t="s">
        <v>46</v>
      </c>
      <c r="F201" s="62" t="s">
        <v>46</v>
      </c>
      <c r="G201" s="63" t="s">
        <v>46</v>
      </c>
      <c r="H201" s="64"/>
      <c r="I201" s="64" t="s">
        <v>629</v>
      </c>
      <c r="J201" s="65">
        <v>1</v>
      </c>
      <c r="K201" s="66">
        <v>4120</v>
      </c>
      <c r="L201" s="67" t="s">
        <v>853</v>
      </c>
      <c r="M201" s="66">
        <v>4200</v>
      </c>
      <c r="N201" s="67" t="s">
        <v>268</v>
      </c>
      <c r="O201" s="66">
        <v>3850</v>
      </c>
      <c r="P201" s="67" t="s">
        <v>92</v>
      </c>
      <c r="Q201" s="66">
        <v>4065</v>
      </c>
      <c r="R201" s="67" t="s">
        <v>873</v>
      </c>
      <c r="S201" s="68">
        <v>4028.18</v>
      </c>
      <c r="T201" s="65">
        <v>5742</v>
      </c>
      <c r="U201" s="65" t="s">
        <v>955</v>
      </c>
      <c r="V201" s="65">
        <v>23073955</v>
      </c>
      <c r="W201" s="65" t="s">
        <v>955</v>
      </c>
      <c r="X201" s="69">
        <v>22</v>
      </c>
    </row>
    <row r="202" spans="1:24">
      <c r="A202" s="60" t="s">
        <v>958</v>
      </c>
      <c r="B202" s="60" t="s">
        <v>678</v>
      </c>
      <c r="C202" s="60" t="s">
        <v>679</v>
      </c>
      <c r="D202" s="60" t="s">
        <v>680</v>
      </c>
      <c r="E202" s="61" t="s">
        <v>46</v>
      </c>
      <c r="F202" s="62" t="s">
        <v>46</v>
      </c>
      <c r="G202" s="63" t="s">
        <v>46</v>
      </c>
      <c r="H202" s="64"/>
      <c r="I202" s="64" t="s">
        <v>629</v>
      </c>
      <c r="J202" s="65">
        <v>1</v>
      </c>
      <c r="K202" s="66">
        <v>11115</v>
      </c>
      <c r="L202" s="67" t="s">
        <v>853</v>
      </c>
      <c r="M202" s="66">
        <v>11555</v>
      </c>
      <c r="N202" s="67" t="s">
        <v>88</v>
      </c>
      <c r="O202" s="66">
        <v>10960</v>
      </c>
      <c r="P202" s="67" t="s">
        <v>857</v>
      </c>
      <c r="Q202" s="66">
        <v>11535</v>
      </c>
      <c r="R202" s="67" t="s">
        <v>88</v>
      </c>
      <c r="S202" s="68">
        <v>11348.18</v>
      </c>
      <c r="T202" s="65">
        <v>910</v>
      </c>
      <c r="U202" s="65" t="s">
        <v>955</v>
      </c>
      <c r="V202" s="65">
        <v>10445860</v>
      </c>
      <c r="W202" s="65" t="s">
        <v>955</v>
      </c>
      <c r="X202" s="69">
        <v>11</v>
      </c>
    </row>
    <row r="203" spans="1:24">
      <c r="A203" s="60" t="s">
        <v>958</v>
      </c>
      <c r="B203" s="60" t="s">
        <v>681</v>
      </c>
      <c r="C203" s="60" t="s">
        <v>682</v>
      </c>
      <c r="D203" s="60" t="s">
        <v>683</v>
      </c>
      <c r="E203" s="61" t="s">
        <v>46</v>
      </c>
      <c r="F203" s="62" t="s">
        <v>46</v>
      </c>
      <c r="G203" s="63" t="s">
        <v>46</v>
      </c>
      <c r="H203" s="64"/>
      <c r="I203" s="64" t="s">
        <v>629</v>
      </c>
      <c r="J203" s="65">
        <v>1</v>
      </c>
      <c r="K203" s="66">
        <v>11910</v>
      </c>
      <c r="L203" s="67" t="s">
        <v>853</v>
      </c>
      <c r="M203" s="66">
        <v>12405</v>
      </c>
      <c r="N203" s="67" t="s">
        <v>172</v>
      </c>
      <c r="O203" s="66">
        <v>11910</v>
      </c>
      <c r="P203" s="67" t="s">
        <v>853</v>
      </c>
      <c r="Q203" s="66">
        <v>12385</v>
      </c>
      <c r="R203" s="67" t="s">
        <v>88</v>
      </c>
      <c r="S203" s="68">
        <v>12143</v>
      </c>
      <c r="T203" s="65">
        <v>20</v>
      </c>
      <c r="U203" s="65" t="s">
        <v>955</v>
      </c>
      <c r="V203" s="65">
        <v>240035</v>
      </c>
      <c r="W203" s="65" t="s">
        <v>955</v>
      </c>
      <c r="X203" s="69">
        <v>5</v>
      </c>
    </row>
    <row r="204" spans="1:24">
      <c r="A204" s="60" t="s">
        <v>958</v>
      </c>
      <c r="B204" s="60" t="s">
        <v>684</v>
      </c>
      <c r="C204" s="60" t="s">
        <v>685</v>
      </c>
      <c r="D204" s="60" t="s">
        <v>686</v>
      </c>
      <c r="E204" s="61" t="s">
        <v>46</v>
      </c>
      <c r="F204" s="62" t="s">
        <v>46</v>
      </c>
      <c r="G204" s="63" t="s">
        <v>46</v>
      </c>
      <c r="H204" s="64"/>
      <c r="I204" s="64" t="s">
        <v>629</v>
      </c>
      <c r="J204" s="65">
        <v>1</v>
      </c>
      <c r="K204" s="66">
        <v>12770</v>
      </c>
      <c r="L204" s="67" t="s">
        <v>858</v>
      </c>
      <c r="M204" s="66">
        <v>13265</v>
      </c>
      <c r="N204" s="67" t="s">
        <v>854</v>
      </c>
      <c r="O204" s="66">
        <v>12770</v>
      </c>
      <c r="P204" s="67" t="s">
        <v>858</v>
      </c>
      <c r="Q204" s="66">
        <v>13055</v>
      </c>
      <c r="R204" s="67" t="s">
        <v>132</v>
      </c>
      <c r="S204" s="68">
        <v>12997.86</v>
      </c>
      <c r="T204" s="65">
        <v>251</v>
      </c>
      <c r="U204" s="65" t="s">
        <v>955</v>
      </c>
      <c r="V204" s="65">
        <v>3256965</v>
      </c>
      <c r="W204" s="65" t="s">
        <v>955</v>
      </c>
      <c r="X204" s="69">
        <v>7</v>
      </c>
    </row>
    <row r="205" spans="1:24">
      <c r="A205" s="60" t="s">
        <v>958</v>
      </c>
      <c r="B205" s="60" t="s">
        <v>687</v>
      </c>
      <c r="C205" s="60" t="s">
        <v>688</v>
      </c>
      <c r="D205" s="60" t="s">
        <v>689</v>
      </c>
      <c r="E205" s="61" t="s">
        <v>46</v>
      </c>
      <c r="F205" s="62" t="s">
        <v>46</v>
      </c>
      <c r="G205" s="63" t="s">
        <v>46</v>
      </c>
      <c r="H205" s="64"/>
      <c r="I205" s="64" t="s">
        <v>629</v>
      </c>
      <c r="J205" s="65">
        <v>1</v>
      </c>
      <c r="K205" s="66">
        <v>13855</v>
      </c>
      <c r="L205" s="67" t="s">
        <v>857</v>
      </c>
      <c r="M205" s="66">
        <v>14220</v>
      </c>
      <c r="N205" s="67" t="s">
        <v>96</v>
      </c>
      <c r="O205" s="66">
        <v>13855</v>
      </c>
      <c r="P205" s="67" t="s">
        <v>857</v>
      </c>
      <c r="Q205" s="66">
        <v>14155</v>
      </c>
      <c r="R205" s="67" t="s">
        <v>874</v>
      </c>
      <c r="S205" s="68">
        <v>14112.5</v>
      </c>
      <c r="T205" s="65">
        <v>2062</v>
      </c>
      <c r="U205" s="65">
        <v>1007</v>
      </c>
      <c r="V205" s="65">
        <v>29058540</v>
      </c>
      <c r="W205" s="65">
        <v>14118140</v>
      </c>
      <c r="X205" s="69">
        <v>4</v>
      </c>
    </row>
    <row r="206" spans="1:24">
      <c r="A206" s="60" t="s">
        <v>958</v>
      </c>
      <c r="B206" s="60" t="s">
        <v>690</v>
      </c>
      <c r="C206" s="60" t="s">
        <v>691</v>
      </c>
      <c r="D206" s="60" t="s">
        <v>692</v>
      </c>
      <c r="E206" s="61" t="s">
        <v>46</v>
      </c>
      <c r="F206" s="62" t="s">
        <v>46</v>
      </c>
      <c r="G206" s="63" t="s">
        <v>46</v>
      </c>
      <c r="H206" s="64"/>
      <c r="I206" s="64" t="s">
        <v>629</v>
      </c>
      <c r="J206" s="65">
        <v>1</v>
      </c>
      <c r="K206" s="66">
        <v>12410</v>
      </c>
      <c r="L206" s="67" t="s">
        <v>853</v>
      </c>
      <c r="M206" s="66">
        <v>12780</v>
      </c>
      <c r="N206" s="67" t="s">
        <v>854</v>
      </c>
      <c r="O206" s="66">
        <v>12300</v>
      </c>
      <c r="P206" s="67" t="s">
        <v>857</v>
      </c>
      <c r="Q206" s="66">
        <v>12690</v>
      </c>
      <c r="R206" s="67" t="s">
        <v>873</v>
      </c>
      <c r="S206" s="68">
        <v>12593.95</v>
      </c>
      <c r="T206" s="65">
        <v>959</v>
      </c>
      <c r="U206" s="65" t="s">
        <v>955</v>
      </c>
      <c r="V206" s="65">
        <v>12093200</v>
      </c>
      <c r="W206" s="65" t="s">
        <v>955</v>
      </c>
      <c r="X206" s="69">
        <v>19</v>
      </c>
    </row>
    <row r="207" spans="1:24">
      <c r="A207" s="60" t="s">
        <v>958</v>
      </c>
      <c r="B207" s="60" t="s">
        <v>693</v>
      </c>
      <c r="C207" s="60" t="s">
        <v>694</v>
      </c>
      <c r="D207" s="60" t="s">
        <v>695</v>
      </c>
      <c r="E207" s="61" t="s">
        <v>46</v>
      </c>
      <c r="F207" s="62" t="s">
        <v>46</v>
      </c>
      <c r="G207" s="63" t="s">
        <v>46</v>
      </c>
      <c r="H207" s="64"/>
      <c r="I207" s="64" t="s">
        <v>629</v>
      </c>
      <c r="J207" s="65">
        <v>1</v>
      </c>
      <c r="K207" s="66">
        <v>13440</v>
      </c>
      <c r="L207" s="67" t="s">
        <v>857</v>
      </c>
      <c r="M207" s="66">
        <v>14200</v>
      </c>
      <c r="N207" s="67" t="s">
        <v>854</v>
      </c>
      <c r="O207" s="66">
        <v>13440</v>
      </c>
      <c r="P207" s="67" t="s">
        <v>857</v>
      </c>
      <c r="Q207" s="66">
        <v>13895</v>
      </c>
      <c r="R207" s="67" t="s">
        <v>268</v>
      </c>
      <c r="S207" s="68">
        <v>13898.75</v>
      </c>
      <c r="T207" s="65">
        <v>550</v>
      </c>
      <c r="U207" s="65" t="s">
        <v>955</v>
      </c>
      <c r="V207" s="65">
        <v>7417085</v>
      </c>
      <c r="W207" s="65" t="s">
        <v>955</v>
      </c>
      <c r="X207" s="69">
        <v>8</v>
      </c>
    </row>
    <row r="208" spans="1:24">
      <c r="A208" s="60" t="s">
        <v>958</v>
      </c>
      <c r="B208" s="60" t="s">
        <v>696</v>
      </c>
      <c r="C208" s="60" t="s">
        <v>697</v>
      </c>
      <c r="D208" s="60" t="s">
        <v>698</v>
      </c>
      <c r="E208" s="61" t="s">
        <v>46</v>
      </c>
      <c r="F208" s="62" t="s">
        <v>46</v>
      </c>
      <c r="G208" s="63" t="s">
        <v>46</v>
      </c>
      <c r="H208" s="64"/>
      <c r="I208" s="64" t="s">
        <v>629</v>
      </c>
      <c r="J208" s="65">
        <v>1</v>
      </c>
      <c r="K208" s="66">
        <v>13160</v>
      </c>
      <c r="L208" s="67" t="s">
        <v>860</v>
      </c>
      <c r="M208" s="66">
        <v>13360</v>
      </c>
      <c r="N208" s="67" t="s">
        <v>854</v>
      </c>
      <c r="O208" s="66">
        <v>13160</v>
      </c>
      <c r="P208" s="67" t="s">
        <v>860</v>
      </c>
      <c r="Q208" s="66">
        <v>13220</v>
      </c>
      <c r="R208" s="67" t="s">
        <v>371</v>
      </c>
      <c r="S208" s="68">
        <v>13224.17</v>
      </c>
      <c r="T208" s="65">
        <v>42</v>
      </c>
      <c r="U208" s="65" t="s">
        <v>955</v>
      </c>
      <c r="V208" s="65">
        <v>555415</v>
      </c>
      <c r="W208" s="65" t="s">
        <v>955</v>
      </c>
      <c r="X208" s="69">
        <v>6</v>
      </c>
    </row>
    <row r="209" spans="1:24">
      <c r="A209" s="60" t="s">
        <v>958</v>
      </c>
      <c r="B209" s="60" t="s">
        <v>699</v>
      </c>
      <c r="C209" s="60" t="s">
        <v>700</v>
      </c>
      <c r="D209" s="60" t="s">
        <v>701</v>
      </c>
      <c r="E209" s="61" t="s">
        <v>46</v>
      </c>
      <c r="F209" s="62" t="s">
        <v>46</v>
      </c>
      <c r="G209" s="63" t="s">
        <v>46</v>
      </c>
      <c r="H209" s="64"/>
      <c r="I209" s="64" t="s">
        <v>629</v>
      </c>
      <c r="J209" s="65">
        <v>1</v>
      </c>
      <c r="K209" s="66">
        <v>9878</v>
      </c>
      <c r="L209" s="67" t="s">
        <v>853</v>
      </c>
      <c r="M209" s="66">
        <v>10340</v>
      </c>
      <c r="N209" s="67" t="s">
        <v>96</v>
      </c>
      <c r="O209" s="66">
        <v>9816</v>
      </c>
      <c r="P209" s="67" t="s">
        <v>853</v>
      </c>
      <c r="Q209" s="66">
        <v>10235</v>
      </c>
      <c r="R209" s="67" t="s">
        <v>873</v>
      </c>
      <c r="S209" s="68">
        <v>10200.6</v>
      </c>
      <c r="T209" s="65">
        <v>7368</v>
      </c>
      <c r="U209" s="65">
        <v>1</v>
      </c>
      <c r="V209" s="65">
        <v>75130377</v>
      </c>
      <c r="W209" s="65">
        <v>10340</v>
      </c>
      <c r="X209" s="69">
        <v>15</v>
      </c>
    </row>
    <row r="210" spans="1:24">
      <c r="A210" s="60" t="s">
        <v>958</v>
      </c>
      <c r="B210" s="60" t="s">
        <v>702</v>
      </c>
      <c r="C210" s="60" t="s">
        <v>703</v>
      </c>
      <c r="D210" s="60" t="s">
        <v>704</v>
      </c>
      <c r="E210" s="61" t="s">
        <v>46</v>
      </c>
      <c r="F210" s="62" t="s">
        <v>46</v>
      </c>
      <c r="G210" s="63" t="s">
        <v>46</v>
      </c>
      <c r="H210" s="64"/>
      <c r="I210" s="64" t="s">
        <v>629</v>
      </c>
      <c r="J210" s="65">
        <v>1</v>
      </c>
      <c r="K210" s="66">
        <v>11560</v>
      </c>
      <c r="L210" s="67" t="s">
        <v>853</v>
      </c>
      <c r="M210" s="66">
        <v>12120</v>
      </c>
      <c r="N210" s="67" t="s">
        <v>96</v>
      </c>
      <c r="O210" s="66">
        <v>11475</v>
      </c>
      <c r="P210" s="67" t="s">
        <v>853</v>
      </c>
      <c r="Q210" s="66">
        <v>11895</v>
      </c>
      <c r="R210" s="67" t="s">
        <v>873</v>
      </c>
      <c r="S210" s="68">
        <v>11822.05</v>
      </c>
      <c r="T210" s="65">
        <v>76260</v>
      </c>
      <c r="U210" s="65" t="s">
        <v>955</v>
      </c>
      <c r="V210" s="65">
        <v>902612005</v>
      </c>
      <c r="W210" s="65" t="s">
        <v>955</v>
      </c>
      <c r="X210" s="69">
        <v>22</v>
      </c>
    </row>
    <row r="211" spans="1:24">
      <c r="A211" s="60" t="s">
        <v>958</v>
      </c>
      <c r="B211" s="60" t="s">
        <v>705</v>
      </c>
      <c r="C211" s="60" t="s">
        <v>706</v>
      </c>
      <c r="D211" s="60" t="s">
        <v>707</v>
      </c>
      <c r="E211" s="61" t="s">
        <v>46</v>
      </c>
      <c r="F211" s="62" t="s">
        <v>46</v>
      </c>
      <c r="G211" s="63" t="s">
        <v>46</v>
      </c>
      <c r="H211" s="64"/>
      <c r="I211" s="64" t="s">
        <v>629</v>
      </c>
      <c r="J211" s="65">
        <v>1</v>
      </c>
      <c r="K211" s="66">
        <v>9760</v>
      </c>
      <c r="L211" s="67" t="s">
        <v>853</v>
      </c>
      <c r="M211" s="66">
        <v>10150</v>
      </c>
      <c r="N211" s="67" t="s">
        <v>96</v>
      </c>
      <c r="O211" s="66">
        <v>9638</v>
      </c>
      <c r="P211" s="67" t="s">
        <v>853</v>
      </c>
      <c r="Q211" s="66">
        <v>9825</v>
      </c>
      <c r="R211" s="67" t="s">
        <v>873</v>
      </c>
      <c r="S211" s="68">
        <v>9916.67</v>
      </c>
      <c r="T211" s="65">
        <v>8509</v>
      </c>
      <c r="U211" s="65" t="s">
        <v>955</v>
      </c>
      <c r="V211" s="65">
        <v>84379367</v>
      </c>
      <c r="W211" s="65" t="s">
        <v>955</v>
      </c>
      <c r="X211" s="69">
        <v>15</v>
      </c>
    </row>
    <row r="212" spans="1:24">
      <c r="A212" s="60" t="s">
        <v>958</v>
      </c>
      <c r="B212" s="60" t="s">
        <v>708</v>
      </c>
      <c r="C212" s="60" t="s">
        <v>709</v>
      </c>
      <c r="D212" s="60" t="s">
        <v>710</v>
      </c>
      <c r="E212" s="61" t="s">
        <v>46</v>
      </c>
      <c r="F212" s="62" t="s">
        <v>46</v>
      </c>
      <c r="G212" s="63" t="s">
        <v>46</v>
      </c>
      <c r="H212" s="64"/>
      <c r="I212" s="64" t="s">
        <v>47</v>
      </c>
      <c r="J212" s="65">
        <v>10</v>
      </c>
      <c r="K212" s="66">
        <v>995</v>
      </c>
      <c r="L212" s="67" t="s">
        <v>853</v>
      </c>
      <c r="M212" s="66">
        <v>996</v>
      </c>
      <c r="N212" s="67" t="s">
        <v>77</v>
      </c>
      <c r="O212" s="66">
        <v>992.1</v>
      </c>
      <c r="P212" s="67" t="s">
        <v>873</v>
      </c>
      <c r="Q212" s="66">
        <v>993.2</v>
      </c>
      <c r="R212" s="67" t="s">
        <v>873</v>
      </c>
      <c r="S212" s="68">
        <v>994.28</v>
      </c>
      <c r="T212" s="65">
        <v>10542040</v>
      </c>
      <c r="U212" s="65">
        <v>7507530</v>
      </c>
      <c r="V212" s="65">
        <v>10474783596</v>
      </c>
      <c r="W212" s="65">
        <v>7456620037</v>
      </c>
      <c r="X212" s="69">
        <v>22</v>
      </c>
    </row>
    <row r="213" spans="1:24">
      <c r="A213" s="60" t="s">
        <v>958</v>
      </c>
      <c r="B213" s="60" t="s">
        <v>711</v>
      </c>
      <c r="C213" s="60" t="s">
        <v>712</v>
      </c>
      <c r="D213" s="60" t="s">
        <v>713</v>
      </c>
      <c r="E213" s="61" t="s">
        <v>46</v>
      </c>
      <c r="F213" s="62" t="s">
        <v>46</v>
      </c>
      <c r="G213" s="63" t="s">
        <v>46</v>
      </c>
      <c r="H213" s="64"/>
      <c r="I213" s="64" t="s">
        <v>47</v>
      </c>
      <c r="J213" s="65">
        <v>10</v>
      </c>
      <c r="K213" s="66">
        <v>1019</v>
      </c>
      <c r="L213" s="67" t="s">
        <v>853</v>
      </c>
      <c r="M213" s="66">
        <v>1033</v>
      </c>
      <c r="N213" s="67" t="s">
        <v>88</v>
      </c>
      <c r="O213" s="66">
        <v>1015</v>
      </c>
      <c r="P213" s="67" t="s">
        <v>857</v>
      </c>
      <c r="Q213" s="66">
        <v>1028.5</v>
      </c>
      <c r="R213" s="67" t="s">
        <v>873</v>
      </c>
      <c r="S213" s="68">
        <v>1022.91</v>
      </c>
      <c r="T213" s="65">
        <v>2420150</v>
      </c>
      <c r="U213" s="65">
        <v>1572690</v>
      </c>
      <c r="V213" s="65">
        <v>2475935031</v>
      </c>
      <c r="W213" s="65">
        <v>1609547526</v>
      </c>
      <c r="X213" s="69">
        <v>22</v>
      </c>
    </row>
    <row r="214" spans="1:24">
      <c r="A214" s="60" t="s">
        <v>958</v>
      </c>
      <c r="B214" s="60" t="s">
        <v>714</v>
      </c>
      <c r="C214" s="60" t="s">
        <v>715</v>
      </c>
      <c r="D214" s="60" t="s">
        <v>716</v>
      </c>
      <c r="E214" s="61" t="s">
        <v>46</v>
      </c>
      <c r="F214" s="62" t="s">
        <v>46</v>
      </c>
      <c r="G214" s="63" t="s">
        <v>46</v>
      </c>
      <c r="H214" s="64"/>
      <c r="I214" s="64" t="s">
        <v>47</v>
      </c>
      <c r="J214" s="65">
        <v>10</v>
      </c>
      <c r="K214" s="66">
        <v>1021.5</v>
      </c>
      <c r="L214" s="67" t="s">
        <v>853</v>
      </c>
      <c r="M214" s="66">
        <v>1029.5</v>
      </c>
      <c r="N214" s="67" t="s">
        <v>77</v>
      </c>
      <c r="O214" s="66">
        <v>1010</v>
      </c>
      <c r="P214" s="67" t="s">
        <v>873</v>
      </c>
      <c r="Q214" s="66">
        <v>1011</v>
      </c>
      <c r="R214" s="67" t="s">
        <v>873</v>
      </c>
      <c r="S214" s="68">
        <v>1021.18</v>
      </c>
      <c r="T214" s="65">
        <v>12161420</v>
      </c>
      <c r="U214" s="65">
        <v>6940700</v>
      </c>
      <c r="V214" s="65">
        <v>12376577762</v>
      </c>
      <c r="W214" s="65">
        <v>7055920047</v>
      </c>
      <c r="X214" s="69">
        <v>22</v>
      </c>
    </row>
    <row r="215" spans="1:24">
      <c r="A215" s="60" t="s">
        <v>958</v>
      </c>
      <c r="B215" s="60" t="s">
        <v>717</v>
      </c>
      <c r="C215" s="60" t="s">
        <v>718</v>
      </c>
      <c r="D215" s="60" t="s">
        <v>719</v>
      </c>
      <c r="E215" s="61" t="s">
        <v>46</v>
      </c>
      <c r="F215" s="62" t="s">
        <v>46</v>
      </c>
      <c r="G215" s="63" t="s">
        <v>46</v>
      </c>
      <c r="H215" s="64"/>
      <c r="I215" s="64" t="s">
        <v>47</v>
      </c>
      <c r="J215" s="65">
        <v>10</v>
      </c>
      <c r="K215" s="66">
        <v>1610</v>
      </c>
      <c r="L215" s="67" t="s">
        <v>853</v>
      </c>
      <c r="M215" s="66">
        <v>1692.5</v>
      </c>
      <c r="N215" s="67" t="s">
        <v>88</v>
      </c>
      <c r="O215" s="66">
        <v>1574.5</v>
      </c>
      <c r="P215" s="67" t="s">
        <v>857</v>
      </c>
      <c r="Q215" s="66">
        <v>1691.5</v>
      </c>
      <c r="R215" s="67" t="s">
        <v>873</v>
      </c>
      <c r="S215" s="68">
        <v>1635.98</v>
      </c>
      <c r="T215" s="65">
        <v>3513840</v>
      </c>
      <c r="U215" s="65">
        <v>1530150</v>
      </c>
      <c r="V215" s="65">
        <v>5739179052</v>
      </c>
      <c r="W215" s="65">
        <v>2513206197</v>
      </c>
      <c r="X215" s="69">
        <v>22</v>
      </c>
    </row>
    <row r="216" spans="1:24">
      <c r="A216" s="60" t="s">
        <v>958</v>
      </c>
      <c r="B216" s="60" t="s">
        <v>720</v>
      </c>
      <c r="C216" s="60" t="s">
        <v>721</v>
      </c>
      <c r="D216" s="60" t="s">
        <v>722</v>
      </c>
      <c r="E216" s="61" t="s">
        <v>46</v>
      </c>
      <c r="F216" s="62" t="s">
        <v>46</v>
      </c>
      <c r="G216" s="63" t="s">
        <v>46</v>
      </c>
      <c r="H216" s="64"/>
      <c r="I216" s="64" t="s">
        <v>47</v>
      </c>
      <c r="J216" s="65">
        <v>10</v>
      </c>
      <c r="K216" s="66">
        <v>1540</v>
      </c>
      <c r="L216" s="67" t="s">
        <v>853</v>
      </c>
      <c r="M216" s="66">
        <v>1605</v>
      </c>
      <c r="N216" s="67" t="s">
        <v>50</v>
      </c>
      <c r="O216" s="66">
        <v>1520</v>
      </c>
      <c r="P216" s="67" t="s">
        <v>857</v>
      </c>
      <c r="Q216" s="66">
        <v>1599</v>
      </c>
      <c r="R216" s="67" t="s">
        <v>873</v>
      </c>
      <c r="S216" s="68">
        <v>1562.36</v>
      </c>
      <c r="T216" s="65">
        <v>2419990</v>
      </c>
      <c r="U216" s="65">
        <v>1609020</v>
      </c>
      <c r="V216" s="65">
        <v>3802026060</v>
      </c>
      <c r="W216" s="65">
        <v>2541740120</v>
      </c>
      <c r="X216" s="69">
        <v>22</v>
      </c>
    </row>
    <row r="217" spans="1:24">
      <c r="A217" s="60" t="s">
        <v>958</v>
      </c>
      <c r="B217" s="60" t="s">
        <v>723</v>
      </c>
      <c r="C217" s="60" t="s">
        <v>724</v>
      </c>
      <c r="D217" s="60" t="s">
        <v>725</v>
      </c>
      <c r="E217" s="61" t="s">
        <v>46</v>
      </c>
      <c r="F217" s="62" t="s">
        <v>46</v>
      </c>
      <c r="G217" s="63" t="s">
        <v>46</v>
      </c>
      <c r="H217" s="64"/>
      <c r="I217" s="64" t="s">
        <v>47</v>
      </c>
      <c r="J217" s="65">
        <v>10</v>
      </c>
      <c r="K217" s="66">
        <v>1239</v>
      </c>
      <c r="L217" s="67" t="s">
        <v>853</v>
      </c>
      <c r="M217" s="66">
        <v>1323</v>
      </c>
      <c r="N217" s="67" t="s">
        <v>88</v>
      </c>
      <c r="O217" s="66">
        <v>1215.5</v>
      </c>
      <c r="P217" s="67" t="s">
        <v>857</v>
      </c>
      <c r="Q217" s="66">
        <v>1320</v>
      </c>
      <c r="R217" s="67" t="s">
        <v>873</v>
      </c>
      <c r="S217" s="68">
        <v>1278.07</v>
      </c>
      <c r="T217" s="65">
        <v>526650</v>
      </c>
      <c r="U217" s="65">
        <v>225630</v>
      </c>
      <c r="V217" s="65">
        <v>669746313</v>
      </c>
      <c r="W217" s="65">
        <v>284298833</v>
      </c>
      <c r="X217" s="69">
        <v>22</v>
      </c>
    </row>
    <row r="218" spans="1:24">
      <c r="A218" s="60" t="s">
        <v>958</v>
      </c>
      <c r="B218" s="60" t="s">
        <v>726</v>
      </c>
      <c r="C218" s="60" t="s">
        <v>727</v>
      </c>
      <c r="D218" s="60" t="s">
        <v>728</v>
      </c>
      <c r="E218" s="61" t="s">
        <v>46</v>
      </c>
      <c r="F218" s="62" t="s">
        <v>46</v>
      </c>
      <c r="G218" s="63" t="s">
        <v>46</v>
      </c>
      <c r="H218" s="64"/>
      <c r="I218" s="64" t="s">
        <v>47</v>
      </c>
      <c r="J218" s="65">
        <v>10</v>
      </c>
      <c r="K218" s="66">
        <v>824.8</v>
      </c>
      <c r="L218" s="67" t="s">
        <v>853</v>
      </c>
      <c r="M218" s="66">
        <v>832</v>
      </c>
      <c r="N218" s="67" t="s">
        <v>96</v>
      </c>
      <c r="O218" s="66">
        <v>730</v>
      </c>
      <c r="P218" s="67" t="s">
        <v>268</v>
      </c>
      <c r="Q218" s="66">
        <v>757</v>
      </c>
      <c r="R218" s="67" t="s">
        <v>873</v>
      </c>
      <c r="S218" s="68">
        <v>781.5</v>
      </c>
      <c r="T218" s="65">
        <v>29910010</v>
      </c>
      <c r="U218" s="65">
        <v>323930</v>
      </c>
      <c r="V218" s="65">
        <v>23211163147</v>
      </c>
      <c r="W218" s="65">
        <v>254392554</v>
      </c>
      <c r="X218" s="69">
        <v>22</v>
      </c>
    </row>
    <row r="219" spans="1:24">
      <c r="A219" s="60" t="s">
        <v>958</v>
      </c>
      <c r="B219" s="60" t="s">
        <v>729</v>
      </c>
      <c r="C219" s="60" t="s">
        <v>730</v>
      </c>
      <c r="D219" s="60" t="s">
        <v>731</v>
      </c>
      <c r="E219" s="61" t="s">
        <v>46</v>
      </c>
      <c r="F219" s="62" t="s">
        <v>46</v>
      </c>
      <c r="G219" s="63" t="s">
        <v>46</v>
      </c>
      <c r="H219" s="64"/>
      <c r="I219" s="64" t="s">
        <v>47</v>
      </c>
      <c r="J219" s="65">
        <v>10</v>
      </c>
      <c r="K219" s="66">
        <v>1171</v>
      </c>
      <c r="L219" s="67" t="s">
        <v>853</v>
      </c>
      <c r="M219" s="66">
        <v>1210</v>
      </c>
      <c r="N219" s="67" t="s">
        <v>873</v>
      </c>
      <c r="O219" s="66">
        <v>1167.5</v>
      </c>
      <c r="P219" s="67" t="s">
        <v>77</v>
      </c>
      <c r="Q219" s="66">
        <v>1206</v>
      </c>
      <c r="R219" s="67" t="s">
        <v>873</v>
      </c>
      <c r="S219" s="68">
        <v>1185.98</v>
      </c>
      <c r="T219" s="65">
        <v>757770</v>
      </c>
      <c r="U219" s="65">
        <v>582000</v>
      </c>
      <c r="V219" s="65">
        <v>894819212</v>
      </c>
      <c r="W219" s="65">
        <v>687506842</v>
      </c>
      <c r="X219" s="69">
        <v>22</v>
      </c>
    </row>
    <row r="220" spans="1:24">
      <c r="A220" s="60" t="s">
        <v>958</v>
      </c>
      <c r="B220" s="60" t="s">
        <v>732</v>
      </c>
      <c r="C220" s="60" t="s">
        <v>733</v>
      </c>
      <c r="D220" s="60" t="s">
        <v>734</v>
      </c>
      <c r="E220" s="61" t="s">
        <v>46</v>
      </c>
      <c r="F220" s="62" t="s">
        <v>46</v>
      </c>
      <c r="G220" s="63" t="s">
        <v>46</v>
      </c>
      <c r="H220" s="64"/>
      <c r="I220" s="64" t="s">
        <v>47</v>
      </c>
      <c r="J220" s="65">
        <v>1</v>
      </c>
      <c r="K220" s="66">
        <v>1122</v>
      </c>
      <c r="L220" s="67" t="s">
        <v>853</v>
      </c>
      <c r="M220" s="66">
        <v>1175</v>
      </c>
      <c r="N220" s="67" t="s">
        <v>49</v>
      </c>
      <c r="O220" s="66">
        <v>1110</v>
      </c>
      <c r="P220" s="67" t="s">
        <v>853</v>
      </c>
      <c r="Q220" s="66">
        <v>1152</v>
      </c>
      <c r="R220" s="67" t="s">
        <v>873</v>
      </c>
      <c r="S220" s="68">
        <v>1145.55</v>
      </c>
      <c r="T220" s="65">
        <v>92979</v>
      </c>
      <c r="U220" s="65">
        <v>1</v>
      </c>
      <c r="V220" s="65">
        <v>105889058</v>
      </c>
      <c r="W220" s="65">
        <v>1155</v>
      </c>
      <c r="X220" s="69">
        <v>22</v>
      </c>
    </row>
    <row r="221" spans="1:24">
      <c r="A221" s="60" t="s">
        <v>958</v>
      </c>
      <c r="B221" s="60" t="s">
        <v>735</v>
      </c>
      <c r="C221" s="60" t="s">
        <v>736</v>
      </c>
      <c r="D221" s="60" t="s">
        <v>737</v>
      </c>
      <c r="E221" s="61" t="s">
        <v>46</v>
      </c>
      <c r="F221" s="62" t="s">
        <v>46</v>
      </c>
      <c r="G221" s="63" t="s">
        <v>46</v>
      </c>
      <c r="H221" s="64"/>
      <c r="I221" s="64" t="s">
        <v>47</v>
      </c>
      <c r="J221" s="65">
        <v>10</v>
      </c>
      <c r="K221" s="66">
        <v>1030.5</v>
      </c>
      <c r="L221" s="67" t="s">
        <v>853</v>
      </c>
      <c r="M221" s="66">
        <v>1099</v>
      </c>
      <c r="N221" s="67" t="s">
        <v>853</v>
      </c>
      <c r="O221" s="66">
        <v>1024</v>
      </c>
      <c r="P221" s="67" t="s">
        <v>853</v>
      </c>
      <c r="Q221" s="66">
        <v>1056</v>
      </c>
      <c r="R221" s="67" t="s">
        <v>873</v>
      </c>
      <c r="S221" s="68">
        <v>1047.02</v>
      </c>
      <c r="T221" s="65">
        <v>231610</v>
      </c>
      <c r="U221" s="65">
        <v>155320</v>
      </c>
      <c r="V221" s="65">
        <v>241930156</v>
      </c>
      <c r="W221" s="65">
        <v>162268251</v>
      </c>
      <c r="X221" s="69">
        <v>22</v>
      </c>
    </row>
    <row r="222" spans="1:24">
      <c r="A222" s="60" t="s">
        <v>958</v>
      </c>
      <c r="B222" s="60" t="s">
        <v>738</v>
      </c>
      <c r="C222" s="60" t="s">
        <v>739</v>
      </c>
      <c r="D222" s="60" t="s">
        <v>740</v>
      </c>
      <c r="E222" s="61" t="s">
        <v>46</v>
      </c>
      <c r="F222" s="62" t="s">
        <v>46</v>
      </c>
      <c r="G222" s="63" t="s">
        <v>46</v>
      </c>
      <c r="H222" s="64"/>
      <c r="I222" s="64" t="s">
        <v>47</v>
      </c>
      <c r="J222" s="65">
        <v>10</v>
      </c>
      <c r="K222" s="66">
        <v>1195.5</v>
      </c>
      <c r="L222" s="67" t="s">
        <v>853</v>
      </c>
      <c r="M222" s="66">
        <v>1232.5</v>
      </c>
      <c r="N222" s="67" t="s">
        <v>859</v>
      </c>
      <c r="O222" s="66">
        <v>1169</v>
      </c>
      <c r="P222" s="67" t="s">
        <v>268</v>
      </c>
      <c r="Q222" s="66">
        <v>1212</v>
      </c>
      <c r="R222" s="67" t="s">
        <v>873</v>
      </c>
      <c r="S222" s="68">
        <v>1205.7</v>
      </c>
      <c r="T222" s="65">
        <v>224180</v>
      </c>
      <c r="U222" s="65">
        <v>88270</v>
      </c>
      <c r="V222" s="65">
        <v>269175858</v>
      </c>
      <c r="W222" s="65">
        <v>105940078</v>
      </c>
      <c r="X222" s="69">
        <v>22</v>
      </c>
    </row>
    <row r="223" spans="1:24">
      <c r="A223" s="60" t="s">
        <v>958</v>
      </c>
      <c r="B223" s="60" t="s">
        <v>741</v>
      </c>
      <c r="C223" s="60" t="s">
        <v>742</v>
      </c>
      <c r="D223" s="60" t="s">
        <v>743</v>
      </c>
      <c r="E223" s="61" t="s">
        <v>46</v>
      </c>
      <c r="F223" s="62" t="s">
        <v>46</v>
      </c>
      <c r="G223" s="63" t="s">
        <v>46</v>
      </c>
      <c r="H223" s="64"/>
      <c r="I223" s="64" t="s">
        <v>47</v>
      </c>
      <c r="J223" s="65">
        <v>10</v>
      </c>
      <c r="K223" s="66">
        <v>1606</v>
      </c>
      <c r="L223" s="67" t="s">
        <v>853</v>
      </c>
      <c r="M223" s="66">
        <v>1681</v>
      </c>
      <c r="N223" s="67" t="s">
        <v>50</v>
      </c>
      <c r="O223" s="66">
        <v>1583</v>
      </c>
      <c r="P223" s="67" t="s">
        <v>857</v>
      </c>
      <c r="Q223" s="66">
        <v>1677.5</v>
      </c>
      <c r="R223" s="67" t="s">
        <v>873</v>
      </c>
      <c r="S223" s="68">
        <v>1635.45</v>
      </c>
      <c r="T223" s="65">
        <v>11264450</v>
      </c>
      <c r="U223" s="65">
        <v>4498370</v>
      </c>
      <c r="V223" s="65">
        <v>18316364044</v>
      </c>
      <c r="W223" s="65">
        <v>7313383404</v>
      </c>
      <c r="X223" s="69">
        <v>22</v>
      </c>
    </row>
    <row r="224" spans="1:24">
      <c r="A224" s="60" t="s">
        <v>958</v>
      </c>
      <c r="B224" s="60" t="s">
        <v>744</v>
      </c>
      <c r="C224" s="60" t="s">
        <v>745</v>
      </c>
      <c r="D224" s="60" t="s">
        <v>746</v>
      </c>
      <c r="E224" s="61" t="s">
        <v>46</v>
      </c>
      <c r="F224" s="62" t="s">
        <v>46</v>
      </c>
      <c r="G224" s="63" t="s">
        <v>46</v>
      </c>
      <c r="H224" s="64"/>
      <c r="I224" s="64" t="s">
        <v>47</v>
      </c>
      <c r="J224" s="65">
        <v>1</v>
      </c>
      <c r="K224" s="66">
        <v>4215</v>
      </c>
      <c r="L224" s="67" t="s">
        <v>853</v>
      </c>
      <c r="M224" s="66">
        <v>4470</v>
      </c>
      <c r="N224" s="67" t="s">
        <v>88</v>
      </c>
      <c r="O224" s="66">
        <v>4110</v>
      </c>
      <c r="P224" s="67" t="s">
        <v>371</v>
      </c>
      <c r="Q224" s="66">
        <v>4425</v>
      </c>
      <c r="R224" s="67" t="s">
        <v>873</v>
      </c>
      <c r="S224" s="68">
        <v>4302.95</v>
      </c>
      <c r="T224" s="65">
        <v>102754</v>
      </c>
      <c r="U224" s="65" t="s">
        <v>955</v>
      </c>
      <c r="V224" s="65">
        <v>440815435</v>
      </c>
      <c r="W224" s="65" t="s">
        <v>955</v>
      </c>
      <c r="X224" s="69">
        <v>22</v>
      </c>
    </row>
    <row r="225" spans="1:24">
      <c r="A225" s="60" t="s">
        <v>958</v>
      </c>
      <c r="B225" s="60" t="s">
        <v>747</v>
      </c>
      <c r="C225" s="60" t="s">
        <v>748</v>
      </c>
      <c r="D225" s="60" t="s">
        <v>749</v>
      </c>
      <c r="E225" s="61" t="s">
        <v>46</v>
      </c>
      <c r="F225" s="62" t="s">
        <v>46</v>
      </c>
      <c r="G225" s="63" t="s">
        <v>46</v>
      </c>
      <c r="H225" s="64"/>
      <c r="I225" s="64" t="s">
        <v>47</v>
      </c>
      <c r="J225" s="65">
        <v>10</v>
      </c>
      <c r="K225" s="66">
        <v>1668.5</v>
      </c>
      <c r="L225" s="67" t="s">
        <v>853</v>
      </c>
      <c r="M225" s="66">
        <v>1720.5</v>
      </c>
      <c r="N225" s="67" t="s">
        <v>88</v>
      </c>
      <c r="O225" s="66">
        <v>1636.5</v>
      </c>
      <c r="P225" s="67" t="s">
        <v>857</v>
      </c>
      <c r="Q225" s="66">
        <v>1703.5</v>
      </c>
      <c r="R225" s="67" t="s">
        <v>873</v>
      </c>
      <c r="S225" s="68">
        <v>1687.11</v>
      </c>
      <c r="T225" s="65">
        <v>7180</v>
      </c>
      <c r="U225" s="65" t="s">
        <v>955</v>
      </c>
      <c r="V225" s="65">
        <v>12059710</v>
      </c>
      <c r="W225" s="65" t="s">
        <v>955</v>
      </c>
      <c r="X225" s="69">
        <v>19</v>
      </c>
    </row>
    <row r="226" spans="1:24">
      <c r="A226" s="60" t="s">
        <v>958</v>
      </c>
      <c r="B226" s="60" t="s">
        <v>750</v>
      </c>
      <c r="C226" s="60" t="s">
        <v>751</v>
      </c>
      <c r="D226" s="60" t="s">
        <v>752</v>
      </c>
      <c r="E226" s="61" t="s">
        <v>46</v>
      </c>
      <c r="F226" s="62" t="s">
        <v>46</v>
      </c>
      <c r="G226" s="63" t="s">
        <v>46</v>
      </c>
      <c r="H226" s="64"/>
      <c r="I226" s="64" t="s">
        <v>47</v>
      </c>
      <c r="J226" s="65">
        <v>10</v>
      </c>
      <c r="K226" s="66">
        <v>1979</v>
      </c>
      <c r="L226" s="67" t="s">
        <v>853</v>
      </c>
      <c r="M226" s="66">
        <v>2056.5</v>
      </c>
      <c r="N226" s="67" t="s">
        <v>854</v>
      </c>
      <c r="O226" s="66">
        <v>1953</v>
      </c>
      <c r="P226" s="67" t="s">
        <v>853</v>
      </c>
      <c r="Q226" s="66">
        <v>2038.5</v>
      </c>
      <c r="R226" s="67" t="s">
        <v>873</v>
      </c>
      <c r="S226" s="68">
        <v>2018.98</v>
      </c>
      <c r="T226" s="65">
        <v>1230800</v>
      </c>
      <c r="U226" s="65">
        <v>125000</v>
      </c>
      <c r="V226" s="65">
        <v>2454793150</v>
      </c>
      <c r="W226" s="65">
        <v>253775000</v>
      </c>
      <c r="X226" s="69">
        <v>22</v>
      </c>
    </row>
    <row r="227" spans="1:24">
      <c r="A227" s="60" t="s">
        <v>958</v>
      </c>
      <c r="B227" s="60" t="s">
        <v>753</v>
      </c>
      <c r="C227" s="60" t="s">
        <v>754</v>
      </c>
      <c r="D227" s="60" t="s">
        <v>755</v>
      </c>
      <c r="E227" s="61" t="s">
        <v>46</v>
      </c>
      <c r="F227" s="62" t="s">
        <v>46</v>
      </c>
      <c r="G227" s="63" t="s">
        <v>46</v>
      </c>
      <c r="H227" s="64"/>
      <c r="I227" s="64" t="s">
        <v>47</v>
      </c>
      <c r="J227" s="65">
        <v>1</v>
      </c>
      <c r="K227" s="66">
        <v>28325</v>
      </c>
      <c r="L227" s="67" t="s">
        <v>853</v>
      </c>
      <c r="M227" s="66">
        <v>29485</v>
      </c>
      <c r="N227" s="67" t="s">
        <v>854</v>
      </c>
      <c r="O227" s="66">
        <v>27970</v>
      </c>
      <c r="P227" s="67" t="s">
        <v>853</v>
      </c>
      <c r="Q227" s="66">
        <v>29300</v>
      </c>
      <c r="R227" s="67" t="s">
        <v>873</v>
      </c>
      <c r="S227" s="68">
        <v>28887.73</v>
      </c>
      <c r="T227" s="65">
        <v>81676</v>
      </c>
      <c r="U227" s="65" t="s">
        <v>955</v>
      </c>
      <c r="V227" s="65">
        <v>2309443930</v>
      </c>
      <c r="W227" s="65" t="s">
        <v>955</v>
      </c>
      <c r="X227" s="69">
        <v>22</v>
      </c>
    </row>
    <row r="228" spans="1:24">
      <c r="A228" s="60" t="s">
        <v>958</v>
      </c>
      <c r="B228" s="60" t="s">
        <v>756</v>
      </c>
      <c r="C228" s="60" t="s">
        <v>757</v>
      </c>
      <c r="D228" s="60" t="s">
        <v>758</v>
      </c>
      <c r="E228" s="61" t="s">
        <v>46</v>
      </c>
      <c r="F228" s="62" t="s">
        <v>46</v>
      </c>
      <c r="G228" s="63" t="s">
        <v>46</v>
      </c>
      <c r="H228" s="64"/>
      <c r="I228" s="64" t="s">
        <v>47</v>
      </c>
      <c r="J228" s="65">
        <v>1</v>
      </c>
      <c r="K228" s="66">
        <v>17680</v>
      </c>
      <c r="L228" s="67" t="s">
        <v>853</v>
      </c>
      <c r="M228" s="66">
        <v>18485</v>
      </c>
      <c r="N228" s="67" t="s">
        <v>854</v>
      </c>
      <c r="O228" s="66">
        <v>17680</v>
      </c>
      <c r="P228" s="67" t="s">
        <v>853</v>
      </c>
      <c r="Q228" s="66">
        <v>18305</v>
      </c>
      <c r="R228" s="67" t="s">
        <v>873</v>
      </c>
      <c r="S228" s="68">
        <v>18118.439999999999</v>
      </c>
      <c r="T228" s="65">
        <v>287497</v>
      </c>
      <c r="U228" s="65">
        <v>239200</v>
      </c>
      <c r="V228" s="65">
        <v>5207491960</v>
      </c>
      <c r="W228" s="65">
        <v>4347935440</v>
      </c>
      <c r="X228" s="69">
        <v>16</v>
      </c>
    </row>
    <row r="229" spans="1:24">
      <c r="A229" s="60" t="s">
        <v>958</v>
      </c>
      <c r="B229" s="60" t="s">
        <v>759</v>
      </c>
      <c r="C229" s="60" t="s">
        <v>760</v>
      </c>
      <c r="D229" s="60" t="s">
        <v>761</v>
      </c>
      <c r="E229" s="61" t="s">
        <v>46</v>
      </c>
      <c r="F229" s="62" t="s">
        <v>46</v>
      </c>
      <c r="G229" s="63" t="s">
        <v>46</v>
      </c>
      <c r="H229" s="64"/>
      <c r="I229" s="64" t="s">
        <v>47</v>
      </c>
      <c r="J229" s="65">
        <v>10</v>
      </c>
      <c r="K229" s="66">
        <v>1201.5</v>
      </c>
      <c r="L229" s="67" t="s">
        <v>853</v>
      </c>
      <c r="M229" s="66">
        <v>1224.5</v>
      </c>
      <c r="N229" s="67" t="s">
        <v>873</v>
      </c>
      <c r="O229" s="66">
        <v>1183.5</v>
      </c>
      <c r="P229" s="67" t="s">
        <v>77</v>
      </c>
      <c r="Q229" s="66">
        <v>1224.5</v>
      </c>
      <c r="R229" s="67" t="s">
        <v>873</v>
      </c>
      <c r="S229" s="68">
        <v>1203</v>
      </c>
      <c r="T229" s="65">
        <v>655780</v>
      </c>
      <c r="U229" s="65">
        <v>152090</v>
      </c>
      <c r="V229" s="65">
        <v>787869940</v>
      </c>
      <c r="W229" s="65">
        <v>182787510</v>
      </c>
      <c r="X229" s="69">
        <v>21</v>
      </c>
    </row>
    <row r="230" spans="1:24">
      <c r="A230" s="60" t="s">
        <v>958</v>
      </c>
      <c r="B230" s="60" t="s">
        <v>762</v>
      </c>
      <c r="C230" s="60" t="s">
        <v>763</v>
      </c>
      <c r="D230" s="60" t="s">
        <v>764</v>
      </c>
      <c r="E230" s="61" t="s">
        <v>46</v>
      </c>
      <c r="F230" s="62" t="s">
        <v>46</v>
      </c>
      <c r="G230" s="63" t="s">
        <v>46</v>
      </c>
      <c r="H230" s="64"/>
      <c r="I230" s="64" t="s">
        <v>47</v>
      </c>
      <c r="J230" s="65">
        <v>10</v>
      </c>
      <c r="K230" s="66">
        <v>1182</v>
      </c>
      <c r="L230" s="67" t="s">
        <v>853</v>
      </c>
      <c r="M230" s="66">
        <v>1208.5</v>
      </c>
      <c r="N230" s="67" t="s">
        <v>172</v>
      </c>
      <c r="O230" s="66">
        <v>1173</v>
      </c>
      <c r="P230" s="67" t="s">
        <v>371</v>
      </c>
      <c r="Q230" s="66">
        <v>1203.5</v>
      </c>
      <c r="R230" s="67" t="s">
        <v>873</v>
      </c>
      <c r="S230" s="68">
        <v>1186.05</v>
      </c>
      <c r="T230" s="65">
        <v>10570</v>
      </c>
      <c r="U230" s="65" t="s">
        <v>955</v>
      </c>
      <c r="V230" s="65">
        <v>12534590</v>
      </c>
      <c r="W230" s="65" t="s">
        <v>955</v>
      </c>
      <c r="X230" s="69">
        <v>22</v>
      </c>
    </row>
    <row r="231" spans="1:24">
      <c r="A231" s="60" t="s">
        <v>958</v>
      </c>
      <c r="B231" s="60" t="s">
        <v>765</v>
      </c>
      <c r="C231" s="60" t="s">
        <v>766</v>
      </c>
      <c r="D231" s="60" t="s">
        <v>767</v>
      </c>
      <c r="E231" s="61" t="s">
        <v>46</v>
      </c>
      <c r="F231" s="62" t="s">
        <v>46</v>
      </c>
      <c r="G231" s="63" t="s">
        <v>46</v>
      </c>
      <c r="H231" s="64"/>
      <c r="I231" s="64" t="s">
        <v>47</v>
      </c>
      <c r="J231" s="65">
        <v>1</v>
      </c>
      <c r="K231" s="66">
        <v>1081</v>
      </c>
      <c r="L231" s="67" t="s">
        <v>853</v>
      </c>
      <c r="M231" s="66">
        <v>1140</v>
      </c>
      <c r="N231" s="67" t="s">
        <v>873</v>
      </c>
      <c r="O231" s="66">
        <v>1076</v>
      </c>
      <c r="P231" s="67" t="s">
        <v>853</v>
      </c>
      <c r="Q231" s="66">
        <v>1122</v>
      </c>
      <c r="R231" s="67" t="s">
        <v>873</v>
      </c>
      <c r="S231" s="68">
        <v>1107.95</v>
      </c>
      <c r="T231" s="65">
        <v>63712</v>
      </c>
      <c r="U231" s="65">
        <v>14</v>
      </c>
      <c r="V231" s="65">
        <v>69824288</v>
      </c>
      <c r="W231" s="65">
        <v>14304</v>
      </c>
      <c r="X231" s="69">
        <v>22</v>
      </c>
    </row>
    <row r="232" spans="1:24">
      <c r="A232" s="60" t="s">
        <v>958</v>
      </c>
      <c r="B232" s="60" t="s">
        <v>768</v>
      </c>
      <c r="C232" s="60" t="s">
        <v>769</v>
      </c>
      <c r="D232" s="60" t="s">
        <v>770</v>
      </c>
      <c r="E232" s="61" t="s">
        <v>46</v>
      </c>
      <c r="F232" s="62" t="s">
        <v>46</v>
      </c>
      <c r="G232" s="63" t="s">
        <v>46</v>
      </c>
      <c r="H232" s="64"/>
      <c r="I232" s="64" t="s">
        <v>47</v>
      </c>
      <c r="J232" s="65">
        <v>1</v>
      </c>
      <c r="K232" s="66">
        <v>13885</v>
      </c>
      <c r="L232" s="67" t="s">
        <v>853</v>
      </c>
      <c r="M232" s="66">
        <v>14500</v>
      </c>
      <c r="N232" s="67" t="s">
        <v>854</v>
      </c>
      <c r="O232" s="66">
        <v>13505</v>
      </c>
      <c r="P232" s="67" t="s">
        <v>853</v>
      </c>
      <c r="Q232" s="66">
        <v>14390</v>
      </c>
      <c r="R232" s="67" t="s">
        <v>873</v>
      </c>
      <c r="S232" s="68">
        <v>14167.05</v>
      </c>
      <c r="T232" s="65">
        <v>1303</v>
      </c>
      <c r="U232" s="65" t="s">
        <v>955</v>
      </c>
      <c r="V232" s="65">
        <v>18444060</v>
      </c>
      <c r="W232" s="65" t="s">
        <v>955</v>
      </c>
      <c r="X232" s="69">
        <v>22</v>
      </c>
    </row>
    <row r="233" spans="1:24">
      <c r="A233" s="60" t="s">
        <v>958</v>
      </c>
      <c r="B233" s="60" t="s">
        <v>771</v>
      </c>
      <c r="C233" s="60" t="s">
        <v>772</v>
      </c>
      <c r="D233" s="60" t="s">
        <v>773</v>
      </c>
      <c r="E233" s="61" t="s">
        <v>46</v>
      </c>
      <c r="F233" s="62" t="s">
        <v>46</v>
      </c>
      <c r="G233" s="63" t="s">
        <v>46</v>
      </c>
      <c r="H233" s="64"/>
      <c r="I233" s="64" t="s">
        <v>47</v>
      </c>
      <c r="J233" s="65">
        <v>1</v>
      </c>
      <c r="K233" s="66">
        <v>2163</v>
      </c>
      <c r="L233" s="67" t="s">
        <v>853</v>
      </c>
      <c r="M233" s="66">
        <v>2216</v>
      </c>
      <c r="N233" s="67" t="s">
        <v>873</v>
      </c>
      <c r="O233" s="66">
        <v>2142</v>
      </c>
      <c r="P233" s="67" t="s">
        <v>172</v>
      </c>
      <c r="Q233" s="66">
        <v>2213</v>
      </c>
      <c r="R233" s="67" t="s">
        <v>873</v>
      </c>
      <c r="S233" s="68">
        <v>2181.73</v>
      </c>
      <c r="T233" s="65">
        <v>12814</v>
      </c>
      <c r="U233" s="65" t="s">
        <v>955</v>
      </c>
      <c r="V233" s="65">
        <v>27979606</v>
      </c>
      <c r="W233" s="65" t="s">
        <v>955</v>
      </c>
      <c r="X233" s="69">
        <v>22</v>
      </c>
    </row>
    <row r="234" spans="1:24">
      <c r="A234" s="60" t="s">
        <v>958</v>
      </c>
      <c r="B234" s="60" t="s">
        <v>774</v>
      </c>
      <c r="C234" s="60" t="s">
        <v>775</v>
      </c>
      <c r="D234" s="60" t="s">
        <v>776</v>
      </c>
      <c r="E234" s="61" t="s">
        <v>46</v>
      </c>
      <c r="F234" s="62" t="s">
        <v>46</v>
      </c>
      <c r="G234" s="63" t="s">
        <v>46</v>
      </c>
      <c r="H234" s="64"/>
      <c r="I234" s="64" t="s">
        <v>47</v>
      </c>
      <c r="J234" s="65">
        <v>10</v>
      </c>
      <c r="K234" s="66">
        <v>1756.5</v>
      </c>
      <c r="L234" s="67" t="s">
        <v>853</v>
      </c>
      <c r="M234" s="66">
        <v>1764</v>
      </c>
      <c r="N234" s="67" t="s">
        <v>96</v>
      </c>
      <c r="O234" s="66">
        <v>1624.5</v>
      </c>
      <c r="P234" s="67" t="s">
        <v>77</v>
      </c>
      <c r="Q234" s="66">
        <v>1705</v>
      </c>
      <c r="R234" s="67" t="s">
        <v>873</v>
      </c>
      <c r="S234" s="68">
        <v>1735.83</v>
      </c>
      <c r="T234" s="65">
        <v>1750</v>
      </c>
      <c r="U234" s="65" t="s">
        <v>955</v>
      </c>
      <c r="V234" s="65">
        <v>3005980</v>
      </c>
      <c r="W234" s="65" t="s">
        <v>955</v>
      </c>
      <c r="X234" s="69">
        <v>15</v>
      </c>
    </row>
    <row r="235" spans="1:24">
      <c r="A235" s="60" t="s">
        <v>958</v>
      </c>
      <c r="B235" s="60" t="s">
        <v>777</v>
      </c>
      <c r="C235" s="60" t="s">
        <v>932</v>
      </c>
      <c r="D235" s="60" t="s">
        <v>933</v>
      </c>
      <c r="E235" s="61" t="s">
        <v>46</v>
      </c>
      <c r="F235" s="62" t="s">
        <v>46</v>
      </c>
      <c r="G235" s="63" t="s">
        <v>46</v>
      </c>
      <c r="H235" s="64"/>
      <c r="I235" s="64" t="s">
        <v>47</v>
      </c>
      <c r="J235" s="65">
        <v>10</v>
      </c>
      <c r="K235" s="66">
        <v>994.8</v>
      </c>
      <c r="L235" s="67" t="s">
        <v>853</v>
      </c>
      <c r="M235" s="66">
        <v>1001</v>
      </c>
      <c r="N235" s="67" t="s">
        <v>857</v>
      </c>
      <c r="O235" s="66">
        <v>986.6</v>
      </c>
      <c r="P235" s="67" t="s">
        <v>859</v>
      </c>
      <c r="Q235" s="66">
        <v>990.4</v>
      </c>
      <c r="R235" s="67" t="s">
        <v>873</v>
      </c>
      <c r="S235" s="68">
        <v>991.17</v>
      </c>
      <c r="T235" s="65">
        <v>1174940</v>
      </c>
      <c r="U235" s="65">
        <v>895620</v>
      </c>
      <c r="V235" s="65">
        <v>1165230042</v>
      </c>
      <c r="W235" s="65">
        <v>888207135</v>
      </c>
      <c r="X235" s="69">
        <v>22</v>
      </c>
    </row>
    <row r="236" spans="1:24">
      <c r="A236" s="60" t="s">
        <v>958</v>
      </c>
      <c r="B236" s="60" t="s">
        <v>780</v>
      </c>
      <c r="C236" s="60" t="s">
        <v>781</v>
      </c>
      <c r="D236" s="60" t="s">
        <v>782</v>
      </c>
      <c r="E236" s="61" t="s">
        <v>46</v>
      </c>
      <c r="F236" s="62" t="s">
        <v>46</v>
      </c>
      <c r="G236" s="63" t="s">
        <v>46</v>
      </c>
      <c r="H236" s="64"/>
      <c r="I236" s="64" t="s">
        <v>47</v>
      </c>
      <c r="J236" s="65">
        <v>10</v>
      </c>
      <c r="K236" s="66">
        <v>2064.5</v>
      </c>
      <c r="L236" s="67" t="s">
        <v>853</v>
      </c>
      <c r="M236" s="66">
        <v>2125</v>
      </c>
      <c r="N236" s="67" t="s">
        <v>873</v>
      </c>
      <c r="O236" s="66">
        <v>2053</v>
      </c>
      <c r="P236" s="67" t="s">
        <v>77</v>
      </c>
      <c r="Q236" s="66">
        <v>2115</v>
      </c>
      <c r="R236" s="67" t="s">
        <v>873</v>
      </c>
      <c r="S236" s="68">
        <v>2086.48</v>
      </c>
      <c r="T236" s="65">
        <v>12670</v>
      </c>
      <c r="U236" s="65" t="s">
        <v>955</v>
      </c>
      <c r="V236" s="65">
        <v>26483315</v>
      </c>
      <c r="W236" s="65" t="s">
        <v>955</v>
      </c>
      <c r="X236" s="69">
        <v>22</v>
      </c>
    </row>
    <row r="237" spans="1:24">
      <c r="A237" s="60" t="s">
        <v>958</v>
      </c>
      <c r="B237" s="60" t="s">
        <v>783</v>
      </c>
      <c r="C237" s="60" t="s">
        <v>784</v>
      </c>
      <c r="D237" s="60" t="s">
        <v>785</v>
      </c>
      <c r="E237" s="61" t="s">
        <v>46</v>
      </c>
      <c r="F237" s="62" t="s">
        <v>46</v>
      </c>
      <c r="G237" s="63" t="s">
        <v>46</v>
      </c>
      <c r="H237" s="64"/>
      <c r="I237" s="64" t="s">
        <v>47</v>
      </c>
      <c r="J237" s="65">
        <v>10</v>
      </c>
      <c r="K237" s="66">
        <v>2055</v>
      </c>
      <c r="L237" s="67" t="s">
        <v>853</v>
      </c>
      <c r="M237" s="66">
        <v>2121</v>
      </c>
      <c r="N237" s="67" t="s">
        <v>873</v>
      </c>
      <c r="O237" s="66">
        <v>2047</v>
      </c>
      <c r="P237" s="67" t="s">
        <v>857</v>
      </c>
      <c r="Q237" s="66">
        <v>2114.5</v>
      </c>
      <c r="R237" s="67" t="s">
        <v>873</v>
      </c>
      <c r="S237" s="68">
        <v>2082.36</v>
      </c>
      <c r="T237" s="65">
        <v>669450</v>
      </c>
      <c r="U237" s="65">
        <v>325000</v>
      </c>
      <c r="V237" s="65">
        <v>1395542285</v>
      </c>
      <c r="W237" s="65">
        <v>677368850</v>
      </c>
      <c r="X237" s="69">
        <v>22</v>
      </c>
    </row>
    <row r="238" spans="1:24">
      <c r="A238" s="60" t="s">
        <v>958</v>
      </c>
      <c r="B238" s="60" t="s">
        <v>786</v>
      </c>
      <c r="C238" s="60" t="s">
        <v>787</v>
      </c>
      <c r="D238" s="60" t="s">
        <v>788</v>
      </c>
      <c r="E238" s="61" t="s">
        <v>46</v>
      </c>
      <c r="F238" s="62" t="s">
        <v>46</v>
      </c>
      <c r="G238" s="63" t="s">
        <v>46</v>
      </c>
      <c r="H238" s="64"/>
      <c r="I238" s="64" t="s">
        <v>47</v>
      </c>
      <c r="J238" s="65">
        <v>10</v>
      </c>
      <c r="K238" s="66">
        <v>1940</v>
      </c>
      <c r="L238" s="67" t="s">
        <v>853</v>
      </c>
      <c r="M238" s="66">
        <v>2024</v>
      </c>
      <c r="N238" s="67" t="s">
        <v>854</v>
      </c>
      <c r="O238" s="66">
        <v>1935</v>
      </c>
      <c r="P238" s="67" t="s">
        <v>857</v>
      </c>
      <c r="Q238" s="66">
        <v>2007</v>
      </c>
      <c r="R238" s="67" t="s">
        <v>88</v>
      </c>
      <c r="S238" s="68">
        <v>1988.67</v>
      </c>
      <c r="T238" s="65">
        <v>35310</v>
      </c>
      <c r="U238" s="65" t="s">
        <v>955</v>
      </c>
      <c r="V238" s="65">
        <v>69390290</v>
      </c>
      <c r="W238" s="65" t="s">
        <v>955</v>
      </c>
      <c r="X238" s="69">
        <v>9</v>
      </c>
    </row>
    <row r="239" spans="1:24">
      <c r="A239" s="60" t="s">
        <v>958</v>
      </c>
      <c r="B239" s="60" t="s">
        <v>789</v>
      </c>
      <c r="C239" s="60" t="s">
        <v>790</v>
      </c>
      <c r="D239" s="60" t="s">
        <v>791</v>
      </c>
      <c r="E239" s="61" t="s">
        <v>46</v>
      </c>
      <c r="F239" s="62" t="s">
        <v>46</v>
      </c>
      <c r="G239" s="63" t="s">
        <v>46</v>
      </c>
      <c r="H239" s="64"/>
      <c r="I239" s="64" t="s">
        <v>47</v>
      </c>
      <c r="J239" s="65">
        <v>1</v>
      </c>
      <c r="K239" s="66">
        <v>14935</v>
      </c>
      <c r="L239" s="67" t="s">
        <v>853</v>
      </c>
      <c r="M239" s="66">
        <v>15800</v>
      </c>
      <c r="N239" s="67" t="s">
        <v>873</v>
      </c>
      <c r="O239" s="66">
        <v>14705</v>
      </c>
      <c r="P239" s="67" t="s">
        <v>857</v>
      </c>
      <c r="Q239" s="66">
        <v>15795</v>
      </c>
      <c r="R239" s="67" t="s">
        <v>873</v>
      </c>
      <c r="S239" s="68">
        <v>15262.5</v>
      </c>
      <c r="T239" s="65">
        <v>1292080</v>
      </c>
      <c r="U239" s="65">
        <v>400002</v>
      </c>
      <c r="V239" s="65">
        <v>19787173210</v>
      </c>
      <c r="W239" s="65">
        <v>6182667160</v>
      </c>
      <c r="X239" s="69">
        <v>22</v>
      </c>
    </row>
    <row r="240" spans="1:24">
      <c r="A240" s="60" t="s">
        <v>958</v>
      </c>
      <c r="B240" s="60" t="s">
        <v>792</v>
      </c>
      <c r="C240" s="60" t="s">
        <v>793</v>
      </c>
      <c r="D240" s="60" t="s">
        <v>794</v>
      </c>
      <c r="E240" s="61" t="s">
        <v>46</v>
      </c>
      <c r="F240" s="62" t="s">
        <v>46</v>
      </c>
      <c r="G240" s="63" t="s">
        <v>46</v>
      </c>
      <c r="H240" s="64"/>
      <c r="I240" s="64" t="s">
        <v>47</v>
      </c>
      <c r="J240" s="65">
        <v>1</v>
      </c>
      <c r="K240" s="66">
        <v>13650</v>
      </c>
      <c r="L240" s="67" t="s">
        <v>853</v>
      </c>
      <c r="M240" s="66">
        <v>14270</v>
      </c>
      <c r="N240" s="67" t="s">
        <v>88</v>
      </c>
      <c r="O240" s="66">
        <v>13500</v>
      </c>
      <c r="P240" s="67" t="s">
        <v>857</v>
      </c>
      <c r="Q240" s="66">
        <v>14245</v>
      </c>
      <c r="R240" s="67" t="s">
        <v>873</v>
      </c>
      <c r="S240" s="68">
        <v>13910.91</v>
      </c>
      <c r="T240" s="65">
        <v>217263</v>
      </c>
      <c r="U240" s="65">
        <v>3</v>
      </c>
      <c r="V240" s="65">
        <v>3006098020</v>
      </c>
      <c r="W240" s="65">
        <v>41915</v>
      </c>
      <c r="X240" s="69">
        <v>22</v>
      </c>
    </row>
    <row r="241" spans="1:24">
      <c r="A241" s="60" t="s">
        <v>958</v>
      </c>
      <c r="B241" s="60" t="s">
        <v>795</v>
      </c>
      <c r="C241" s="60" t="s">
        <v>796</v>
      </c>
      <c r="D241" s="60" t="s">
        <v>797</v>
      </c>
      <c r="E241" s="61" t="s">
        <v>46</v>
      </c>
      <c r="F241" s="62" t="s">
        <v>46</v>
      </c>
      <c r="G241" s="63" t="s">
        <v>46</v>
      </c>
      <c r="H241" s="64"/>
      <c r="I241" s="64" t="s">
        <v>47</v>
      </c>
      <c r="J241" s="65">
        <v>1</v>
      </c>
      <c r="K241" s="66">
        <v>25845</v>
      </c>
      <c r="L241" s="67" t="s">
        <v>853</v>
      </c>
      <c r="M241" s="66">
        <v>26740</v>
      </c>
      <c r="N241" s="67" t="s">
        <v>855</v>
      </c>
      <c r="O241" s="66">
        <v>25755</v>
      </c>
      <c r="P241" s="67" t="s">
        <v>857</v>
      </c>
      <c r="Q241" s="66">
        <v>26690</v>
      </c>
      <c r="R241" s="67" t="s">
        <v>873</v>
      </c>
      <c r="S241" s="68">
        <v>26297.919999999998</v>
      </c>
      <c r="T241" s="65">
        <v>78</v>
      </c>
      <c r="U241" s="65" t="s">
        <v>955</v>
      </c>
      <c r="V241" s="65">
        <v>2044135</v>
      </c>
      <c r="W241" s="65" t="s">
        <v>955</v>
      </c>
      <c r="X241" s="69">
        <v>12</v>
      </c>
    </row>
    <row r="242" spans="1:24">
      <c r="A242" s="60" t="s">
        <v>958</v>
      </c>
      <c r="B242" s="60" t="s">
        <v>798</v>
      </c>
      <c r="C242" s="60" t="s">
        <v>799</v>
      </c>
      <c r="D242" s="60" t="s">
        <v>800</v>
      </c>
      <c r="E242" s="61" t="s">
        <v>46</v>
      </c>
      <c r="F242" s="62" t="s">
        <v>46</v>
      </c>
      <c r="G242" s="63" t="s">
        <v>46</v>
      </c>
      <c r="H242" s="64"/>
      <c r="I242" s="64" t="s">
        <v>47</v>
      </c>
      <c r="J242" s="65">
        <v>1</v>
      </c>
      <c r="K242" s="66">
        <v>2710</v>
      </c>
      <c r="L242" s="67" t="s">
        <v>853</v>
      </c>
      <c r="M242" s="66">
        <v>2717</v>
      </c>
      <c r="N242" s="67" t="s">
        <v>854</v>
      </c>
      <c r="O242" s="66">
        <v>2702</v>
      </c>
      <c r="P242" s="67" t="s">
        <v>873</v>
      </c>
      <c r="Q242" s="66">
        <v>2702</v>
      </c>
      <c r="R242" s="67" t="s">
        <v>873</v>
      </c>
      <c r="S242" s="68">
        <v>2710.41</v>
      </c>
      <c r="T242" s="65">
        <v>2096609</v>
      </c>
      <c r="U242" s="65">
        <v>1426769</v>
      </c>
      <c r="V242" s="65">
        <v>5682307748</v>
      </c>
      <c r="W242" s="65">
        <v>3866491073</v>
      </c>
      <c r="X242" s="69">
        <v>22</v>
      </c>
    </row>
    <row r="243" spans="1:24">
      <c r="A243" s="60" t="s">
        <v>958</v>
      </c>
      <c r="B243" s="60" t="s">
        <v>801</v>
      </c>
      <c r="C243" s="60" t="s">
        <v>802</v>
      </c>
      <c r="D243" s="60" t="s">
        <v>803</v>
      </c>
      <c r="E243" s="61" t="s">
        <v>46</v>
      </c>
      <c r="F243" s="62" t="s">
        <v>46</v>
      </c>
      <c r="G243" s="63" t="s">
        <v>46</v>
      </c>
      <c r="H243" s="64"/>
      <c r="I243" s="64" t="s">
        <v>47</v>
      </c>
      <c r="J243" s="65">
        <v>10</v>
      </c>
      <c r="K243" s="66">
        <v>2987.5</v>
      </c>
      <c r="L243" s="67" t="s">
        <v>853</v>
      </c>
      <c r="M243" s="66">
        <v>3169</v>
      </c>
      <c r="N243" s="67" t="s">
        <v>873</v>
      </c>
      <c r="O243" s="66">
        <v>2955.5</v>
      </c>
      <c r="P243" s="67" t="s">
        <v>857</v>
      </c>
      <c r="Q243" s="66">
        <v>3164</v>
      </c>
      <c r="R243" s="67" t="s">
        <v>873</v>
      </c>
      <c r="S243" s="68">
        <v>3084.16</v>
      </c>
      <c r="T243" s="65">
        <v>4845610</v>
      </c>
      <c r="U243" s="65">
        <v>2575700</v>
      </c>
      <c r="V243" s="65">
        <v>14992570349</v>
      </c>
      <c r="W243" s="65">
        <v>8012135544</v>
      </c>
      <c r="X243" s="69">
        <v>22</v>
      </c>
    </row>
    <row r="244" spans="1:24">
      <c r="A244" s="60" t="s">
        <v>958</v>
      </c>
      <c r="B244" s="60" t="s">
        <v>804</v>
      </c>
      <c r="C244" s="60" t="s">
        <v>805</v>
      </c>
      <c r="D244" s="60" t="s">
        <v>806</v>
      </c>
      <c r="E244" s="61" t="s">
        <v>46</v>
      </c>
      <c r="F244" s="62" t="s">
        <v>46</v>
      </c>
      <c r="G244" s="63" t="s">
        <v>46</v>
      </c>
      <c r="H244" s="64"/>
      <c r="I244" s="64" t="s">
        <v>47</v>
      </c>
      <c r="J244" s="65">
        <v>1</v>
      </c>
      <c r="K244" s="66">
        <v>2987</v>
      </c>
      <c r="L244" s="67" t="s">
        <v>853</v>
      </c>
      <c r="M244" s="66">
        <v>3130</v>
      </c>
      <c r="N244" s="67" t="s">
        <v>50</v>
      </c>
      <c r="O244" s="66">
        <v>2945</v>
      </c>
      <c r="P244" s="67" t="s">
        <v>857</v>
      </c>
      <c r="Q244" s="66">
        <v>3120</v>
      </c>
      <c r="R244" s="67" t="s">
        <v>873</v>
      </c>
      <c r="S244" s="68">
        <v>3042.23</v>
      </c>
      <c r="T244" s="65">
        <v>4106804</v>
      </c>
      <c r="U244" s="65">
        <v>724001</v>
      </c>
      <c r="V244" s="65">
        <v>12383199930</v>
      </c>
      <c r="W244" s="65">
        <v>2181201300</v>
      </c>
      <c r="X244" s="69">
        <v>22</v>
      </c>
    </row>
    <row r="245" spans="1:24">
      <c r="A245" s="60" t="s">
        <v>958</v>
      </c>
      <c r="B245" s="60" t="s">
        <v>807</v>
      </c>
      <c r="C245" s="60" t="s">
        <v>808</v>
      </c>
      <c r="D245" s="60" t="s">
        <v>809</v>
      </c>
      <c r="E245" s="61" t="s">
        <v>46</v>
      </c>
      <c r="F245" s="62" t="s">
        <v>46</v>
      </c>
      <c r="G245" s="63" t="s">
        <v>46</v>
      </c>
      <c r="H245" s="64"/>
      <c r="I245" s="64" t="s">
        <v>47</v>
      </c>
      <c r="J245" s="65">
        <v>1</v>
      </c>
      <c r="K245" s="66">
        <v>1799</v>
      </c>
      <c r="L245" s="67" t="s">
        <v>853</v>
      </c>
      <c r="M245" s="66">
        <v>1956</v>
      </c>
      <c r="N245" s="67" t="s">
        <v>873</v>
      </c>
      <c r="O245" s="66">
        <v>1798</v>
      </c>
      <c r="P245" s="67" t="s">
        <v>853</v>
      </c>
      <c r="Q245" s="66">
        <v>1880</v>
      </c>
      <c r="R245" s="67" t="s">
        <v>873</v>
      </c>
      <c r="S245" s="68">
        <v>1859.64</v>
      </c>
      <c r="T245" s="65">
        <v>333552</v>
      </c>
      <c r="U245" s="65">
        <v>10672</v>
      </c>
      <c r="V245" s="65">
        <v>621303054</v>
      </c>
      <c r="W245" s="65">
        <v>19980118</v>
      </c>
      <c r="X245" s="69">
        <v>22</v>
      </c>
    </row>
    <row r="246" spans="1:24">
      <c r="A246" s="60" t="s">
        <v>958</v>
      </c>
      <c r="B246" s="60" t="s">
        <v>810</v>
      </c>
      <c r="C246" s="60" t="s">
        <v>811</v>
      </c>
      <c r="D246" s="60" t="s">
        <v>812</v>
      </c>
      <c r="E246" s="61" t="s">
        <v>46</v>
      </c>
      <c r="F246" s="62" t="s">
        <v>46</v>
      </c>
      <c r="G246" s="63" t="s">
        <v>46</v>
      </c>
      <c r="H246" s="64"/>
      <c r="I246" s="64" t="s">
        <v>47</v>
      </c>
      <c r="J246" s="65">
        <v>1</v>
      </c>
      <c r="K246" s="66">
        <v>1180</v>
      </c>
      <c r="L246" s="67" t="s">
        <v>853</v>
      </c>
      <c r="M246" s="66">
        <v>1288</v>
      </c>
      <c r="N246" s="67" t="s">
        <v>50</v>
      </c>
      <c r="O246" s="66">
        <v>1180</v>
      </c>
      <c r="P246" s="67" t="s">
        <v>853</v>
      </c>
      <c r="Q246" s="66">
        <v>1274</v>
      </c>
      <c r="R246" s="67" t="s">
        <v>873</v>
      </c>
      <c r="S246" s="68">
        <v>1229.1400000000001</v>
      </c>
      <c r="T246" s="65">
        <v>101603</v>
      </c>
      <c r="U246" s="65" t="s">
        <v>955</v>
      </c>
      <c r="V246" s="65">
        <v>125606482</v>
      </c>
      <c r="W246" s="65" t="s">
        <v>955</v>
      </c>
      <c r="X246" s="69">
        <v>22</v>
      </c>
    </row>
    <row r="247" spans="1:24">
      <c r="A247" s="60" t="s">
        <v>958</v>
      </c>
      <c r="B247" s="60" t="s">
        <v>813</v>
      </c>
      <c r="C247" s="60" t="s">
        <v>814</v>
      </c>
      <c r="D247" s="60" t="s">
        <v>815</v>
      </c>
      <c r="E247" s="61" t="s">
        <v>46</v>
      </c>
      <c r="F247" s="62" t="s">
        <v>46</v>
      </c>
      <c r="G247" s="63" t="s">
        <v>46</v>
      </c>
      <c r="H247" s="64"/>
      <c r="I247" s="64" t="s">
        <v>47</v>
      </c>
      <c r="J247" s="65">
        <v>10</v>
      </c>
      <c r="K247" s="66">
        <v>1138</v>
      </c>
      <c r="L247" s="67" t="s">
        <v>853</v>
      </c>
      <c r="M247" s="66">
        <v>1182</v>
      </c>
      <c r="N247" s="67" t="s">
        <v>856</v>
      </c>
      <c r="O247" s="66">
        <v>1135</v>
      </c>
      <c r="P247" s="67" t="s">
        <v>77</v>
      </c>
      <c r="Q247" s="66">
        <v>1172.5</v>
      </c>
      <c r="R247" s="67" t="s">
        <v>873</v>
      </c>
      <c r="S247" s="68">
        <v>1152.73</v>
      </c>
      <c r="T247" s="65">
        <v>73950</v>
      </c>
      <c r="U247" s="65">
        <v>25000</v>
      </c>
      <c r="V247" s="65">
        <v>85328805</v>
      </c>
      <c r="W247" s="65">
        <v>28982500</v>
      </c>
      <c r="X247" s="69">
        <v>22</v>
      </c>
    </row>
    <row r="248" spans="1:24">
      <c r="A248" s="60" t="s">
        <v>958</v>
      </c>
      <c r="B248" s="60" t="s">
        <v>816</v>
      </c>
      <c r="C248" s="60" t="s">
        <v>817</v>
      </c>
      <c r="D248" s="60" t="s">
        <v>818</v>
      </c>
      <c r="E248" s="61" t="s">
        <v>46</v>
      </c>
      <c r="F248" s="62" t="s">
        <v>46</v>
      </c>
      <c r="G248" s="63" t="s">
        <v>46</v>
      </c>
      <c r="H248" s="64"/>
      <c r="I248" s="64" t="s">
        <v>47</v>
      </c>
      <c r="J248" s="65">
        <v>10</v>
      </c>
      <c r="K248" s="66">
        <v>252</v>
      </c>
      <c r="L248" s="67" t="s">
        <v>853</v>
      </c>
      <c r="M248" s="66">
        <v>260</v>
      </c>
      <c r="N248" s="67" t="s">
        <v>96</v>
      </c>
      <c r="O248" s="66">
        <v>242.6</v>
      </c>
      <c r="P248" s="67" t="s">
        <v>855</v>
      </c>
      <c r="Q248" s="66">
        <v>253</v>
      </c>
      <c r="R248" s="67" t="s">
        <v>873</v>
      </c>
      <c r="S248" s="68">
        <v>251.81</v>
      </c>
      <c r="T248" s="65">
        <v>25750</v>
      </c>
      <c r="U248" s="65" t="s">
        <v>955</v>
      </c>
      <c r="V248" s="65">
        <v>6432238</v>
      </c>
      <c r="W248" s="65" t="s">
        <v>955</v>
      </c>
      <c r="X248" s="69">
        <v>22</v>
      </c>
    </row>
    <row r="249" spans="1:24">
      <c r="A249" s="60" t="s">
        <v>958</v>
      </c>
      <c r="B249" s="60" t="s">
        <v>819</v>
      </c>
      <c r="C249" s="60" t="s">
        <v>820</v>
      </c>
      <c r="D249" s="60" t="s">
        <v>821</v>
      </c>
      <c r="E249" s="61" t="s">
        <v>46</v>
      </c>
      <c r="F249" s="62" t="s">
        <v>46</v>
      </c>
      <c r="G249" s="63" t="s">
        <v>46</v>
      </c>
      <c r="H249" s="64"/>
      <c r="I249" s="64" t="s">
        <v>47</v>
      </c>
      <c r="J249" s="65">
        <v>10</v>
      </c>
      <c r="K249" s="66">
        <v>3164</v>
      </c>
      <c r="L249" s="67" t="s">
        <v>853</v>
      </c>
      <c r="M249" s="66">
        <v>3278</v>
      </c>
      <c r="N249" s="67" t="s">
        <v>88</v>
      </c>
      <c r="O249" s="66">
        <v>3046</v>
      </c>
      <c r="P249" s="67" t="s">
        <v>77</v>
      </c>
      <c r="Q249" s="66">
        <v>3265</v>
      </c>
      <c r="R249" s="67" t="s">
        <v>873</v>
      </c>
      <c r="S249" s="68">
        <v>3167.95</v>
      </c>
      <c r="T249" s="65">
        <v>1658710</v>
      </c>
      <c r="U249" s="65">
        <v>32050</v>
      </c>
      <c r="V249" s="65">
        <v>5225606861</v>
      </c>
      <c r="W249" s="65">
        <v>100095411</v>
      </c>
      <c r="X249" s="69">
        <v>22</v>
      </c>
    </row>
    <row r="250" spans="1:24">
      <c r="A250" s="60" t="s">
        <v>958</v>
      </c>
      <c r="B250" s="60" t="s">
        <v>822</v>
      </c>
      <c r="C250" s="60" t="s">
        <v>823</v>
      </c>
      <c r="D250" s="60" t="s">
        <v>824</v>
      </c>
      <c r="E250" s="61" t="s">
        <v>46</v>
      </c>
      <c r="F250" s="62" t="s">
        <v>46</v>
      </c>
      <c r="G250" s="63" t="s">
        <v>46</v>
      </c>
      <c r="H250" s="64"/>
      <c r="I250" s="64" t="s">
        <v>47</v>
      </c>
      <c r="J250" s="65">
        <v>10</v>
      </c>
      <c r="K250" s="66">
        <v>2919</v>
      </c>
      <c r="L250" s="67" t="s">
        <v>853</v>
      </c>
      <c r="M250" s="66">
        <v>2978</v>
      </c>
      <c r="N250" s="67" t="s">
        <v>88</v>
      </c>
      <c r="O250" s="66">
        <v>2802</v>
      </c>
      <c r="P250" s="67" t="s">
        <v>371</v>
      </c>
      <c r="Q250" s="66">
        <v>2962.5</v>
      </c>
      <c r="R250" s="67" t="s">
        <v>873</v>
      </c>
      <c r="S250" s="68">
        <v>2904.25</v>
      </c>
      <c r="T250" s="65">
        <v>3733800</v>
      </c>
      <c r="U250" s="65">
        <v>304900</v>
      </c>
      <c r="V250" s="65">
        <v>10765428034</v>
      </c>
      <c r="W250" s="65">
        <v>871401874</v>
      </c>
      <c r="X250" s="69">
        <v>22</v>
      </c>
    </row>
    <row r="251" spans="1:24">
      <c r="A251" s="60" t="s">
        <v>958</v>
      </c>
      <c r="B251" s="60" t="s">
        <v>825</v>
      </c>
      <c r="C251" s="60" t="s">
        <v>826</v>
      </c>
      <c r="D251" s="60" t="s">
        <v>827</v>
      </c>
      <c r="E251" s="61" t="s">
        <v>46</v>
      </c>
      <c r="F251" s="62" t="s">
        <v>46</v>
      </c>
      <c r="G251" s="63" t="s">
        <v>46</v>
      </c>
      <c r="H251" s="64"/>
      <c r="I251" s="64" t="s">
        <v>47</v>
      </c>
      <c r="J251" s="65">
        <v>1</v>
      </c>
      <c r="K251" s="66">
        <v>2659</v>
      </c>
      <c r="L251" s="67" t="s">
        <v>853</v>
      </c>
      <c r="M251" s="66">
        <v>2691</v>
      </c>
      <c r="N251" s="67" t="s">
        <v>50</v>
      </c>
      <c r="O251" s="66">
        <v>2635</v>
      </c>
      <c r="P251" s="67" t="s">
        <v>77</v>
      </c>
      <c r="Q251" s="66">
        <v>2682</v>
      </c>
      <c r="R251" s="67" t="s">
        <v>873</v>
      </c>
      <c r="S251" s="68">
        <v>2655.64</v>
      </c>
      <c r="T251" s="65">
        <v>1056615</v>
      </c>
      <c r="U251" s="65">
        <v>649000</v>
      </c>
      <c r="V251" s="65">
        <v>2791653940</v>
      </c>
      <c r="W251" s="65">
        <v>1713491400</v>
      </c>
      <c r="X251" s="69">
        <v>22</v>
      </c>
    </row>
    <row r="252" spans="1:24">
      <c r="A252" s="60" t="s">
        <v>958</v>
      </c>
      <c r="B252" s="60" t="s">
        <v>828</v>
      </c>
      <c r="C252" s="60" t="s">
        <v>829</v>
      </c>
      <c r="D252" s="60" t="s">
        <v>830</v>
      </c>
      <c r="E252" s="61" t="s">
        <v>46</v>
      </c>
      <c r="F252" s="62" t="s">
        <v>46</v>
      </c>
      <c r="G252" s="63" t="s">
        <v>46</v>
      </c>
      <c r="H252" s="64"/>
      <c r="I252" s="64" t="s">
        <v>47</v>
      </c>
      <c r="J252" s="65">
        <v>1</v>
      </c>
      <c r="K252" s="66">
        <v>2310</v>
      </c>
      <c r="L252" s="67" t="s">
        <v>853</v>
      </c>
      <c r="M252" s="66">
        <v>2364</v>
      </c>
      <c r="N252" s="67" t="s">
        <v>77</v>
      </c>
      <c r="O252" s="66">
        <v>2243</v>
      </c>
      <c r="P252" s="67" t="s">
        <v>873</v>
      </c>
      <c r="Q252" s="66">
        <v>2245</v>
      </c>
      <c r="R252" s="67" t="s">
        <v>873</v>
      </c>
      <c r="S252" s="68">
        <v>2298.5500000000002</v>
      </c>
      <c r="T252" s="65">
        <v>1024123</v>
      </c>
      <c r="U252" s="65">
        <v>250000</v>
      </c>
      <c r="V252" s="65">
        <v>2359772386</v>
      </c>
      <c r="W252" s="65">
        <v>581425000</v>
      </c>
      <c r="X252" s="69">
        <v>22</v>
      </c>
    </row>
    <row r="253" spans="1:24">
      <c r="A253" s="60" t="s">
        <v>958</v>
      </c>
      <c r="B253" s="60" t="s">
        <v>831</v>
      </c>
      <c r="C253" s="60" t="s">
        <v>832</v>
      </c>
      <c r="D253" s="60" t="s">
        <v>833</v>
      </c>
      <c r="E253" s="61" t="s">
        <v>46</v>
      </c>
      <c r="F253" s="62" t="s">
        <v>46</v>
      </c>
      <c r="G253" s="63" t="s">
        <v>46</v>
      </c>
      <c r="H253" s="64"/>
      <c r="I253" s="64" t="s">
        <v>47</v>
      </c>
      <c r="J253" s="65">
        <v>1</v>
      </c>
      <c r="K253" s="66">
        <v>2417</v>
      </c>
      <c r="L253" s="67" t="s">
        <v>853</v>
      </c>
      <c r="M253" s="66">
        <v>2468</v>
      </c>
      <c r="N253" s="67" t="s">
        <v>859</v>
      </c>
      <c r="O253" s="66">
        <v>2410</v>
      </c>
      <c r="P253" s="67" t="s">
        <v>853</v>
      </c>
      <c r="Q253" s="66">
        <v>2455</v>
      </c>
      <c r="R253" s="67" t="s">
        <v>873</v>
      </c>
      <c r="S253" s="68">
        <v>2443.59</v>
      </c>
      <c r="T253" s="65">
        <v>35820</v>
      </c>
      <c r="U253" s="65" t="s">
        <v>955</v>
      </c>
      <c r="V253" s="65">
        <v>87558159</v>
      </c>
      <c r="W253" s="65" t="s">
        <v>955</v>
      </c>
      <c r="X253" s="69">
        <v>22</v>
      </c>
    </row>
    <row r="254" spans="1:24">
      <c r="A254" s="60" t="s">
        <v>958</v>
      </c>
      <c r="B254" s="60" t="s">
        <v>834</v>
      </c>
      <c r="C254" s="60" t="s">
        <v>835</v>
      </c>
      <c r="D254" s="60" t="s">
        <v>836</v>
      </c>
      <c r="E254" s="61" t="s">
        <v>46</v>
      </c>
      <c r="F254" s="62" t="s">
        <v>46</v>
      </c>
      <c r="G254" s="63" t="s">
        <v>46</v>
      </c>
      <c r="H254" s="64"/>
      <c r="I254" s="64" t="s">
        <v>47</v>
      </c>
      <c r="J254" s="65">
        <v>1</v>
      </c>
      <c r="K254" s="66">
        <v>2492</v>
      </c>
      <c r="L254" s="67" t="s">
        <v>853</v>
      </c>
      <c r="M254" s="66">
        <v>2527</v>
      </c>
      <c r="N254" s="67" t="s">
        <v>96</v>
      </c>
      <c r="O254" s="66">
        <v>2486</v>
      </c>
      <c r="P254" s="67" t="s">
        <v>853</v>
      </c>
      <c r="Q254" s="66">
        <v>2498</v>
      </c>
      <c r="R254" s="67" t="s">
        <v>873</v>
      </c>
      <c r="S254" s="68">
        <v>2503.67</v>
      </c>
      <c r="T254" s="65">
        <v>7743</v>
      </c>
      <c r="U254" s="65" t="s">
        <v>955</v>
      </c>
      <c r="V254" s="65">
        <v>19329347</v>
      </c>
      <c r="W254" s="65" t="s">
        <v>955</v>
      </c>
      <c r="X254" s="69">
        <v>18</v>
      </c>
    </row>
    <row r="255" spans="1:24">
      <c r="A255" s="60" t="s">
        <v>958</v>
      </c>
      <c r="B255" s="60" t="s">
        <v>837</v>
      </c>
      <c r="C255" s="60" t="s">
        <v>838</v>
      </c>
      <c r="D255" s="60" t="s">
        <v>839</v>
      </c>
      <c r="E255" s="61" t="s">
        <v>46</v>
      </c>
      <c r="F255" s="62" t="s">
        <v>46</v>
      </c>
      <c r="G255" s="63" t="s">
        <v>46</v>
      </c>
      <c r="H255" s="64"/>
      <c r="I255" s="64" t="s">
        <v>47</v>
      </c>
      <c r="J255" s="65">
        <v>1</v>
      </c>
      <c r="K255" s="66">
        <v>2790</v>
      </c>
      <c r="L255" s="67" t="s">
        <v>853</v>
      </c>
      <c r="M255" s="66">
        <v>2957</v>
      </c>
      <c r="N255" s="67" t="s">
        <v>49</v>
      </c>
      <c r="O255" s="66">
        <v>2762</v>
      </c>
      <c r="P255" s="67" t="s">
        <v>858</v>
      </c>
      <c r="Q255" s="66">
        <v>2887</v>
      </c>
      <c r="R255" s="67" t="s">
        <v>873</v>
      </c>
      <c r="S255" s="68">
        <v>2860.32</v>
      </c>
      <c r="T255" s="65">
        <v>918264</v>
      </c>
      <c r="U255" s="65">
        <v>157710</v>
      </c>
      <c r="V255" s="65">
        <v>2604402362</v>
      </c>
      <c r="W255" s="65">
        <v>445880951</v>
      </c>
      <c r="X255" s="69">
        <v>22</v>
      </c>
    </row>
    <row r="256" spans="1:24">
      <c r="A256" s="60" t="s">
        <v>958</v>
      </c>
      <c r="B256" s="60" t="s">
        <v>840</v>
      </c>
      <c r="C256" s="60" t="s">
        <v>841</v>
      </c>
      <c r="D256" s="60" t="s">
        <v>842</v>
      </c>
      <c r="E256" s="61" t="s">
        <v>46</v>
      </c>
      <c r="F256" s="62" t="s">
        <v>46</v>
      </c>
      <c r="G256" s="63" t="s">
        <v>46</v>
      </c>
      <c r="H256" s="64"/>
      <c r="I256" s="64" t="s">
        <v>47</v>
      </c>
      <c r="J256" s="65">
        <v>1</v>
      </c>
      <c r="K256" s="66">
        <v>1940</v>
      </c>
      <c r="L256" s="67" t="s">
        <v>853</v>
      </c>
      <c r="M256" s="66">
        <v>2015</v>
      </c>
      <c r="N256" s="67" t="s">
        <v>854</v>
      </c>
      <c r="O256" s="66">
        <v>1917</v>
      </c>
      <c r="P256" s="67" t="s">
        <v>853</v>
      </c>
      <c r="Q256" s="66">
        <v>1997</v>
      </c>
      <c r="R256" s="67" t="s">
        <v>873</v>
      </c>
      <c r="S256" s="68">
        <v>1977.91</v>
      </c>
      <c r="T256" s="65">
        <v>1930144</v>
      </c>
      <c r="U256" s="65">
        <v>597943</v>
      </c>
      <c r="V256" s="65">
        <v>3813411107</v>
      </c>
      <c r="W256" s="65">
        <v>1189500418</v>
      </c>
      <c r="X256" s="69">
        <v>22</v>
      </c>
    </row>
    <row r="257" spans="1:24">
      <c r="A257" s="60" t="s">
        <v>958</v>
      </c>
      <c r="B257" s="60" t="s">
        <v>843</v>
      </c>
      <c r="C257" s="60" t="s">
        <v>844</v>
      </c>
      <c r="D257" s="60" t="s">
        <v>845</v>
      </c>
      <c r="E257" s="61" t="s">
        <v>46</v>
      </c>
      <c r="F257" s="62" t="s">
        <v>46</v>
      </c>
      <c r="G257" s="63" t="s">
        <v>46</v>
      </c>
      <c r="H257" s="64"/>
      <c r="I257" s="64" t="s">
        <v>47</v>
      </c>
      <c r="J257" s="65">
        <v>1</v>
      </c>
      <c r="K257" s="66">
        <v>2071</v>
      </c>
      <c r="L257" s="67" t="s">
        <v>853</v>
      </c>
      <c r="M257" s="66">
        <v>2090</v>
      </c>
      <c r="N257" s="67" t="s">
        <v>96</v>
      </c>
      <c r="O257" s="66">
        <v>1971</v>
      </c>
      <c r="P257" s="67" t="s">
        <v>371</v>
      </c>
      <c r="Q257" s="66">
        <v>2022</v>
      </c>
      <c r="R257" s="67" t="s">
        <v>873</v>
      </c>
      <c r="S257" s="68">
        <v>2030.09</v>
      </c>
      <c r="T257" s="65">
        <v>179134</v>
      </c>
      <c r="U257" s="65">
        <v>2</v>
      </c>
      <c r="V257" s="65">
        <v>363342333</v>
      </c>
      <c r="W257" s="65">
        <v>4008</v>
      </c>
      <c r="X257" s="69">
        <v>22</v>
      </c>
    </row>
    <row r="258" spans="1:24">
      <c r="A258" s="60" t="s">
        <v>958</v>
      </c>
      <c r="B258" s="60" t="s">
        <v>849</v>
      </c>
      <c r="C258" s="60" t="s">
        <v>850</v>
      </c>
      <c r="D258" s="60" t="s">
        <v>851</v>
      </c>
      <c r="E258" s="61" t="s">
        <v>46</v>
      </c>
      <c r="F258" s="62" t="s">
        <v>46</v>
      </c>
      <c r="G258" s="63" t="s">
        <v>46</v>
      </c>
      <c r="H258" s="64"/>
      <c r="I258" s="64" t="s">
        <v>47</v>
      </c>
      <c r="J258" s="65">
        <v>1</v>
      </c>
      <c r="K258" s="66">
        <v>2167</v>
      </c>
      <c r="L258" s="67" t="s">
        <v>853</v>
      </c>
      <c r="M258" s="66">
        <v>2191</v>
      </c>
      <c r="N258" s="67" t="s">
        <v>859</v>
      </c>
      <c r="O258" s="66">
        <v>1997</v>
      </c>
      <c r="P258" s="67" t="s">
        <v>268</v>
      </c>
      <c r="Q258" s="66">
        <v>2065</v>
      </c>
      <c r="R258" s="67" t="s">
        <v>873</v>
      </c>
      <c r="S258" s="68">
        <v>2091.8200000000002</v>
      </c>
      <c r="T258" s="65">
        <v>215158</v>
      </c>
      <c r="U258" s="65" t="s">
        <v>955</v>
      </c>
      <c r="V258" s="65">
        <v>447606718</v>
      </c>
      <c r="W258" s="65" t="s">
        <v>955</v>
      </c>
      <c r="X258" s="69">
        <v>22</v>
      </c>
    </row>
    <row r="259" spans="1:24">
      <c r="A259" s="60" t="s">
        <v>958</v>
      </c>
      <c r="B259" s="60" t="s">
        <v>899</v>
      </c>
      <c r="C259" s="60" t="s">
        <v>900</v>
      </c>
      <c r="D259" s="60" t="s">
        <v>901</v>
      </c>
      <c r="E259" s="61" t="s">
        <v>46</v>
      </c>
      <c r="F259" s="62" t="s">
        <v>46</v>
      </c>
      <c r="G259" s="63" t="s">
        <v>46</v>
      </c>
      <c r="H259" s="64"/>
      <c r="I259" s="64" t="s">
        <v>47</v>
      </c>
      <c r="J259" s="65">
        <v>1</v>
      </c>
      <c r="K259" s="66">
        <v>2645</v>
      </c>
      <c r="L259" s="67" t="s">
        <v>853</v>
      </c>
      <c r="M259" s="66">
        <v>2654</v>
      </c>
      <c r="N259" s="67" t="s">
        <v>92</v>
      </c>
      <c r="O259" s="66">
        <v>2452</v>
      </c>
      <c r="P259" s="67" t="s">
        <v>268</v>
      </c>
      <c r="Q259" s="66">
        <v>2528</v>
      </c>
      <c r="R259" s="67" t="s">
        <v>873</v>
      </c>
      <c r="S259" s="68">
        <v>2550.77</v>
      </c>
      <c r="T259" s="65">
        <v>29165</v>
      </c>
      <c r="U259" s="65" t="s">
        <v>955</v>
      </c>
      <c r="V259" s="65">
        <v>74983833</v>
      </c>
      <c r="W259" s="65" t="s">
        <v>955</v>
      </c>
      <c r="X259" s="69">
        <v>22</v>
      </c>
    </row>
    <row r="260" spans="1:24">
      <c r="A260" s="60" t="s">
        <v>958</v>
      </c>
      <c r="B260" s="60" t="s">
        <v>903</v>
      </c>
      <c r="C260" s="60" t="s">
        <v>904</v>
      </c>
      <c r="D260" s="60" t="s">
        <v>905</v>
      </c>
      <c r="E260" s="61" t="s">
        <v>46</v>
      </c>
      <c r="F260" s="62" t="s">
        <v>46</v>
      </c>
      <c r="G260" s="63" t="s">
        <v>46</v>
      </c>
      <c r="H260" s="64"/>
      <c r="I260" s="64" t="s">
        <v>47</v>
      </c>
      <c r="J260" s="65">
        <v>1</v>
      </c>
      <c r="K260" s="66">
        <v>2692</v>
      </c>
      <c r="L260" s="67" t="s">
        <v>853</v>
      </c>
      <c r="M260" s="66">
        <v>2837</v>
      </c>
      <c r="N260" s="67" t="s">
        <v>92</v>
      </c>
      <c r="O260" s="66">
        <v>2677</v>
      </c>
      <c r="P260" s="67" t="s">
        <v>371</v>
      </c>
      <c r="Q260" s="66">
        <v>2750</v>
      </c>
      <c r="R260" s="67" t="s">
        <v>873</v>
      </c>
      <c r="S260" s="68">
        <v>2745.14</v>
      </c>
      <c r="T260" s="65">
        <v>4652</v>
      </c>
      <c r="U260" s="65" t="s">
        <v>955</v>
      </c>
      <c r="V260" s="65">
        <v>12877872</v>
      </c>
      <c r="W260" s="65" t="s">
        <v>955</v>
      </c>
      <c r="X260" s="69">
        <v>21</v>
      </c>
    </row>
    <row r="261" spans="1:24">
      <c r="A261" s="60" t="s">
        <v>958</v>
      </c>
      <c r="B261" s="60" t="s">
        <v>861</v>
      </c>
      <c r="C261" s="60" t="s">
        <v>862</v>
      </c>
      <c r="D261" s="60" t="s">
        <v>863</v>
      </c>
      <c r="E261" s="61" t="s">
        <v>46</v>
      </c>
      <c r="F261" s="62" t="s">
        <v>46</v>
      </c>
      <c r="G261" s="63" t="s">
        <v>46</v>
      </c>
      <c r="H261" s="64"/>
      <c r="I261" s="64" t="s">
        <v>47</v>
      </c>
      <c r="J261" s="65">
        <v>1</v>
      </c>
      <c r="K261" s="66">
        <v>11875</v>
      </c>
      <c r="L261" s="67" t="s">
        <v>853</v>
      </c>
      <c r="M261" s="66">
        <v>12385</v>
      </c>
      <c r="N261" s="67" t="s">
        <v>50</v>
      </c>
      <c r="O261" s="66">
        <v>11705</v>
      </c>
      <c r="P261" s="67" t="s">
        <v>857</v>
      </c>
      <c r="Q261" s="66">
        <v>12365</v>
      </c>
      <c r="R261" s="67" t="s">
        <v>873</v>
      </c>
      <c r="S261" s="68">
        <v>12064.09</v>
      </c>
      <c r="T261" s="65">
        <v>718104</v>
      </c>
      <c r="U261" s="65">
        <v>515703</v>
      </c>
      <c r="V261" s="65">
        <v>8543565892</v>
      </c>
      <c r="W261" s="65">
        <v>6122819122</v>
      </c>
      <c r="X261" s="69">
        <v>22</v>
      </c>
    </row>
    <row r="262" spans="1:24">
      <c r="A262" s="60" t="s">
        <v>958</v>
      </c>
      <c r="B262" s="60" t="s">
        <v>865</v>
      </c>
      <c r="C262" s="60" t="s">
        <v>866</v>
      </c>
      <c r="D262" s="60" t="s">
        <v>867</v>
      </c>
      <c r="E262" s="61" t="s">
        <v>46</v>
      </c>
      <c r="F262" s="62" t="s">
        <v>46</v>
      </c>
      <c r="G262" s="63" t="s">
        <v>46</v>
      </c>
      <c r="H262" s="64"/>
      <c r="I262" s="64" t="s">
        <v>47</v>
      </c>
      <c r="J262" s="65">
        <v>1</v>
      </c>
      <c r="K262" s="66">
        <v>13215</v>
      </c>
      <c r="L262" s="67" t="s">
        <v>853</v>
      </c>
      <c r="M262" s="66">
        <v>13675</v>
      </c>
      <c r="N262" s="67" t="s">
        <v>88</v>
      </c>
      <c r="O262" s="66">
        <v>12695</v>
      </c>
      <c r="P262" s="67" t="s">
        <v>371</v>
      </c>
      <c r="Q262" s="66">
        <v>13635</v>
      </c>
      <c r="R262" s="67" t="s">
        <v>873</v>
      </c>
      <c r="S262" s="68">
        <v>13223.41</v>
      </c>
      <c r="T262" s="65">
        <v>860163</v>
      </c>
      <c r="U262" s="65">
        <v>24175</v>
      </c>
      <c r="V262" s="65">
        <v>11322806000</v>
      </c>
      <c r="W262" s="65">
        <v>316322715</v>
      </c>
      <c r="X262" s="69">
        <v>22</v>
      </c>
    </row>
    <row r="263" spans="1:24">
      <c r="A263" s="60" t="s">
        <v>958</v>
      </c>
      <c r="B263" s="60" t="s">
        <v>868</v>
      </c>
      <c r="C263" s="60" t="s">
        <v>869</v>
      </c>
      <c r="D263" s="60" t="s">
        <v>870</v>
      </c>
      <c r="E263" s="61" t="s">
        <v>46</v>
      </c>
      <c r="F263" s="62" t="s">
        <v>46</v>
      </c>
      <c r="G263" s="63" t="s">
        <v>46</v>
      </c>
      <c r="H263" s="64"/>
      <c r="I263" s="64" t="s">
        <v>47</v>
      </c>
      <c r="J263" s="65">
        <v>1</v>
      </c>
      <c r="K263" s="66">
        <v>12280</v>
      </c>
      <c r="L263" s="67" t="s">
        <v>853</v>
      </c>
      <c r="M263" s="66">
        <v>12550</v>
      </c>
      <c r="N263" s="67" t="s">
        <v>88</v>
      </c>
      <c r="O263" s="66">
        <v>11775</v>
      </c>
      <c r="P263" s="67" t="s">
        <v>371</v>
      </c>
      <c r="Q263" s="66">
        <v>12440</v>
      </c>
      <c r="R263" s="67" t="s">
        <v>873</v>
      </c>
      <c r="S263" s="68">
        <v>12210.45</v>
      </c>
      <c r="T263" s="65">
        <v>347139</v>
      </c>
      <c r="U263" s="65">
        <v>194302</v>
      </c>
      <c r="V263" s="65">
        <v>4251222076</v>
      </c>
      <c r="W263" s="65">
        <v>2385114881</v>
      </c>
      <c r="X263" s="69">
        <v>22</v>
      </c>
    </row>
    <row r="264" spans="1:24">
      <c r="A264" s="60" t="s">
        <v>958</v>
      </c>
      <c r="B264" s="60" t="s">
        <v>879</v>
      </c>
      <c r="C264" s="60" t="s">
        <v>880</v>
      </c>
      <c r="D264" s="60" t="s">
        <v>881</v>
      </c>
      <c r="E264" s="61" t="s">
        <v>46</v>
      </c>
      <c r="F264" s="62" t="s">
        <v>46</v>
      </c>
      <c r="G264" s="63" t="s">
        <v>46</v>
      </c>
      <c r="H264" s="64"/>
      <c r="I264" s="64" t="s">
        <v>47</v>
      </c>
      <c r="J264" s="65">
        <v>10</v>
      </c>
      <c r="K264" s="66">
        <v>2407.5</v>
      </c>
      <c r="L264" s="67" t="s">
        <v>853</v>
      </c>
      <c r="M264" s="66">
        <v>2560</v>
      </c>
      <c r="N264" s="67" t="s">
        <v>873</v>
      </c>
      <c r="O264" s="66">
        <v>2362.5</v>
      </c>
      <c r="P264" s="67" t="s">
        <v>857</v>
      </c>
      <c r="Q264" s="66">
        <v>2554</v>
      </c>
      <c r="R264" s="67" t="s">
        <v>873</v>
      </c>
      <c r="S264" s="68">
        <v>2462.8200000000002</v>
      </c>
      <c r="T264" s="65">
        <v>1880310</v>
      </c>
      <c r="U264" s="65">
        <v>482050</v>
      </c>
      <c r="V264" s="65">
        <v>4681724800</v>
      </c>
      <c r="W264" s="65">
        <v>1224408575</v>
      </c>
      <c r="X264" s="69">
        <v>22</v>
      </c>
    </row>
    <row r="265" spans="1:24">
      <c r="A265" s="60" t="s">
        <v>958</v>
      </c>
      <c r="B265" s="60" t="s">
        <v>883</v>
      </c>
      <c r="C265" s="60" t="s">
        <v>884</v>
      </c>
      <c r="D265" s="60" t="s">
        <v>885</v>
      </c>
      <c r="E265" s="61" t="s">
        <v>46</v>
      </c>
      <c r="F265" s="62" t="s">
        <v>46</v>
      </c>
      <c r="G265" s="63" t="s">
        <v>46</v>
      </c>
      <c r="H265" s="64"/>
      <c r="I265" s="64" t="s">
        <v>47</v>
      </c>
      <c r="J265" s="65">
        <v>10</v>
      </c>
      <c r="K265" s="66">
        <v>2321</v>
      </c>
      <c r="L265" s="67" t="s">
        <v>853</v>
      </c>
      <c r="M265" s="66">
        <v>2428</v>
      </c>
      <c r="N265" s="67" t="s">
        <v>50</v>
      </c>
      <c r="O265" s="66">
        <v>2289</v>
      </c>
      <c r="P265" s="67" t="s">
        <v>857</v>
      </c>
      <c r="Q265" s="66">
        <v>2424.5</v>
      </c>
      <c r="R265" s="67" t="s">
        <v>873</v>
      </c>
      <c r="S265" s="68">
        <v>2362.73</v>
      </c>
      <c r="T265" s="65">
        <v>4577400</v>
      </c>
      <c r="U265" s="65">
        <v>1420320</v>
      </c>
      <c r="V265" s="65">
        <v>10813989814</v>
      </c>
      <c r="W265" s="65">
        <v>3355274884</v>
      </c>
      <c r="X265" s="69">
        <v>22</v>
      </c>
    </row>
    <row r="266" spans="1:24">
      <c r="A266" s="60" t="s">
        <v>958</v>
      </c>
      <c r="B266" s="60" t="s">
        <v>886</v>
      </c>
      <c r="C266" s="60" t="s">
        <v>887</v>
      </c>
      <c r="D266" s="60" t="s">
        <v>888</v>
      </c>
      <c r="E266" s="61" t="s">
        <v>46</v>
      </c>
      <c r="F266" s="62" t="s">
        <v>46</v>
      </c>
      <c r="G266" s="63" t="s">
        <v>46</v>
      </c>
      <c r="H266" s="64"/>
      <c r="I266" s="64" t="s">
        <v>47</v>
      </c>
      <c r="J266" s="65">
        <v>10</v>
      </c>
      <c r="K266" s="66">
        <v>2467</v>
      </c>
      <c r="L266" s="67" t="s">
        <v>853</v>
      </c>
      <c r="M266" s="66">
        <v>2611</v>
      </c>
      <c r="N266" s="67" t="s">
        <v>873</v>
      </c>
      <c r="O266" s="66">
        <v>2426</v>
      </c>
      <c r="P266" s="67" t="s">
        <v>857</v>
      </c>
      <c r="Q266" s="66">
        <v>2610</v>
      </c>
      <c r="R266" s="67" t="s">
        <v>873</v>
      </c>
      <c r="S266" s="68">
        <v>2520.4499999999998</v>
      </c>
      <c r="T266" s="65">
        <v>360740</v>
      </c>
      <c r="U266" s="65">
        <v>60000</v>
      </c>
      <c r="V266" s="65">
        <v>923341847</v>
      </c>
      <c r="W266" s="65">
        <v>152996642</v>
      </c>
      <c r="X266" s="69">
        <v>22</v>
      </c>
    </row>
    <row r="267" spans="1:24">
      <c r="A267" s="60" t="s">
        <v>958</v>
      </c>
      <c r="B267" s="60" t="s">
        <v>889</v>
      </c>
      <c r="C267" s="60" t="s">
        <v>890</v>
      </c>
      <c r="D267" s="60" t="s">
        <v>891</v>
      </c>
      <c r="E267" s="61" t="s">
        <v>46</v>
      </c>
      <c r="F267" s="62" t="s">
        <v>46</v>
      </c>
      <c r="G267" s="63" t="s">
        <v>46</v>
      </c>
      <c r="H267" s="64"/>
      <c r="I267" s="64" t="s">
        <v>47</v>
      </c>
      <c r="J267" s="65">
        <v>1</v>
      </c>
      <c r="K267" s="66">
        <v>2774</v>
      </c>
      <c r="L267" s="67" t="s">
        <v>853</v>
      </c>
      <c r="M267" s="66">
        <v>2862</v>
      </c>
      <c r="N267" s="67" t="s">
        <v>88</v>
      </c>
      <c r="O267" s="66">
        <v>2734</v>
      </c>
      <c r="P267" s="67" t="s">
        <v>853</v>
      </c>
      <c r="Q267" s="66">
        <v>2841</v>
      </c>
      <c r="R267" s="67" t="s">
        <v>873</v>
      </c>
      <c r="S267" s="68">
        <v>2812.05</v>
      </c>
      <c r="T267" s="65">
        <v>7876</v>
      </c>
      <c r="U267" s="65" t="s">
        <v>955</v>
      </c>
      <c r="V267" s="65">
        <v>22162970</v>
      </c>
      <c r="W267" s="65" t="s">
        <v>955</v>
      </c>
      <c r="X267" s="69">
        <v>22</v>
      </c>
    </row>
    <row r="268" spans="1:24">
      <c r="A268" s="60" t="s">
        <v>958</v>
      </c>
      <c r="B268" s="60" t="s">
        <v>892</v>
      </c>
      <c r="C268" s="60" t="s">
        <v>893</v>
      </c>
      <c r="D268" s="60" t="s">
        <v>894</v>
      </c>
      <c r="E268" s="61" t="s">
        <v>46</v>
      </c>
      <c r="F268" s="62" t="s">
        <v>46</v>
      </c>
      <c r="G268" s="63" t="s">
        <v>46</v>
      </c>
      <c r="H268" s="64"/>
      <c r="I268" s="64" t="s">
        <v>47</v>
      </c>
      <c r="J268" s="65">
        <v>1</v>
      </c>
      <c r="K268" s="66">
        <v>1744</v>
      </c>
      <c r="L268" s="67" t="s">
        <v>853</v>
      </c>
      <c r="M268" s="66">
        <v>1833</v>
      </c>
      <c r="N268" s="67" t="s">
        <v>96</v>
      </c>
      <c r="O268" s="66">
        <v>1715</v>
      </c>
      <c r="P268" s="67" t="s">
        <v>853</v>
      </c>
      <c r="Q268" s="66">
        <v>1754</v>
      </c>
      <c r="R268" s="67" t="s">
        <v>873</v>
      </c>
      <c r="S268" s="68">
        <v>1774.77</v>
      </c>
      <c r="T268" s="65">
        <v>120419</v>
      </c>
      <c r="U268" s="65">
        <v>15001</v>
      </c>
      <c r="V268" s="65">
        <v>212647819</v>
      </c>
      <c r="W268" s="65">
        <v>26353504</v>
      </c>
      <c r="X268" s="69">
        <v>22</v>
      </c>
    </row>
    <row r="269" spans="1:24">
      <c r="A269" s="60" t="s">
        <v>958</v>
      </c>
      <c r="B269" s="60" t="s">
        <v>910</v>
      </c>
      <c r="C269" s="60" t="s">
        <v>911</v>
      </c>
      <c r="D269" s="60" t="s">
        <v>912</v>
      </c>
      <c r="E269" s="61" t="s">
        <v>46</v>
      </c>
      <c r="F269" s="62" t="s">
        <v>46</v>
      </c>
      <c r="G269" s="63" t="s">
        <v>46</v>
      </c>
      <c r="H269" s="64"/>
      <c r="I269" s="64" t="s">
        <v>47</v>
      </c>
      <c r="J269" s="65">
        <v>1</v>
      </c>
      <c r="K269" s="66">
        <v>2252</v>
      </c>
      <c r="L269" s="67" t="s">
        <v>853</v>
      </c>
      <c r="M269" s="66">
        <v>2354</v>
      </c>
      <c r="N269" s="67" t="s">
        <v>854</v>
      </c>
      <c r="O269" s="66">
        <v>2216</v>
      </c>
      <c r="P269" s="67" t="s">
        <v>858</v>
      </c>
      <c r="Q269" s="66">
        <v>2307</v>
      </c>
      <c r="R269" s="67" t="s">
        <v>873</v>
      </c>
      <c r="S269" s="68">
        <v>2293.9499999999998</v>
      </c>
      <c r="T269" s="65">
        <v>40138</v>
      </c>
      <c r="U269" s="65" t="s">
        <v>955</v>
      </c>
      <c r="V269" s="65">
        <v>91845546</v>
      </c>
      <c r="W269" s="65" t="s">
        <v>955</v>
      </c>
      <c r="X269" s="69">
        <v>22</v>
      </c>
    </row>
    <row r="270" spans="1:24">
      <c r="A270" s="60" t="s">
        <v>958</v>
      </c>
      <c r="B270" s="60" t="s">
        <v>914</v>
      </c>
      <c r="C270" s="60" t="s">
        <v>915</v>
      </c>
      <c r="D270" s="60" t="s">
        <v>916</v>
      </c>
      <c r="E270" s="61" t="s">
        <v>46</v>
      </c>
      <c r="F270" s="62" t="s">
        <v>46</v>
      </c>
      <c r="G270" s="63" t="s">
        <v>46</v>
      </c>
      <c r="H270" s="64"/>
      <c r="I270" s="64" t="s">
        <v>47</v>
      </c>
      <c r="J270" s="65">
        <v>1</v>
      </c>
      <c r="K270" s="66">
        <v>1768</v>
      </c>
      <c r="L270" s="67" t="s">
        <v>853</v>
      </c>
      <c r="M270" s="66">
        <v>1809</v>
      </c>
      <c r="N270" s="67" t="s">
        <v>50</v>
      </c>
      <c r="O270" s="66">
        <v>1727</v>
      </c>
      <c r="P270" s="67" t="s">
        <v>858</v>
      </c>
      <c r="Q270" s="66">
        <v>1809</v>
      </c>
      <c r="R270" s="67" t="s">
        <v>873</v>
      </c>
      <c r="S270" s="68">
        <v>1778.45</v>
      </c>
      <c r="T270" s="65">
        <v>309849</v>
      </c>
      <c r="U270" s="65" t="s">
        <v>955</v>
      </c>
      <c r="V270" s="65">
        <v>554343323</v>
      </c>
      <c r="W270" s="65" t="s">
        <v>955</v>
      </c>
      <c r="X270" s="69">
        <v>22</v>
      </c>
    </row>
    <row r="271" spans="1:24">
      <c r="A271" s="60" t="s">
        <v>958</v>
      </c>
      <c r="B271" s="60" t="s">
        <v>917</v>
      </c>
      <c r="C271" s="60" t="s">
        <v>918</v>
      </c>
      <c r="D271" s="60" t="s">
        <v>919</v>
      </c>
      <c r="E271" s="61" t="s">
        <v>46</v>
      </c>
      <c r="F271" s="62" t="s">
        <v>46</v>
      </c>
      <c r="G271" s="63" t="s">
        <v>46</v>
      </c>
      <c r="H271" s="64"/>
      <c r="I271" s="64" t="s">
        <v>47</v>
      </c>
      <c r="J271" s="65">
        <v>1</v>
      </c>
      <c r="K271" s="66">
        <v>2571</v>
      </c>
      <c r="L271" s="67" t="s">
        <v>853</v>
      </c>
      <c r="M271" s="66">
        <v>2627</v>
      </c>
      <c r="N271" s="67" t="s">
        <v>96</v>
      </c>
      <c r="O271" s="66">
        <v>2464</v>
      </c>
      <c r="P271" s="67" t="s">
        <v>50</v>
      </c>
      <c r="Q271" s="66">
        <v>2505</v>
      </c>
      <c r="R271" s="67" t="s">
        <v>873</v>
      </c>
      <c r="S271" s="68">
        <v>2544.73</v>
      </c>
      <c r="T271" s="65">
        <v>633040</v>
      </c>
      <c r="U271" s="65" t="s">
        <v>955</v>
      </c>
      <c r="V271" s="65">
        <v>1574585950</v>
      </c>
      <c r="W271" s="65" t="s">
        <v>955</v>
      </c>
      <c r="X271" s="69">
        <v>22</v>
      </c>
    </row>
    <row r="272" spans="1:24">
      <c r="A272" s="60" t="s">
        <v>958</v>
      </c>
      <c r="B272" s="60" t="s">
        <v>920</v>
      </c>
      <c r="C272" s="60" t="s">
        <v>921</v>
      </c>
      <c r="D272" s="60" t="s">
        <v>922</v>
      </c>
      <c r="E272" s="61" t="s">
        <v>46</v>
      </c>
      <c r="F272" s="62" t="s">
        <v>46</v>
      </c>
      <c r="G272" s="63" t="s">
        <v>46</v>
      </c>
      <c r="H272" s="64"/>
      <c r="I272" s="64" t="s">
        <v>47</v>
      </c>
      <c r="J272" s="65">
        <v>1</v>
      </c>
      <c r="K272" s="66">
        <v>2065</v>
      </c>
      <c r="L272" s="67" t="s">
        <v>853</v>
      </c>
      <c r="M272" s="66">
        <v>2178</v>
      </c>
      <c r="N272" s="67" t="s">
        <v>268</v>
      </c>
      <c r="O272" s="66">
        <v>2051</v>
      </c>
      <c r="P272" s="67" t="s">
        <v>853</v>
      </c>
      <c r="Q272" s="66">
        <v>2159</v>
      </c>
      <c r="R272" s="67" t="s">
        <v>873</v>
      </c>
      <c r="S272" s="68">
        <v>2122.86</v>
      </c>
      <c r="T272" s="65">
        <v>83572</v>
      </c>
      <c r="U272" s="65">
        <v>20000</v>
      </c>
      <c r="V272" s="65">
        <v>175423882</v>
      </c>
      <c r="W272" s="65">
        <v>41340000</v>
      </c>
      <c r="X272" s="69">
        <v>22</v>
      </c>
    </row>
    <row r="273" spans="1:24">
      <c r="A273" s="60" t="s">
        <v>958</v>
      </c>
      <c r="B273" s="60" t="s">
        <v>923</v>
      </c>
      <c r="C273" s="60" t="s">
        <v>924</v>
      </c>
      <c r="D273" s="60" t="s">
        <v>925</v>
      </c>
      <c r="E273" s="61" t="s">
        <v>46</v>
      </c>
      <c r="F273" s="62" t="s">
        <v>46</v>
      </c>
      <c r="G273" s="63" t="s">
        <v>46</v>
      </c>
      <c r="H273" s="64"/>
      <c r="I273" s="64" t="s">
        <v>47</v>
      </c>
      <c r="J273" s="65">
        <v>1</v>
      </c>
      <c r="K273" s="66">
        <v>25800</v>
      </c>
      <c r="L273" s="67" t="s">
        <v>853</v>
      </c>
      <c r="M273" s="66">
        <v>27080</v>
      </c>
      <c r="N273" s="67" t="s">
        <v>88</v>
      </c>
      <c r="O273" s="66">
        <v>25750</v>
      </c>
      <c r="P273" s="67" t="s">
        <v>853</v>
      </c>
      <c r="Q273" s="66">
        <v>26720</v>
      </c>
      <c r="R273" s="67" t="s">
        <v>873</v>
      </c>
      <c r="S273" s="68">
        <v>26356.18</v>
      </c>
      <c r="T273" s="65">
        <v>60</v>
      </c>
      <c r="U273" s="65" t="s">
        <v>955</v>
      </c>
      <c r="V273" s="65">
        <v>1582065</v>
      </c>
      <c r="W273" s="65" t="s">
        <v>955</v>
      </c>
      <c r="X273" s="69">
        <v>17</v>
      </c>
    </row>
    <row r="274" spans="1:24">
      <c r="A274" s="60" t="s">
        <v>958</v>
      </c>
      <c r="B274" s="60" t="s">
        <v>927</v>
      </c>
      <c r="C274" s="60" t="s">
        <v>928</v>
      </c>
      <c r="D274" s="60" t="s">
        <v>929</v>
      </c>
      <c r="E274" s="61" t="s">
        <v>46</v>
      </c>
      <c r="F274" s="62" t="s">
        <v>46</v>
      </c>
      <c r="G274" s="63" t="s">
        <v>46</v>
      </c>
      <c r="H274" s="64"/>
      <c r="I274" s="64" t="s">
        <v>47</v>
      </c>
      <c r="J274" s="65">
        <v>1</v>
      </c>
      <c r="K274" s="66">
        <v>2024</v>
      </c>
      <c r="L274" s="67" t="s">
        <v>853</v>
      </c>
      <c r="M274" s="66">
        <v>2117</v>
      </c>
      <c r="N274" s="67" t="s">
        <v>854</v>
      </c>
      <c r="O274" s="66">
        <v>2016</v>
      </c>
      <c r="P274" s="67" t="s">
        <v>853</v>
      </c>
      <c r="Q274" s="66">
        <v>2109</v>
      </c>
      <c r="R274" s="67" t="s">
        <v>873</v>
      </c>
      <c r="S274" s="68">
        <v>2077.23</v>
      </c>
      <c r="T274" s="65">
        <v>137021</v>
      </c>
      <c r="U274" s="65" t="s">
        <v>955</v>
      </c>
      <c r="V274" s="65">
        <v>284775757</v>
      </c>
      <c r="W274" s="65" t="s">
        <v>955</v>
      </c>
      <c r="X274" s="69">
        <v>22</v>
      </c>
    </row>
    <row r="275" spans="1:24">
      <c r="A275" s="60" t="s">
        <v>958</v>
      </c>
      <c r="B275" s="60" t="s">
        <v>936</v>
      </c>
      <c r="C275" s="60" t="s">
        <v>937</v>
      </c>
      <c r="D275" s="60" t="s">
        <v>938</v>
      </c>
      <c r="E275" s="61" t="s">
        <v>46</v>
      </c>
      <c r="F275" s="62" t="s">
        <v>46</v>
      </c>
      <c r="G275" s="63" t="s">
        <v>46</v>
      </c>
      <c r="H275" s="64"/>
      <c r="I275" s="64" t="s">
        <v>47</v>
      </c>
      <c r="J275" s="65">
        <v>1</v>
      </c>
      <c r="K275" s="66">
        <v>2500</v>
      </c>
      <c r="L275" s="67" t="s">
        <v>853</v>
      </c>
      <c r="M275" s="66">
        <v>2694</v>
      </c>
      <c r="N275" s="67" t="s">
        <v>73</v>
      </c>
      <c r="O275" s="66">
        <v>2431</v>
      </c>
      <c r="P275" s="67" t="s">
        <v>858</v>
      </c>
      <c r="Q275" s="66">
        <v>2662</v>
      </c>
      <c r="R275" s="67" t="s">
        <v>873</v>
      </c>
      <c r="S275" s="68">
        <v>2560.77</v>
      </c>
      <c r="T275" s="65">
        <v>544544</v>
      </c>
      <c r="U275" s="65">
        <v>22</v>
      </c>
      <c r="V275" s="65">
        <v>1393576662</v>
      </c>
      <c r="W275" s="65">
        <v>53801</v>
      </c>
      <c r="X275" s="69">
        <v>22</v>
      </c>
    </row>
    <row r="276" spans="1:24">
      <c r="A276" s="60" t="s">
        <v>958</v>
      </c>
      <c r="B276" s="60" t="s">
        <v>940</v>
      </c>
      <c r="C276" s="60" t="s">
        <v>941</v>
      </c>
      <c r="D276" s="60" t="s">
        <v>942</v>
      </c>
      <c r="E276" s="61" t="s">
        <v>46</v>
      </c>
      <c r="F276" s="62" t="s">
        <v>46</v>
      </c>
      <c r="G276" s="63" t="s">
        <v>46</v>
      </c>
      <c r="H276" s="64"/>
      <c r="I276" s="64" t="s">
        <v>47</v>
      </c>
      <c r="J276" s="65">
        <v>1</v>
      </c>
      <c r="K276" s="66">
        <v>1965</v>
      </c>
      <c r="L276" s="67" t="s">
        <v>853</v>
      </c>
      <c r="M276" s="66">
        <v>2067</v>
      </c>
      <c r="N276" s="67" t="s">
        <v>859</v>
      </c>
      <c r="O276" s="66">
        <v>1935</v>
      </c>
      <c r="P276" s="67" t="s">
        <v>857</v>
      </c>
      <c r="Q276" s="66">
        <v>2003</v>
      </c>
      <c r="R276" s="67" t="s">
        <v>873</v>
      </c>
      <c r="S276" s="68">
        <v>1996.23</v>
      </c>
      <c r="T276" s="65">
        <v>124869</v>
      </c>
      <c r="U276" s="65" t="s">
        <v>955</v>
      </c>
      <c r="V276" s="65">
        <v>249094229</v>
      </c>
      <c r="W276" s="65" t="s">
        <v>955</v>
      </c>
      <c r="X276" s="69">
        <v>22</v>
      </c>
    </row>
    <row r="277" spans="1:24">
      <c r="A277" s="60" t="s">
        <v>958</v>
      </c>
      <c r="B277" s="60" t="s">
        <v>943</v>
      </c>
      <c r="C277" s="60" t="s">
        <v>944</v>
      </c>
      <c r="D277" s="60" t="s">
        <v>945</v>
      </c>
      <c r="E277" s="61" t="s">
        <v>46</v>
      </c>
      <c r="F277" s="62" t="s">
        <v>46</v>
      </c>
      <c r="G277" s="63" t="s">
        <v>46</v>
      </c>
      <c r="H277" s="64"/>
      <c r="I277" s="64" t="s">
        <v>47</v>
      </c>
      <c r="J277" s="65">
        <v>1</v>
      </c>
      <c r="K277" s="66">
        <v>1314</v>
      </c>
      <c r="L277" s="67" t="s">
        <v>853</v>
      </c>
      <c r="M277" s="66">
        <v>1401</v>
      </c>
      <c r="N277" s="67" t="s">
        <v>873</v>
      </c>
      <c r="O277" s="66">
        <v>1305</v>
      </c>
      <c r="P277" s="67" t="s">
        <v>853</v>
      </c>
      <c r="Q277" s="66">
        <v>1399</v>
      </c>
      <c r="R277" s="67" t="s">
        <v>873</v>
      </c>
      <c r="S277" s="68">
        <v>1367.59</v>
      </c>
      <c r="T277" s="65">
        <v>43805</v>
      </c>
      <c r="U277" s="65" t="s">
        <v>955</v>
      </c>
      <c r="V277" s="65">
        <v>60761438</v>
      </c>
      <c r="W277" s="65" t="s">
        <v>955</v>
      </c>
      <c r="X277" s="69">
        <v>22</v>
      </c>
    </row>
    <row r="278" spans="1:24">
      <c r="A278" s="60" t="s">
        <v>958</v>
      </c>
      <c r="B278" s="60" t="s">
        <v>948</v>
      </c>
      <c r="C278" s="60" t="s">
        <v>949</v>
      </c>
      <c r="D278" s="60" t="s">
        <v>950</v>
      </c>
      <c r="E278" s="61" t="s">
        <v>46</v>
      </c>
      <c r="F278" s="62" t="s">
        <v>46</v>
      </c>
      <c r="G278" s="63" t="s">
        <v>46</v>
      </c>
      <c r="H278" s="64"/>
      <c r="I278" s="64" t="s">
        <v>47</v>
      </c>
      <c r="J278" s="65">
        <v>10</v>
      </c>
      <c r="K278" s="66">
        <v>5033</v>
      </c>
      <c r="L278" s="67" t="s">
        <v>853</v>
      </c>
      <c r="M278" s="66">
        <v>5105</v>
      </c>
      <c r="N278" s="67" t="s">
        <v>50</v>
      </c>
      <c r="O278" s="66">
        <v>5033</v>
      </c>
      <c r="P278" s="67" t="s">
        <v>853</v>
      </c>
      <c r="Q278" s="66">
        <v>5105</v>
      </c>
      <c r="R278" s="67" t="s">
        <v>50</v>
      </c>
      <c r="S278" s="68">
        <v>5067.3100000000004</v>
      </c>
      <c r="T278" s="65">
        <v>226170</v>
      </c>
      <c r="U278" s="65">
        <v>80000</v>
      </c>
      <c r="V278" s="65">
        <v>1146512574</v>
      </c>
      <c r="W278" s="65">
        <v>406328004</v>
      </c>
      <c r="X278" s="69">
        <v>13</v>
      </c>
    </row>
    <row r="279" spans="1:24">
      <c r="A279" s="60" t="s">
        <v>958</v>
      </c>
      <c r="B279" s="60" t="s">
        <v>952</v>
      </c>
      <c r="C279" s="60" t="s">
        <v>953</v>
      </c>
      <c r="D279" s="60" t="s">
        <v>954</v>
      </c>
      <c r="E279" s="61" t="s">
        <v>46</v>
      </c>
      <c r="F279" s="62" t="s">
        <v>46</v>
      </c>
      <c r="G279" s="63" t="s">
        <v>46</v>
      </c>
      <c r="H279" s="64"/>
      <c r="I279" s="64" t="s">
        <v>47</v>
      </c>
      <c r="J279" s="65">
        <v>10</v>
      </c>
      <c r="K279" s="66">
        <v>5044</v>
      </c>
      <c r="L279" s="67" t="s">
        <v>853</v>
      </c>
      <c r="M279" s="66">
        <v>5090</v>
      </c>
      <c r="N279" s="67" t="s">
        <v>77</v>
      </c>
      <c r="O279" s="66">
        <v>5041</v>
      </c>
      <c r="P279" s="67" t="s">
        <v>92</v>
      </c>
      <c r="Q279" s="66">
        <v>5055</v>
      </c>
      <c r="R279" s="67" t="s">
        <v>132</v>
      </c>
      <c r="S279" s="68">
        <v>5059.75</v>
      </c>
      <c r="T279" s="65">
        <v>457390</v>
      </c>
      <c r="U279" s="65" t="s">
        <v>955</v>
      </c>
      <c r="V279" s="65">
        <v>2318748440</v>
      </c>
      <c r="W279" s="65" t="s">
        <v>955</v>
      </c>
      <c r="X279" s="69">
        <v>12</v>
      </c>
    </row>
    <row r="280" spans="1:24">
      <c r="A280" s="60" t="s">
        <v>958</v>
      </c>
      <c r="B280" s="60" t="s">
        <v>959</v>
      </c>
      <c r="C280" s="60" t="s">
        <v>960</v>
      </c>
      <c r="D280" s="60" t="s">
        <v>961</v>
      </c>
      <c r="E280" s="61" t="s">
        <v>846</v>
      </c>
      <c r="F280" s="62" t="s">
        <v>847</v>
      </c>
      <c r="G280" s="63" t="s">
        <v>962</v>
      </c>
      <c r="H280" s="64"/>
      <c r="I280" s="64" t="s">
        <v>47</v>
      </c>
      <c r="J280" s="65">
        <v>1</v>
      </c>
      <c r="K280" s="66">
        <v>2786</v>
      </c>
      <c r="L280" s="67" t="s">
        <v>96</v>
      </c>
      <c r="M280" s="66">
        <v>2786</v>
      </c>
      <c r="N280" s="67" t="s">
        <v>96</v>
      </c>
      <c r="O280" s="66">
        <v>2502</v>
      </c>
      <c r="P280" s="67" t="s">
        <v>371</v>
      </c>
      <c r="Q280" s="66">
        <v>2613</v>
      </c>
      <c r="R280" s="67" t="s">
        <v>873</v>
      </c>
      <c r="S280" s="68">
        <v>2626.94</v>
      </c>
      <c r="T280" s="65">
        <v>149294</v>
      </c>
      <c r="U280" s="65">
        <v>128800</v>
      </c>
      <c r="V280" s="65">
        <v>406111135</v>
      </c>
      <c r="W280" s="65">
        <v>351545544</v>
      </c>
      <c r="X280" s="69">
        <v>17</v>
      </c>
    </row>
    <row r="281" spans="1:24">
      <c r="A281" s="60" t="s">
        <v>958</v>
      </c>
      <c r="B281" s="60" t="s">
        <v>963</v>
      </c>
      <c r="C281" s="60" t="s">
        <v>964</v>
      </c>
      <c r="D281" s="60" t="s">
        <v>965</v>
      </c>
      <c r="E281" s="61" t="s">
        <v>846</v>
      </c>
      <c r="F281" s="62" t="s">
        <v>847</v>
      </c>
      <c r="G281" s="63" t="s">
        <v>962</v>
      </c>
      <c r="H281" s="64"/>
      <c r="I281" s="64" t="s">
        <v>47</v>
      </c>
      <c r="J281" s="65">
        <v>1</v>
      </c>
      <c r="K281" s="66">
        <v>2194</v>
      </c>
      <c r="L281" s="67" t="s">
        <v>96</v>
      </c>
      <c r="M281" s="66">
        <v>2196</v>
      </c>
      <c r="N281" s="67" t="s">
        <v>859</v>
      </c>
      <c r="O281" s="66">
        <v>2030</v>
      </c>
      <c r="P281" s="67" t="s">
        <v>371</v>
      </c>
      <c r="Q281" s="66">
        <v>2068</v>
      </c>
      <c r="R281" s="67" t="s">
        <v>873</v>
      </c>
      <c r="S281" s="68">
        <v>2092.29</v>
      </c>
      <c r="T281" s="65">
        <v>93824</v>
      </c>
      <c r="U281" s="65">
        <v>68200</v>
      </c>
      <c r="V281" s="65">
        <v>202027977</v>
      </c>
      <c r="W281" s="65">
        <v>147974290</v>
      </c>
      <c r="X281" s="69">
        <v>17</v>
      </c>
    </row>
    <row r="282" spans="1:24">
      <c r="A282" s="60" t="s">
        <v>958</v>
      </c>
      <c r="B282" s="60" t="s">
        <v>966</v>
      </c>
      <c r="C282" s="60" t="s">
        <v>967</v>
      </c>
      <c r="D282" s="60" t="s">
        <v>968</v>
      </c>
      <c r="E282" s="61" t="s">
        <v>846</v>
      </c>
      <c r="F282" s="62" t="s">
        <v>847</v>
      </c>
      <c r="G282" s="63" t="s">
        <v>969</v>
      </c>
      <c r="H282" s="64"/>
      <c r="I282" s="64" t="s">
        <v>47</v>
      </c>
      <c r="J282" s="65">
        <v>1</v>
      </c>
      <c r="K282" s="66">
        <v>7557</v>
      </c>
      <c r="L282" s="67" t="s">
        <v>860</v>
      </c>
      <c r="M282" s="66">
        <v>7610</v>
      </c>
      <c r="N282" s="67" t="s">
        <v>88</v>
      </c>
      <c r="O282" s="66">
        <v>7539</v>
      </c>
      <c r="P282" s="67" t="s">
        <v>92</v>
      </c>
      <c r="Q282" s="66">
        <v>7582</v>
      </c>
      <c r="R282" s="67" t="s">
        <v>873</v>
      </c>
      <c r="S282" s="68">
        <v>7575.17</v>
      </c>
      <c r="T282" s="65">
        <v>228</v>
      </c>
      <c r="U282" s="65" t="s">
        <v>955</v>
      </c>
      <c r="V282" s="65">
        <v>1727176</v>
      </c>
      <c r="W282" s="65" t="s">
        <v>955</v>
      </c>
      <c r="X282" s="69">
        <v>12</v>
      </c>
    </row>
    <row r="283" spans="1:24">
      <c r="A283" s="60" t="s">
        <v>958</v>
      </c>
      <c r="B283" s="60" t="s">
        <v>970</v>
      </c>
      <c r="C283" s="60" t="s">
        <v>971</v>
      </c>
      <c r="D283" s="60" t="s">
        <v>972</v>
      </c>
      <c r="E283" s="61" t="s">
        <v>846</v>
      </c>
      <c r="F283" s="62" t="s">
        <v>847</v>
      </c>
      <c r="G283" s="63" t="s">
        <v>969</v>
      </c>
      <c r="H283" s="64"/>
      <c r="I283" s="64" t="s">
        <v>47</v>
      </c>
      <c r="J283" s="65">
        <v>1</v>
      </c>
      <c r="K283" s="66">
        <v>7562</v>
      </c>
      <c r="L283" s="67" t="s">
        <v>860</v>
      </c>
      <c r="M283" s="66">
        <v>7580</v>
      </c>
      <c r="N283" s="67" t="s">
        <v>860</v>
      </c>
      <c r="O283" s="66">
        <v>7470</v>
      </c>
      <c r="P283" s="67" t="s">
        <v>873</v>
      </c>
      <c r="Q283" s="66">
        <v>7470</v>
      </c>
      <c r="R283" s="67" t="s">
        <v>873</v>
      </c>
      <c r="S283" s="68">
        <v>7532</v>
      </c>
      <c r="T283" s="65">
        <v>2128</v>
      </c>
      <c r="U283" s="65" t="s">
        <v>955</v>
      </c>
      <c r="V283" s="65">
        <v>16004817</v>
      </c>
      <c r="W283" s="65" t="s">
        <v>955</v>
      </c>
      <c r="X283" s="69">
        <v>11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F3B2E-1FE4-45E1-9739-362D72ECFBD0}">
  <sheetPr>
    <pageSetUpPr fitToPage="1"/>
  </sheetPr>
  <dimension ref="A1:X276"/>
  <sheetViews>
    <sheetView showGridLines="0" view="pageBreakPreview" zoomScaleNormal="70" zoomScaleSheetLayoutView="100" workbookViewId="0">
      <pane ySplit="6" topLeftCell="A7" activePane="bottomLeft" state="frozen"/>
      <selection pane="bottomLeft"/>
    </sheetView>
  </sheetViews>
  <sheetFormatPr defaultColWidth="9" defaultRowHeight="13.2"/>
  <cols>
    <col min="1" max="1" width="13.109375" style="1" bestFit="1" customWidth="1"/>
    <col min="2" max="2" width="10.77734375" style="1" bestFit="1" customWidth="1"/>
    <col min="3" max="4" width="27.6640625" style="1" customWidth="1"/>
    <col min="5" max="5" width="13.77734375" style="1" bestFit="1" customWidth="1"/>
    <col min="6" max="6" width="20.77734375" style="1" bestFit="1" customWidth="1"/>
    <col min="7" max="7" width="11.21875" style="1" customWidth="1"/>
    <col min="8" max="8" width="8.77734375" style="1" bestFit="1" customWidth="1"/>
    <col min="9" max="9" width="11.77734375" style="1" bestFit="1" customWidth="1"/>
    <col min="10" max="10" width="12.6640625" style="1" bestFit="1" customWidth="1"/>
    <col min="11" max="11" width="16.21875" style="1" customWidth="1"/>
    <col min="12" max="12" width="5.6640625" style="1" bestFit="1" customWidth="1"/>
    <col min="13" max="13" width="16.21875" style="1" customWidth="1"/>
    <col min="14" max="14" width="5.6640625" style="1" bestFit="1" customWidth="1"/>
    <col min="15" max="15" width="16.21875" style="1" customWidth="1"/>
    <col min="16" max="16" width="5.6640625" style="1" bestFit="1" customWidth="1"/>
    <col min="17" max="17" width="16.21875" style="1" customWidth="1"/>
    <col min="18" max="18" width="5.6640625" style="1" bestFit="1" customWidth="1"/>
    <col min="19" max="19" width="23.88671875" style="1" bestFit="1" customWidth="1"/>
    <col min="20" max="20" width="16.21875" style="1" customWidth="1"/>
    <col min="21" max="21" width="24.109375" style="1" customWidth="1"/>
    <col min="22" max="22" width="19.88671875" style="1" bestFit="1" customWidth="1"/>
    <col min="23" max="23" width="25" style="1" bestFit="1" customWidth="1"/>
    <col min="24" max="24" width="13.109375" style="1" bestFit="1" customWidth="1"/>
    <col min="25" max="16384" width="9" style="1"/>
  </cols>
  <sheetData>
    <row r="1" spans="1:24" ht="13.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70" t="s">
        <v>22</v>
      </c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4" ht="99" customHeight="1">
      <c r="A2" s="76" t="s">
        <v>23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2"/>
      <c r="O2" s="72"/>
      <c r="P2" s="72"/>
      <c r="Q2" s="72"/>
      <c r="R2" s="72"/>
      <c r="S2" s="72"/>
      <c r="T2" s="72"/>
      <c r="U2" s="72"/>
      <c r="V2" s="72"/>
      <c r="W2" s="72"/>
      <c r="X2" s="73"/>
    </row>
    <row r="3" spans="1:24" ht="39" customHeight="1">
      <c r="A3" s="78" t="s">
        <v>24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</row>
    <row r="4" spans="1:24" s="2" customFormat="1" ht="13.5" customHeight="1">
      <c r="A4" s="40" t="s">
        <v>25</v>
      </c>
      <c r="B4" s="40" t="s">
        <v>0</v>
      </c>
      <c r="C4" s="40"/>
      <c r="D4" s="40"/>
      <c r="E4" s="41"/>
      <c r="F4" s="42"/>
      <c r="G4" s="43" t="s">
        <v>2</v>
      </c>
      <c r="H4" s="40" t="s">
        <v>26</v>
      </c>
      <c r="I4" s="40" t="s">
        <v>3</v>
      </c>
      <c r="J4" s="40" t="s">
        <v>4</v>
      </c>
      <c r="K4" s="44" t="s">
        <v>5</v>
      </c>
      <c r="L4" s="43" t="s">
        <v>2</v>
      </c>
      <c r="M4" s="44" t="s">
        <v>6</v>
      </c>
      <c r="N4" s="43" t="s">
        <v>2</v>
      </c>
      <c r="O4" s="44" t="s">
        <v>7</v>
      </c>
      <c r="P4" s="43" t="s">
        <v>2</v>
      </c>
      <c r="Q4" s="44" t="s">
        <v>8</v>
      </c>
      <c r="R4" s="43" t="s">
        <v>2</v>
      </c>
      <c r="S4" s="40" t="s">
        <v>9</v>
      </c>
      <c r="T4" s="40" t="s">
        <v>10</v>
      </c>
      <c r="U4" s="45" t="s">
        <v>11</v>
      </c>
      <c r="V4" s="40" t="s">
        <v>12</v>
      </c>
      <c r="W4" s="40" t="s">
        <v>13</v>
      </c>
      <c r="X4" s="40" t="s">
        <v>14</v>
      </c>
    </row>
    <row r="5" spans="1:24">
      <c r="A5" s="46" t="s">
        <v>27</v>
      </c>
      <c r="B5" s="46" t="s">
        <v>28</v>
      </c>
      <c r="C5" s="46" t="s">
        <v>29</v>
      </c>
      <c r="D5" s="46" t="s">
        <v>1</v>
      </c>
      <c r="E5" s="47" t="s">
        <v>30</v>
      </c>
      <c r="F5" s="48" t="s">
        <v>31</v>
      </c>
      <c r="G5" s="49" t="s">
        <v>32</v>
      </c>
      <c r="H5" s="50" t="s">
        <v>33</v>
      </c>
      <c r="I5" s="50" t="s">
        <v>15</v>
      </c>
      <c r="J5" s="50" t="s">
        <v>34</v>
      </c>
      <c r="K5" s="51" t="s">
        <v>16</v>
      </c>
      <c r="L5" s="49" t="s">
        <v>32</v>
      </c>
      <c r="M5" s="51" t="s">
        <v>35</v>
      </c>
      <c r="N5" s="49" t="s">
        <v>32</v>
      </c>
      <c r="O5" s="51" t="s">
        <v>17</v>
      </c>
      <c r="P5" s="49" t="s">
        <v>32</v>
      </c>
      <c r="Q5" s="51" t="s">
        <v>18</v>
      </c>
      <c r="R5" s="49" t="s">
        <v>32</v>
      </c>
      <c r="S5" s="52" t="s">
        <v>36</v>
      </c>
      <c r="T5" s="52" t="s">
        <v>19</v>
      </c>
      <c r="U5" s="46" t="s">
        <v>37</v>
      </c>
      <c r="V5" s="52" t="s">
        <v>20</v>
      </c>
      <c r="W5" s="52" t="s">
        <v>38</v>
      </c>
      <c r="X5" s="52" t="s">
        <v>39</v>
      </c>
    </row>
    <row r="6" spans="1:24">
      <c r="A6" s="53"/>
      <c r="B6" s="53"/>
      <c r="C6" s="53"/>
      <c r="D6" s="53"/>
      <c r="E6" s="54"/>
      <c r="F6" s="55"/>
      <c r="G6" s="56"/>
      <c r="H6" s="57"/>
      <c r="I6" s="57"/>
      <c r="J6" s="57" t="s">
        <v>40</v>
      </c>
      <c r="K6" s="58" t="s">
        <v>41</v>
      </c>
      <c r="L6" s="59"/>
      <c r="M6" s="58" t="s">
        <v>41</v>
      </c>
      <c r="N6" s="59"/>
      <c r="O6" s="58" t="s">
        <v>41</v>
      </c>
      <c r="P6" s="59"/>
      <c r="Q6" s="58" t="s">
        <v>41</v>
      </c>
      <c r="R6" s="59"/>
      <c r="S6" s="58" t="s">
        <v>41</v>
      </c>
      <c r="T6" s="57" t="s">
        <v>21</v>
      </c>
      <c r="U6" s="57" t="s">
        <v>21</v>
      </c>
      <c r="V6" s="58" t="s">
        <v>41</v>
      </c>
      <c r="W6" s="58" t="s">
        <v>41</v>
      </c>
      <c r="X6" s="57"/>
    </row>
    <row r="7" spans="1:24" s="28" customFormat="1" ht="13.5" customHeight="1">
      <c r="A7" s="60" t="s">
        <v>871</v>
      </c>
      <c r="B7" s="60" t="s">
        <v>43</v>
      </c>
      <c r="C7" s="60" t="s">
        <v>44</v>
      </c>
      <c r="D7" s="60" t="s">
        <v>45</v>
      </c>
      <c r="E7" s="61" t="s">
        <v>46</v>
      </c>
      <c r="F7" s="62" t="s">
        <v>46</v>
      </c>
      <c r="G7" s="63" t="s">
        <v>46</v>
      </c>
      <c r="H7" s="64"/>
      <c r="I7" s="64" t="s">
        <v>47</v>
      </c>
      <c r="J7" s="65">
        <v>10</v>
      </c>
      <c r="K7" s="66">
        <f>1990</f>
        <v>1990</v>
      </c>
      <c r="L7" s="67" t="s">
        <v>853</v>
      </c>
      <c r="M7" s="66">
        <f>2120</f>
        <v>2120</v>
      </c>
      <c r="N7" s="67" t="s">
        <v>613</v>
      </c>
      <c r="O7" s="66">
        <f>1957</f>
        <v>1957</v>
      </c>
      <c r="P7" s="67" t="s">
        <v>84</v>
      </c>
      <c r="Q7" s="66">
        <f>2076</f>
        <v>2076</v>
      </c>
      <c r="R7" s="67" t="s">
        <v>872</v>
      </c>
      <c r="S7" s="68">
        <f>2050.35</f>
        <v>2050.35</v>
      </c>
      <c r="T7" s="65">
        <f>37118430</f>
        <v>37118430</v>
      </c>
      <c r="U7" s="65">
        <f>27724460</f>
        <v>27724460</v>
      </c>
      <c r="V7" s="65">
        <f>76823227790</f>
        <v>76823227790</v>
      </c>
      <c r="W7" s="65">
        <f>57538454210</f>
        <v>57538454210</v>
      </c>
      <c r="X7" s="69">
        <f>23</f>
        <v>23</v>
      </c>
    </row>
    <row r="8" spans="1:24">
      <c r="A8" s="60" t="s">
        <v>871</v>
      </c>
      <c r="B8" s="60" t="s">
        <v>51</v>
      </c>
      <c r="C8" s="60" t="s">
        <v>52</v>
      </c>
      <c r="D8" s="60" t="s">
        <v>53</v>
      </c>
      <c r="E8" s="61" t="s">
        <v>46</v>
      </c>
      <c r="F8" s="62" t="s">
        <v>46</v>
      </c>
      <c r="G8" s="63" t="s">
        <v>46</v>
      </c>
      <c r="H8" s="64"/>
      <c r="I8" s="64" t="s">
        <v>47</v>
      </c>
      <c r="J8" s="65">
        <v>10</v>
      </c>
      <c r="K8" s="66">
        <f>1967</f>
        <v>1967</v>
      </c>
      <c r="L8" s="67" t="s">
        <v>853</v>
      </c>
      <c r="M8" s="66">
        <f>2096</f>
        <v>2096</v>
      </c>
      <c r="N8" s="67" t="s">
        <v>613</v>
      </c>
      <c r="O8" s="66">
        <f>1935</f>
        <v>1935</v>
      </c>
      <c r="P8" s="67" t="s">
        <v>84</v>
      </c>
      <c r="Q8" s="66">
        <f>2052</f>
        <v>2052</v>
      </c>
      <c r="R8" s="67" t="s">
        <v>872</v>
      </c>
      <c r="S8" s="68">
        <f>2027.83</f>
        <v>2027.83</v>
      </c>
      <c r="T8" s="65">
        <f>87540920</f>
        <v>87540920</v>
      </c>
      <c r="U8" s="65">
        <f>23399920</f>
        <v>23399920</v>
      </c>
      <c r="V8" s="65">
        <f>177543394056</f>
        <v>177543394056</v>
      </c>
      <c r="W8" s="65">
        <f>47654156796</f>
        <v>47654156796</v>
      </c>
      <c r="X8" s="69">
        <f>23</f>
        <v>23</v>
      </c>
    </row>
    <row r="9" spans="1:24">
      <c r="A9" s="60" t="s">
        <v>871</v>
      </c>
      <c r="B9" s="60" t="s">
        <v>54</v>
      </c>
      <c r="C9" s="60" t="s">
        <v>55</v>
      </c>
      <c r="D9" s="60" t="s">
        <v>56</v>
      </c>
      <c r="E9" s="61" t="s">
        <v>46</v>
      </c>
      <c r="F9" s="62" t="s">
        <v>46</v>
      </c>
      <c r="G9" s="63" t="s">
        <v>46</v>
      </c>
      <c r="H9" s="64"/>
      <c r="I9" s="64" t="s">
        <v>47</v>
      </c>
      <c r="J9" s="65">
        <v>100</v>
      </c>
      <c r="K9" s="66">
        <f>1948</f>
        <v>1948</v>
      </c>
      <c r="L9" s="67" t="s">
        <v>853</v>
      </c>
      <c r="M9" s="66">
        <f>2073</f>
        <v>2073</v>
      </c>
      <c r="N9" s="67" t="s">
        <v>613</v>
      </c>
      <c r="O9" s="66">
        <f>1914</f>
        <v>1914</v>
      </c>
      <c r="P9" s="67" t="s">
        <v>84</v>
      </c>
      <c r="Q9" s="66">
        <f>2031</f>
        <v>2031</v>
      </c>
      <c r="R9" s="67" t="s">
        <v>872</v>
      </c>
      <c r="S9" s="68">
        <f>2007.35</f>
        <v>2007.35</v>
      </c>
      <c r="T9" s="65">
        <f>28058000</f>
        <v>28058000</v>
      </c>
      <c r="U9" s="65">
        <f>15595000</f>
        <v>15595000</v>
      </c>
      <c r="V9" s="65">
        <f>56222472070</f>
        <v>56222472070</v>
      </c>
      <c r="W9" s="65">
        <f>31572505070</f>
        <v>31572505070</v>
      </c>
      <c r="X9" s="69">
        <f>23</f>
        <v>23</v>
      </c>
    </row>
    <row r="10" spans="1:24">
      <c r="A10" s="60" t="s">
        <v>871</v>
      </c>
      <c r="B10" s="60" t="s">
        <v>57</v>
      </c>
      <c r="C10" s="60" t="s">
        <v>58</v>
      </c>
      <c r="D10" s="60" t="s">
        <v>59</v>
      </c>
      <c r="E10" s="61" t="s">
        <v>46</v>
      </c>
      <c r="F10" s="62" t="s">
        <v>46</v>
      </c>
      <c r="G10" s="63" t="s">
        <v>46</v>
      </c>
      <c r="H10" s="64"/>
      <c r="I10" s="64" t="s">
        <v>47</v>
      </c>
      <c r="J10" s="65">
        <v>1</v>
      </c>
      <c r="K10" s="66">
        <f>46550</f>
        <v>46550</v>
      </c>
      <c r="L10" s="67" t="s">
        <v>853</v>
      </c>
      <c r="M10" s="66">
        <f>48650</f>
        <v>48650</v>
      </c>
      <c r="N10" s="67" t="s">
        <v>858</v>
      </c>
      <c r="O10" s="66">
        <f>43750</f>
        <v>43750</v>
      </c>
      <c r="P10" s="67" t="s">
        <v>176</v>
      </c>
      <c r="Q10" s="66">
        <f>44950</f>
        <v>44950</v>
      </c>
      <c r="R10" s="67" t="s">
        <v>872</v>
      </c>
      <c r="S10" s="68">
        <f>45519.57</f>
        <v>45519.57</v>
      </c>
      <c r="T10" s="65">
        <f>17117</f>
        <v>17117</v>
      </c>
      <c r="U10" s="65" t="str">
        <f>"－"</f>
        <v>－</v>
      </c>
      <c r="V10" s="65">
        <f>784891450</f>
        <v>784891450</v>
      </c>
      <c r="W10" s="65" t="str">
        <f>"－"</f>
        <v>－</v>
      </c>
      <c r="X10" s="69">
        <f>23</f>
        <v>23</v>
      </c>
    </row>
    <row r="11" spans="1:24">
      <c r="A11" s="60" t="s">
        <v>871</v>
      </c>
      <c r="B11" s="60" t="s">
        <v>60</v>
      </c>
      <c r="C11" s="60" t="s">
        <v>61</v>
      </c>
      <c r="D11" s="60" t="s">
        <v>62</v>
      </c>
      <c r="E11" s="61" t="s">
        <v>46</v>
      </c>
      <c r="F11" s="62" t="s">
        <v>46</v>
      </c>
      <c r="G11" s="63" t="s">
        <v>46</v>
      </c>
      <c r="H11" s="64"/>
      <c r="I11" s="64" t="s">
        <v>47</v>
      </c>
      <c r="J11" s="65">
        <v>10</v>
      </c>
      <c r="K11" s="66">
        <f>886</f>
        <v>886</v>
      </c>
      <c r="L11" s="67" t="s">
        <v>853</v>
      </c>
      <c r="M11" s="66">
        <f>950</f>
        <v>950</v>
      </c>
      <c r="N11" s="67" t="s">
        <v>132</v>
      </c>
      <c r="O11" s="66">
        <f>863</f>
        <v>863</v>
      </c>
      <c r="P11" s="67" t="s">
        <v>84</v>
      </c>
      <c r="Q11" s="66">
        <f>915</f>
        <v>915</v>
      </c>
      <c r="R11" s="67" t="s">
        <v>872</v>
      </c>
      <c r="S11" s="68">
        <f>902.52</f>
        <v>902.52</v>
      </c>
      <c r="T11" s="65">
        <f>506250</f>
        <v>506250</v>
      </c>
      <c r="U11" s="65">
        <f>30</f>
        <v>30</v>
      </c>
      <c r="V11" s="65">
        <f>458513640</f>
        <v>458513640</v>
      </c>
      <c r="W11" s="65">
        <f>27420</f>
        <v>27420</v>
      </c>
      <c r="X11" s="69">
        <f>23</f>
        <v>23</v>
      </c>
    </row>
    <row r="12" spans="1:24">
      <c r="A12" s="60" t="s">
        <v>871</v>
      </c>
      <c r="B12" s="60" t="s">
        <v>63</v>
      </c>
      <c r="C12" s="60" t="s">
        <v>64</v>
      </c>
      <c r="D12" s="60" t="s">
        <v>65</v>
      </c>
      <c r="E12" s="61" t="s">
        <v>46</v>
      </c>
      <c r="F12" s="62" t="s">
        <v>46</v>
      </c>
      <c r="G12" s="63" t="s">
        <v>46</v>
      </c>
      <c r="H12" s="64"/>
      <c r="I12" s="64" t="s">
        <v>47</v>
      </c>
      <c r="J12" s="65">
        <v>1</v>
      </c>
      <c r="K12" s="66">
        <f>21030</f>
        <v>21030</v>
      </c>
      <c r="L12" s="67" t="s">
        <v>853</v>
      </c>
      <c r="M12" s="66">
        <f>23220</f>
        <v>23220</v>
      </c>
      <c r="N12" s="67" t="s">
        <v>873</v>
      </c>
      <c r="O12" s="66">
        <f>20940</f>
        <v>20940</v>
      </c>
      <c r="P12" s="67" t="s">
        <v>84</v>
      </c>
      <c r="Q12" s="66">
        <f>22350</f>
        <v>22350</v>
      </c>
      <c r="R12" s="67" t="s">
        <v>872</v>
      </c>
      <c r="S12" s="68">
        <f>22129.13</f>
        <v>22129.13</v>
      </c>
      <c r="T12" s="65">
        <f>3760</f>
        <v>3760</v>
      </c>
      <c r="U12" s="65" t="str">
        <f>"－"</f>
        <v>－</v>
      </c>
      <c r="V12" s="65">
        <f>84104390</f>
        <v>84104390</v>
      </c>
      <c r="W12" s="65" t="str">
        <f>"－"</f>
        <v>－</v>
      </c>
      <c r="X12" s="69">
        <f>23</f>
        <v>23</v>
      </c>
    </row>
    <row r="13" spans="1:24">
      <c r="A13" s="60" t="s">
        <v>871</v>
      </c>
      <c r="B13" s="60" t="s">
        <v>66</v>
      </c>
      <c r="C13" s="60" t="s">
        <v>67</v>
      </c>
      <c r="D13" s="60" t="s">
        <v>68</v>
      </c>
      <c r="E13" s="61" t="s">
        <v>46</v>
      </c>
      <c r="F13" s="62" t="s">
        <v>46</v>
      </c>
      <c r="G13" s="63" t="s">
        <v>46</v>
      </c>
      <c r="H13" s="64"/>
      <c r="I13" s="64" t="s">
        <v>47</v>
      </c>
      <c r="J13" s="65">
        <v>10</v>
      </c>
      <c r="K13" s="66">
        <f>4150</f>
        <v>4150</v>
      </c>
      <c r="L13" s="67" t="s">
        <v>853</v>
      </c>
      <c r="M13" s="66">
        <f>4175</f>
        <v>4175</v>
      </c>
      <c r="N13" s="67" t="s">
        <v>860</v>
      </c>
      <c r="O13" s="66">
        <f>3875</f>
        <v>3875</v>
      </c>
      <c r="P13" s="67" t="s">
        <v>859</v>
      </c>
      <c r="Q13" s="66">
        <f>4100</f>
        <v>4100</v>
      </c>
      <c r="R13" s="67" t="s">
        <v>872</v>
      </c>
      <c r="S13" s="68">
        <f>4020.22</f>
        <v>4020.22</v>
      </c>
      <c r="T13" s="65">
        <f>5420</f>
        <v>5420</v>
      </c>
      <c r="U13" s="65" t="str">
        <f>"－"</f>
        <v>－</v>
      </c>
      <c r="V13" s="65">
        <f>21754250</f>
        <v>21754250</v>
      </c>
      <c r="W13" s="65" t="str">
        <f>"－"</f>
        <v>－</v>
      </c>
      <c r="X13" s="69">
        <f>23</f>
        <v>23</v>
      </c>
    </row>
    <row r="14" spans="1:24">
      <c r="A14" s="60" t="s">
        <v>871</v>
      </c>
      <c r="B14" s="60" t="s">
        <v>70</v>
      </c>
      <c r="C14" s="60" t="s">
        <v>71</v>
      </c>
      <c r="D14" s="60" t="s">
        <v>72</v>
      </c>
      <c r="E14" s="61" t="s">
        <v>46</v>
      </c>
      <c r="F14" s="62" t="s">
        <v>46</v>
      </c>
      <c r="G14" s="63" t="s">
        <v>46</v>
      </c>
      <c r="H14" s="64"/>
      <c r="I14" s="64" t="s">
        <v>47</v>
      </c>
      <c r="J14" s="65">
        <v>1000</v>
      </c>
      <c r="K14" s="66">
        <f>363</f>
        <v>363</v>
      </c>
      <c r="L14" s="67" t="s">
        <v>853</v>
      </c>
      <c r="M14" s="66">
        <f>390</f>
        <v>390</v>
      </c>
      <c r="N14" s="67" t="s">
        <v>613</v>
      </c>
      <c r="O14" s="66">
        <f>359</f>
        <v>359</v>
      </c>
      <c r="P14" s="67" t="s">
        <v>84</v>
      </c>
      <c r="Q14" s="66">
        <f>384</f>
        <v>384</v>
      </c>
      <c r="R14" s="67" t="s">
        <v>872</v>
      </c>
      <c r="S14" s="68">
        <f>374.35</f>
        <v>374.35</v>
      </c>
      <c r="T14" s="65">
        <f>240000</f>
        <v>240000</v>
      </c>
      <c r="U14" s="65" t="str">
        <f>"－"</f>
        <v>－</v>
      </c>
      <c r="V14" s="65">
        <f>90083000</f>
        <v>90083000</v>
      </c>
      <c r="W14" s="65" t="str">
        <f>"－"</f>
        <v>－</v>
      </c>
      <c r="X14" s="69">
        <f>23</f>
        <v>23</v>
      </c>
    </row>
    <row r="15" spans="1:24">
      <c r="A15" s="60" t="s">
        <v>871</v>
      </c>
      <c r="B15" s="60" t="s">
        <v>74</v>
      </c>
      <c r="C15" s="60" t="s">
        <v>75</v>
      </c>
      <c r="D15" s="60" t="s">
        <v>76</v>
      </c>
      <c r="E15" s="61" t="s">
        <v>46</v>
      </c>
      <c r="F15" s="62" t="s">
        <v>46</v>
      </c>
      <c r="G15" s="63" t="s">
        <v>46</v>
      </c>
      <c r="H15" s="64"/>
      <c r="I15" s="64" t="s">
        <v>47</v>
      </c>
      <c r="J15" s="65">
        <v>1</v>
      </c>
      <c r="K15" s="66">
        <f>30450</f>
        <v>30450</v>
      </c>
      <c r="L15" s="67" t="s">
        <v>853</v>
      </c>
      <c r="M15" s="66">
        <f>31400</f>
        <v>31400</v>
      </c>
      <c r="N15" s="67" t="s">
        <v>100</v>
      </c>
      <c r="O15" s="66">
        <f>29130</f>
        <v>29130</v>
      </c>
      <c r="P15" s="67" t="s">
        <v>84</v>
      </c>
      <c r="Q15" s="66">
        <f>30300</f>
        <v>30300</v>
      </c>
      <c r="R15" s="67" t="s">
        <v>872</v>
      </c>
      <c r="S15" s="68">
        <f>30190.87</f>
        <v>30190.87</v>
      </c>
      <c r="T15" s="65">
        <f>3080620</f>
        <v>3080620</v>
      </c>
      <c r="U15" s="65">
        <f>1106785</f>
        <v>1106785</v>
      </c>
      <c r="V15" s="65">
        <f>92077648488</f>
        <v>92077648488</v>
      </c>
      <c r="W15" s="65">
        <f>32792350678</f>
        <v>32792350678</v>
      </c>
      <c r="X15" s="69">
        <f>23</f>
        <v>23</v>
      </c>
    </row>
    <row r="16" spans="1:24">
      <c r="A16" s="60" t="s">
        <v>871</v>
      </c>
      <c r="B16" s="60" t="s">
        <v>78</v>
      </c>
      <c r="C16" s="60" t="s">
        <v>79</v>
      </c>
      <c r="D16" s="60" t="s">
        <v>80</v>
      </c>
      <c r="E16" s="61" t="s">
        <v>46</v>
      </c>
      <c r="F16" s="62" t="s">
        <v>46</v>
      </c>
      <c r="G16" s="63" t="s">
        <v>46</v>
      </c>
      <c r="H16" s="64"/>
      <c r="I16" s="64" t="s">
        <v>47</v>
      </c>
      <c r="J16" s="65">
        <v>1</v>
      </c>
      <c r="K16" s="66">
        <f>30450</f>
        <v>30450</v>
      </c>
      <c r="L16" s="67" t="s">
        <v>853</v>
      </c>
      <c r="M16" s="66">
        <f>31450</f>
        <v>31450</v>
      </c>
      <c r="N16" s="67" t="s">
        <v>100</v>
      </c>
      <c r="O16" s="66">
        <f>29190</f>
        <v>29190</v>
      </c>
      <c r="P16" s="67" t="s">
        <v>84</v>
      </c>
      <c r="Q16" s="66">
        <f>30300</f>
        <v>30300</v>
      </c>
      <c r="R16" s="67" t="s">
        <v>872</v>
      </c>
      <c r="S16" s="68">
        <f>30236.52</f>
        <v>30236.52</v>
      </c>
      <c r="T16" s="65">
        <f>10693808</f>
        <v>10693808</v>
      </c>
      <c r="U16" s="65">
        <f>1804882</f>
        <v>1804882</v>
      </c>
      <c r="V16" s="65">
        <f>320870679060</f>
        <v>320870679060</v>
      </c>
      <c r="W16" s="65">
        <f>53972575810</f>
        <v>53972575810</v>
      </c>
      <c r="X16" s="69">
        <f>23</f>
        <v>23</v>
      </c>
    </row>
    <row r="17" spans="1:24">
      <c r="A17" s="60" t="s">
        <v>871</v>
      </c>
      <c r="B17" s="60" t="s">
        <v>81</v>
      </c>
      <c r="C17" s="60" t="s">
        <v>82</v>
      </c>
      <c r="D17" s="60" t="s">
        <v>83</v>
      </c>
      <c r="E17" s="61" t="s">
        <v>46</v>
      </c>
      <c r="F17" s="62" t="s">
        <v>46</v>
      </c>
      <c r="G17" s="63" t="s">
        <v>46</v>
      </c>
      <c r="H17" s="64"/>
      <c r="I17" s="64" t="s">
        <v>47</v>
      </c>
      <c r="J17" s="65">
        <v>10</v>
      </c>
      <c r="K17" s="66">
        <f>8570</f>
        <v>8570</v>
      </c>
      <c r="L17" s="67" t="s">
        <v>853</v>
      </c>
      <c r="M17" s="66">
        <f>9220</f>
        <v>9220</v>
      </c>
      <c r="N17" s="67" t="s">
        <v>96</v>
      </c>
      <c r="O17" s="66">
        <f>8000</f>
        <v>8000</v>
      </c>
      <c r="P17" s="67" t="s">
        <v>176</v>
      </c>
      <c r="Q17" s="66">
        <f>8180</f>
        <v>8180</v>
      </c>
      <c r="R17" s="67" t="s">
        <v>872</v>
      </c>
      <c r="S17" s="68">
        <f>8331.74</f>
        <v>8331.74</v>
      </c>
      <c r="T17" s="65">
        <f>56360</f>
        <v>56360</v>
      </c>
      <c r="U17" s="65" t="str">
        <f>"－"</f>
        <v>－</v>
      </c>
      <c r="V17" s="65">
        <f>472364200</f>
        <v>472364200</v>
      </c>
      <c r="W17" s="65" t="str">
        <f>"－"</f>
        <v>－</v>
      </c>
      <c r="X17" s="69">
        <f>23</f>
        <v>23</v>
      </c>
    </row>
    <row r="18" spans="1:24">
      <c r="A18" s="60" t="s">
        <v>871</v>
      </c>
      <c r="B18" s="60" t="s">
        <v>85</v>
      </c>
      <c r="C18" s="60" t="s">
        <v>86</v>
      </c>
      <c r="D18" s="60" t="s">
        <v>87</v>
      </c>
      <c r="E18" s="61" t="s">
        <v>46</v>
      </c>
      <c r="F18" s="62" t="s">
        <v>46</v>
      </c>
      <c r="G18" s="63" t="s">
        <v>46</v>
      </c>
      <c r="H18" s="64"/>
      <c r="I18" s="64" t="s">
        <v>47</v>
      </c>
      <c r="J18" s="65">
        <v>100</v>
      </c>
      <c r="K18" s="66">
        <f>406</f>
        <v>406</v>
      </c>
      <c r="L18" s="67" t="s">
        <v>853</v>
      </c>
      <c r="M18" s="66">
        <f>415</f>
        <v>415</v>
      </c>
      <c r="N18" s="67" t="s">
        <v>874</v>
      </c>
      <c r="O18" s="66">
        <f>395</f>
        <v>395</v>
      </c>
      <c r="P18" s="67" t="s">
        <v>96</v>
      </c>
      <c r="Q18" s="66">
        <f>410</f>
        <v>410</v>
      </c>
      <c r="R18" s="67" t="s">
        <v>872</v>
      </c>
      <c r="S18" s="68">
        <f>405.39</f>
        <v>405.39</v>
      </c>
      <c r="T18" s="65">
        <f>57400</f>
        <v>57400</v>
      </c>
      <c r="U18" s="65">
        <f>100</f>
        <v>100</v>
      </c>
      <c r="V18" s="65">
        <f>23280600</f>
        <v>23280600</v>
      </c>
      <c r="W18" s="65">
        <f>40600</f>
        <v>40600</v>
      </c>
      <c r="X18" s="69">
        <f>23</f>
        <v>23</v>
      </c>
    </row>
    <row r="19" spans="1:24">
      <c r="A19" s="60" t="s">
        <v>871</v>
      </c>
      <c r="B19" s="60" t="s">
        <v>89</v>
      </c>
      <c r="C19" s="60" t="s">
        <v>90</v>
      </c>
      <c r="D19" s="60" t="s">
        <v>91</v>
      </c>
      <c r="E19" s="61" t="s">
        <v>46</v>
      </c>
      <c r="F19" s="62" t="s">
        <v>46</v>
      </c>
      <c r="G19" s="63" t="s">
        <v>46</v>
      </c>
      <c r="H19" s="64"/>
      <c r="I19" s="64" t="s">
        <v>47</v>
      </c>
      <c r="J19" s="65">
        <v>100</v>
      </c>
      <c r="K19" s="66">
        <f>139</f>
        <v>139</v>
      </c>
      <c r="L19" s="67" t="s">
        <v>853</v>
      </c>
      <c r="M19" s="66">
        <f>152</f>
        <v>152</v>
      </c>
      <c r="N19" s="67" t="s">
        <v>854</v>
      </c>
      <c r="O19" s="66">
        <f>138</f>
        <v>138</v>
      </c>
      <c r="P19" s="67" t="s">
        <v>853</v>
      </c>
      <c r="Q19" s="66">
        <f>146</f>
        <v>146</v>
      </c>
      <c r="R19" s="67" t="s">
        <v>872</v>
      </c>
      <c r="S19" s="68">
        <f>145.48</f>
        <v>145.47999999999999</v>
      </c>
      <c r="T19" s="65">
        <f>620200</f>
        <v>620200</v>
      </c>
      <c r="U19" s="65" t="str">
        <f>"－"</f>
        <v>－</v>
      </c>
      <c r="V19" s="65">
        <f>89920700</f>
        <v>89920700</v>
      </c>
      <c r="W19" s="65" t="str">
        <f>"－"</f>
        <v>－</v>
      </c>
      <c r="X19" s="69">
        <f>23</f>
        <v>23</v>
      </c>
    </row>
    <row r="20" spans="1:24">
      <c r="A20" s="60" t="s">
        <v>871</v>
      </c>
      <c r="B20" s="60" t="s">
        <v>93</v>
      </c>
      <c r="C20" s="60" t="s">
        <v>94</v>
      </c>
      <c r="D20" s="60" t="s">
        <v>95</v>
      </c>
      <c r="E20" s="61" t="s">
        <v>46</v>
      </c>
      <c r="F20" s="62" t="s">
        <v>46</v>
      </c>
      <c r="G20" s="63" t="s">
        <v>46</v>
      </c>
      <c r="H20" s="64"/>
      <c r="I20" s="64" t="s">
        <v>47</v>
      </c>
      <c r="J20" s="65">
        <v>100</v>
      </c>
      <c r="K20" s="66">
        <f>166</f>
        <v>166</v>
      </c>
      <c r="L20" s="67" t="s">
        <v>853</v>
      </c>
      <c r="M20" s="66">
        <f>172</f>
        <v>172</v>
      </c>
      <c r="N20" s="67" t="s">
        <v>100</v>
      </c>
      <c r="O20" s="66">
        <f>158</f>
        <v>158</v>
      </c>
      <c r="P20" s="67" t="s">
        <v>859</v>
      </c>
      <c r="Q20" s="66">
        <f>164</f>
        <v>164</v>
      </c>
      <c r="R20" s="67" t="s">
        <v>872</v>
      </c>
      <c r="S20" s="68">
        <f>164</f>
        <v>164</v>
      </c>
      <c r="T20" s="65">
        <f>544200</f>
        <v>544200</v>
      </c>
      <c r="U20" s="65">
        <f>400</f>
        <v>400</v>
      </c>
      <c r="V20" s="65">
        <f>89086400</f>
        <v>89086400</v>
      </c>
      <c r="W20" s="65">
        <f>65700</f>
        <v>65700</v>
      </c>
      <c r="X20" s="69">
        <f>23</f>
        <v>23</v>
      </c>
    </row>
    <row r="21" spans="1:24">
      <c r="A21" s="60" t="s">
        <v>871</v>
      </c>
      <c r="B21" s="60" t="s">
        <v>97</v>
      </c>
      <c r="C21" s="60" t="s">
        <v>98</v>
      </c>
      <c r="D21" s="60" t="s">
        <v>99</v>
      </c>
      <c r="E21" s="61" t="s">
        <v>46</v>
      </c>
      <c r="F21" s="62" t="s">
        <v>46</v>
      </c>
      <c r="G21" s="63" t="s">
        <v>46</v>
      </c>
      <c r="H21" s="64"/>
      <c r="I21" s="64" t="s">
        <v>47</v>
      </c>
      <c r="J21" s="65">
        <v>1</v>
      </c>
      <c r="K21" s="66">
        <f>17380</f>
        <v>17380</v>
      </c>
      <c r="L21" s="67" t="s">
        <v>853</v>
      </c>
      <c r="M21" s="66">
        <f>17920</f>
        <v>17920</v>
      </c>
      <c r="N21" s="67" t="s">
        <v>100</v>
      </c>
      <c r="O21" s="66">
        <f>17070</f>
        <v>17070</v>
      </c>
      <c r="P21" s="67" t="s">
        <v>84</v>
      </c>
      <c r="Q21" s="66">
        <f>17500</f>
        <v>17500</v>
      </c>
      <c r="R21" s="67" t="s">
        <v>872</v>
      </c>
      <c r="S21" s="68">
        <f>17554.78</f>
        <v>17554.78</v>
      </c>
      <c r="T21" s="65">
        <f>324182</f>
        <v>324182</v>
      </c>
      <c r="U21" s="65" t="str">
        <f>"－"</f>
        <v>－</v>
      </c>
      <c r="V21" s="65">
        <f>5671897570</f>
        <v>5671897570</v>
      </c>
      <c r="W21" s="65" t="str">
        <f>"－"</f>
        <v>－</v>
      </c>
      <c r="X21" s="69">
        <f>23</f>
        <v>23</v>
      </c>
    </row>
    <row r="22" spans="1:24">
      <c r="A22" s="60" t="s">
        <v>871</v>
      </c>
      <c r="B22" s="60" t="s">
        <v>101</v>
      </c>
      <c r="C22" s="60" t="s">
        <v>102</v>
      </c>
      <c r="D22" s="60" t="s">
        <v>103</v>
      </c>
      <c r="E22" s="61" t="s">
        <v>46</v>
      </c>
      <c r="F22" s="62" t="s">
        <v>46</v>
      </c>
      <c r="G22" s="63" t="s">
        <v>46</v>
      </c>
      <c r="H22" s="64"/>
      <c r="I22" s="64" t="s">
        <v>47</v>
      </c>
      <c r="J22" s="65">
        <v>1</v>
      </c>
      <c r="K22" s="66">
        <f>3385</f>
        <v>3385</v>
      </c>
      <c r="L22" s="67" t="s">
        <v>853</v>
      </c>
      <c r="M22" s="66">
        <f>3710</f>
        <v>3710</v>
      </c>
      <c r="N22" s="67" t="s">
        <v>176</v>
      </c>
      <c r="O22" s="66">
        <f>3335</f>
        <v>3335</v>
      </c>
      <c r="P22" s="67" t="s">
        <v>853</v>
      </c>
      <c r="Q22" s="66">
        <f>3520</f>
        <v>3520</v>
      </c>
      <c r="R22" s="67" t="s">
        <v>872</v>
      </c>
      <c r="S22" s="68">
        <f>3528.91</f>
        <v>3528.91</v>
      </c>
      <c r="T22" s="65">
        <f>7965</f>
        <v>7965</v>
      </c>
      <c r="U22" s="65" t="str">
        <f>"－"</f>
        <v>－</v>
      </c>
      <c r="V22" s="65">
        <f>28342050</f>
        <v>28342050</v>
      </c>
      <c r="W22" s="65" t="str">
        <f>"－"</f>
        <v>－</v>
      </c>
      <c r="X22" s="69">
        <f>23</f>
        <v>23</v>
      </c>
    </row>
    <row r="23" spans="1:24">
      <c r="A23" s="60" t="s">
        <v>871</v>
      </c>
      <c r="B23" s="60" t="s">
        <v>104</v>
      </c>
      <c r="C23" s="60" t="s">
        <v>105</v>
      </c>
      <c r="D23" s="60" t="s">
        <v>106</v>
      </c>
      <c r="E23" s="61" t="s">
        <v>46</v>
      </c>
      <c r="F23" s="62" t="s">
        <v>46</v>
      </c>
      <c r="G23" s="63" t="s">
        <v>46</v>
      </c>
      <c r="H23" s="64"/>
      <c r="I23" s="64" t="s">
        <v>47</v>
      </c>
      <c r="J23" s="65">
        <v>10</v>
      </c>
      <c r="K23" s="66">
        <f>4725</f>
        <v>4725</v>
      </c>
      <c r="L23" s="67" t="s">
        <v>853</v>
      </c>
      <c r="M23" s="66">
        <f>4870</f>
        <v>4870</v>
      </c>
      <c r="N23" s="67" t="s">
        <v>100</v>
      </c>
      <c r="O23" s="66">
        <f>4635</f>
        <v>4635</v>
      </c>
      <c r="P23" s="67" t="s">
        <v>84</v>
      </c>
      <c r="Q23" s="66">
        <f>4755</f>
        <v>4755</v>
      </c>
      <c r="R23" s="67" t="s">
        <v>872</v>
      </c>
      <c r="S23" s="68">
        <f>4766.96</f>
        <v>4766.96</v>
      </c>
      <c r="T23" s="65">
        <f>670340</f>
        <v>670340</v>
      </c>
      <c r="U23" s="65">
        <f>380</f>
        <v>380</v>
      </c>
      <c r="V23" s="65">
        <f>3184243600</f>
        <v>3184243600</v>
      </c>
      <c r="W23" s="65">
        <f>1815450</f>
        <v>1815450</v>
      </c>
      <c r="X23" s="69">
        <f>23</f>
        <v>23</v>
      </c>
    </row>
    <row r="24" spans="1:24">
      <c r="A24" s="60" t="s">
        <v>871</v>
      </c>
      <c r="B24" s="60" t="s">
        <v>107</v>
      </c>
      <c r="C24" s="60" t="s">
        <v>108</v>
      </c>
      <c r="D24" s="60" t="s">
        <v>109</v>
      </c>
      <c r="E24" s="61" t="s">
        <v>46</v>
      </c>
      <c r="F24" s="62" t="s">
        <v>46</v>
      </c>
      <c r="G24" s="63" t="s">
        <v>46</v>
      </c>
      <c r="H24" s="64"/>
      <c r="I24" s="64" t="s">
        <v>47</v>
      </c>
      <c r="J24" s="65">
        <v>1</v>
      </c>
      <c r="K24" s="66">
        <f>30450</f>
        <v>30450</v>
      </c>
      <c r="L24" s="67" t="s">
        <v>853</v>
      </c>
      <c r="M24" s="66">
        <f>31400</f>
        <v>31400</v>
      </c>
      <c r="N24" s="67" t="s">
        <v>100</v>
      </c>
      <c r="O24" s="66">
        <f>29170</f>
        <v>29170</v>
      </c>
      <c r="P24" s="67" t="s">
        <v>84</v>
      </c>
      <c r="Q24" s="66">
        <f>30300</f>
        <v>30300</v>
      </c>
      <c r="R24" s="67" t="s">
        <v>872</v>
      </c>
      <c r="S24" s="68">
        <f>30221.74</f>
        <v>30221.74</v>
      </c>
      <c r="T24" s="65">
        <f>1066420</f>
        <v>1066420</v>
      </c>
      <c r="U24" s="65">
        <f>370321</f>
        <v>370321</v>
      </c>
      <c r="V24" s="65">
        <f>32237789743</f>
        <v>32237789743</v>
      </c>
      <c r="W24" s="65">
        <f>11280550573</f>
        <v>11280550573</v>
      </c>
      <c r="X24" s="69">
        <f>23</f>
        <v>23</v>
      </c>
    </row>
    <row r="25" spans="1:24">
      <c r="A25" s="60" t="s">
        <v>871</v>
      </c>
      <c r="B25" s="60" t="s">
        <v>110</v>
      </c>
      <c r="C25" s="60" t="s">
        <v>111</v>
      </c>
      <c r="D25" s="60" t="s">
        <v>112</v>
      </c>
      <c r="E25" s="61" t="s">
        <v>46</v>
      </c>
      <c r="F25" s="62" t="s">
        <v>46</v>
      </c>
      <c r="G25" s="63" t="s">
        <v>46</v>
      </c>
      <c r="H25" s="64"/>
      <c r="I25" s="64" t="s">
        <v>47</v>
      </c>
      <c r="J25" s="65">
        <v>10</v>
      </c>
      <c r="K25" s="66">
        <f>30500</f>
        <v>30500</v>
      </c>
      <c r="L25" s="67" t="s">
        <v>853</v>
      </c>
      <c r="M25" s="66">
        <f>31500</f>
        <v>31500</v>
      </c>
      <c r="N25" s="67" t="s">
        <v>100</v>
      </c>
      <c r="O25" s="66">
        <f>29240</f>
        <v>29240</v>
      </c>
      <c r="P25" s="67" t="s">
        <v>84</v>
      </c>
      <c r="Q25" s="66">
        <f>30350</f>
        <v>30350</v>
      </c>
      <c r="R25" s="67" t="s">
        <v>872</v>
      </c>
      <c r="S25" s="68">
        <f>30290</f>
        <v>30290</v>
      </c>
      <c r="T25" s="65">
        <f>1249400</f>
        <v>1249400</v>
      </c>
      <c r="U25" s="65">
        <f>122050</f>
        <v>122050</v>
      </c>
      <c r="V25" s="65">
        <f>37764184910</f>
        <v>37764184910</v>
      </c>
      <c r="W25" s="65">
        <f>3710067910</f>
        <v>3710067910</v>
      </c>
      <c r="X25" s="69">
        <f>23</f>
        <v>23</v>
      </c>
    </row>
    <row r="26" spans="1:24">
      <c r="A26" s="60" t="s">
        <v>871</v>
      </c>
      <c r="B26" s="60" t="s">
        <v>113</v>
      </c>
      <c r="C26" s="60" t="s">
        <v>114</v>
      </c>
      <c r="D26" s="60" t="s">
        <v>115</v>
      </c>
      <c r="E26" s="61" t="s">
        <v>46</v>
      </c>
      <c r="F26" s="62" t="s">
        <v>46</v>
      </c>
      <c r="G26" s="63" t="s">
        <v>46</v>
      </c>
      <c r="H26" s="64"/>
      <c r="I26" s="64" t="s">
        <v>47</v>
      </c>
      <c r="J26" s="65">
        <v>10</v>
      </c>
      <c r="K26" s="66">
        <f>2086</f>
        <v>2086</v>
      </c>
      <c r="L26" s="67" t="s">
        <v>853</v>
      </c>
      <c r="M26" s="66">
        <f>2206</f>
        <v>2206</v>
      </c>
      <c r="N26" s="67" t="s">
        <v>872</v>
      </c>
      <c r="O26" s="66">
        <f>2009</f>
        <v>2009</v>
      </c>
      <c r="P26" s="67" t="s">
        <v>859</v>
      </c>
      <c r="Q26" s="66">
        <f>2169</f>
        <v>2169</v>
      </c>
      <c r="R26" s="67" t="s">
        <v>872</v>
      </c>
      <c r="S26" s="68">
        <f>2097.22</f>
        <v>2097.2199999999998</v>
      </c>
      <c r="T26" s="65">
        <f>8720470</f>
        <v>8720470</v>
      </c>
      <c r="U26" s="65">
        <f>471360</f>
        <v>471360</v>
      </c>
      <c r="V26" s="65">
        <f>18286862458</f>
        <v>18286862458</v>
      </c>
      <c r="W26" s="65">
        <f>970653768</f>
        <v>970653768</v>
      </c>
      <c r="X26" s="69">
        <f>23</f>
        <v>23</v>
      </c>
    </row>
    <row r="27" spans="1:24">
      <c r="A27" s="60" t="s">
        <v>871</v>
      </c>
      <c r="B27" s="60" t="s">
        <v>116</v>
      </c>
      <c r="C27" s="60" t="s">
        <v>117</v>
      </c>
      <c r="D27" s="60" t="s">
        <v>118</v>
      </c>
      <c r="E27" s="61" t="s">
        <v>46</v>
      </c>
      <c r="F27" s="62" t="s">
        <v>46</v>
      </c>
      <c r="G27" s="63" t="s">
        <v>46</v>
      </c>
      <c r="H27" s="64"/>
      <c r="I27" s="64" t="s">
        <v>47</v>
      </c>
      <c r="J27" s="65">
        <v>10</v>
      </c>
      <c r="K27" s="66">
        <f>825</f>
        <v>825</v>
      </c>
      <c r="L27" s="67" t="s">
        <v>853</v>
      </c>
      <c r="M27" s="66">
        <f>902</f>
        <v>902</v>
      </c>
      <c r="N27" s="67" t="s">
        <v>132</v>
      </c>
      <c r="O27" s="66">
        <f>808</f>
        <v>808</v>
      </c>
      <c r="P27" s="67" t="s">
        <v>84</v>
      </c>
      <c r="Q27" s="66">
        <f>882</f>
        <v>882</v>
      </c>
      <c r="R27" s="67" t="s">
        <v>872</v>
      </c>
      <c r="S27" s="68">
        <f>854.96</f>
        <v>854.96</v>
      </c>
      <c r="T27" s="65">
        <f>41860</f>
        <v>41860</v>
      </c>
      <c r="U27" s="65" t="str">
        <f>"－"</f>
        <v>－</v>
      </c>
      <c r="V27" s="65">
        <f>36007790</f>
        <v>36007790</v>
      </c>
      <c r="W27" s="65" t="str">
        <f>"－"</f>
        <v>－</v>
      </c>
      <c r="X27" s="69">
        <f>23</f>
        <v>23</v>
      </c>
    </row>
    <row r="28" spans="1:24">
      <c r="A28" s="60" t="s">
        <v>871</v>
      </c>
      <c r="B28" s="60" t="s">
        <v>119</v>
      </c>
      <c r="C28" s="60" t="s">
        <v>120</v>
      </c>
      <c r="D28" s="60" t="s">
        <v>121</v>
      </c>
      <c r="E28" s="61" t="s">
        <v>46</v>
      </c>
      <c r="F28" s="62" t="s">
        <v>46</v>
      </c>
      <c r="G28" s="63" t="s">
        <v>46</v>
      </c>
      <c r="H28" s="64"/>
      <c r="I28" s="64" t="s">
        <v>47</v>
      </c>
      <c r="J28" s="65">
        <v>100</v>
      </c>
      <c r="K28" s="66">
        <f>1980</f>
        <v>1980</v>
      </c>
      <c r="L28" s="67" t="s">
        <v>853</v>
      </c>
      <c r="M28" s="66">
        <f>2075</f>
        <v>2075</v>
      </c>
      <c r="N28" s="67" t="s">
        <v>872</v>
      </c>
      <c r="O28" s="66">
        <f>1890</f>
        <v>1890</v>
      </c>
      <c r="P28" s="67" t="s">
        <v>859</v>
      </c>
      <c r="Q28" s="66">
        <f>2039</f>
        <v>2039</v>
      </c>
      <c r="R28" s="67" t="s">
        <v>872</v>
      </c>
      <c r="S28" s="68">
        <f>1974.09</f>
        <v>1974.09</v>
      </c>
      <c r="T28" s="65">
        <f>2181100</f>
        <v>2181100</v>
      </c>
      <c r="U28" s="65">
        <f>103700</f>
        <v>103700</v>
      </c>
      <c r="V28" s="65">
        <f>4295545498</f>
        <v>4295545498</v>
      </c>
      <c r="W28" s="65">
        <f>198843698</f>
        <v>198843698</v>
      </c>
      <c r="X28" s="69">
        <f>23</f>
        <v>23</v>
      </c>
    </row>
    <row r="29" spans="1:24">
      <c r="A29" s="60" t="s">
        <v>871</v>
      </c>
      <c r="B29" s="60" t="s">
        <v>122</v>
      </c>
      <c r="C29" s="60" t="s">
        <v>123</v>
      </c>
      <c r="D29" s="60" t="s">
        <v>124</v>
      </c>
      <c r="E29" s="61" t="s">
        <v>46</v>
      </c>
      <c r="F29" s="62" t="s">
        <v>46</v>
      </c>
      <c r="G29" s="63" t="s">
        <v>46</v>
      </c>
      <c r="H29" s="64"/>
      <c r="I29" s="64" t="s">
        <v>47</v>
      </c>
      <c r="J29" s="65">
        <v>1</v>
      </c>
      <c r="K29" s="66">
        <f>30450</f>
        <v>30450</v>
      </c>
      <c r="L29" s="67" t="s">
        <v>853</v>
      </c>
      <c r="M29" s="66">
        <f>31450</f>
        <v>31450</v>
      </c>
      <c r="N29" s="67" t="s">
        <v>100</v>
      </c>
      <c r="O29" s="66">
        <f>29170</f>
        <v>29170</v>
      </c>
      <c r="P29" s="67" t="s">
        <v>84</v>
      </c>
      <c r="Q29" s="66">
        <f>30300</f>
        <v>30300</v>
      </c>
      <c r="R29" s="67" t="s">
        <v>872</v>
      </c>
      <c r="S29" s="68">
        <f>30217.39</f>
        <v>30217.39</v>
      </c>
      <c r="T29" s="65">
        <f>843474</f>
        <v>843474</v>
      </c>
      <c r="U29" s="65">
        <f>70833</f>
        <v>70833</v>
      </c>
      <c r="V29" s="65">
        <f>25461435950</f>
        <v>25461435950</v>
      </c>
      <c r="W29" s="65">
        <f>2149043310</f>
        <v>2149043310</v>
      </c>
      <c r="X29" s="69">
        <f>23</f>
        <v>23</v>
      </c>
    </row>
    <row r="30" spans="1:24">
      <c r="A30" s="60" t="s">
        <v>871</v>
      </c>
      <c r="B30" s="60" t="s">
        <v>125</v>
      </c>
      <c r="C30" s="60" t="s">
        <v>126</v>
      </c>
      <c r="D30" s="60" t="s">
        <v>127</v>
      </c>
      <c r="E30" s="61" t="s">
        <v>46</v>
      </c>
      <c r="F30" s="62" t="s">
        <v>46</v>
      </c>
      <c r="G30" s="63" t="s">
        <v>46</v>
      </c>
      <c r="H30" s="64"/>
      <c r="I30" s="64" t="s">
        <v>47</v>
      </c>
      <c r="J30" s="65">
        <v>10</v>
      </c>
      <c r="K30" s="66">
        <f>1952</f>
        <v>1952</v>
      </c>
      <c r="L30" s="67" t="s">
        <v>853</v>
      </c>
      <c r="M30" s="66">
        <f>2079</f>
        <v>2079</v>
      </c>
      <c r="N30" s="67" t="s">
        <v>613</v>
      </c>
      <c r="O30" s="66">
        <f>1920</f>
        <v>1920</v>
      </c>
      <c r="P30" s="67" t="s">
        <v>84</v>
      </c>
      <c r="Q30" s="66">
        <f>2038</f>
        <v>2038</v>
      </c>
      <c r="R30" s="67" t="s">
        <v>872</v>
      </c>
      <c r="S30" s="68">
        <f>2011.39</f>
        <v>2011.39</v>
      </c>
      <c r="T30" s="65">
        <f>17364710</f>
        <v>17364710</v>
      </c>
      <c r="U30" s="65">
        <f>14221820</f>
        <v>14221820</v>
      </c>
      <c r="V30" s="65">
        <f>35326013630</f>
        <v>35326013630</v>
      </c>
      <c r="W30" s="65">
        <f>28952106180</f>
        <v>28952106180</v>
      </c>
      <c r="X30" s="69">
        <f>23</f>
        <v>23</v>
      </c>
    </row>
    <row r="31" spans="1:24">
      <c r="A31" s="60" t="s">
        <v>871</v>
      </c>
      <c r="B31" s="60" t="s">
        <v>128</v>
      </c>
      <c r="C31" s="60" t="s">
        <v>129</v>
      </c>
      <c r="D31" s="60" t="s">
        <v>130</v>
      </c>
      <c r="E31" s="61" t="s">
        <v>46</v>
      </c>
      <c r="F31" s="62" t="s">
        <v>46</v>
      </c>
      <c r="G31" s="63" t="s">
        <v>46</v>
      </c>
      <c r="H31" s="64"/>
      <c r="I31" s="64" t="s">
        <v>47</v>
      </c>
      <c r="J31" s="65">
        <v>1</v>
      </c>
      <c r="K31" s="66">
        <f>13060</f>
        <v>13060</v>
      </c>
      <c r="L31" s="67" t="s">
        <v>853</v>
      </c>
      <c r="M31" s="66">
        <f>13320</f>
        <v>13320</v>
      </c>
      <c r="N31" s="67" t="s">
        <v>872</v>
      </c>
      <c r="O31" s="66">
        <f>12980</f>
        <v>12980</v>
      </c>
      <c r="P31" s="67" t="s">
        <v>100</v>
      </c>
      <c r="Q31" s="66">
        <f>13310</f>
        <v>13310</v>
      </c>
      <c r="R31" s="67" t="s">
        <v>872</v>
      </c>
      <c r="S31" s="68">
        <f>13152.61</f>
        <v>13152.61</v>
      </c>
      <c r="T31" s="65">
        <f>724</f>
        <v>724</v>
      </c>
      <c r="U31" s="65" t="str">
        <f>"－"</f>
        <v>－</v>
      </c>
      <c r="V31" s="65">
        <f>9498520</f>
        <v>9498520</v>
      </c>
      <c r="W31" s="65" t="str">
        <f>"－"</f>
        <v>－</v>
      </c>
      <c r="X31" s="69">
        <f>23</f>
        <v>23</v>
      </c>
    </row>
    <row r="32" spans="1:24">
      <c r="A32" s="60" t="s">
        <v>871</v>
      </c>
      <c r="B32" s="60" t="s">
        <v>133</v>
      </c>
      <c r="C32" s="60" t="s">
        <v>134</v>
      </c>
      <c r="D32" s="60" t="s">
        <v>135</v>
      </c>
      <c r="E32" s="61" t="s">
        <v>46</v>
      </c>
      <c r="F32" s="62" t="s">
        <v>46</v>
      </c>
      <c r="G32" s="63" t="s">
        <v>46</v>
      </c>
      <c r="H32" s="64"/>
      <c r="I32" s="64" t="s">
        <v>47</v>
      </c>
      <c r="J32" s="65">
        <v>10</v>
      </c>
      <c r="K32" s="66">
        <f>1270</f>
        <v>1270</v>
      </c>
      <c r="L32" s="67" t="s">
        <v>853</v>
      </c>
      <c r="M32" s="66">
        <f>1315</f>
        <v>1315</v>
      </c>
      <c r="N32" s="67" t="s">
        <v>84</v>
      </c>
      <c r="O32" s="66">
        <f>1116</f>
        <v>1116</v>
      </c>
      <c r="P32" s="67" t="s">
        <v>613</v>
      </c>
      <c r="Q32" s="66">
        <f>1161</f>
        <v>1161</v>
      </c>
      <c r="R32" s="67" t="s">
        <v>872</v>
      </c>
      <c r="S32" s="68">
        <f>1195.39</f>
        <v>1195.3900000000001</v>
      </c>
      <c r="T32" s="65">
        <f>10271160</f>
        <v>10271160</v>
      </c>
      <c r="U32" s="65">
        <f>211240</f>
        <v>211240</v>
      </c>
      <c r="V32" s="65">
        <f>12304055580</f>
        <v>12304055580</v>
      </c>
      <c r="W32" s="65">
        <f>257479260</f>
        <v>257479260</v>
      </c>
      <c r="X32" s="69">
        <f>23</f>
        <v>23</v>
      </c>
    </row>
    <row r="33" spans="1:24">
      <c r="A33" s="60" t="s">
        <v>871</v>
      </c>
      <c r="B33" s="60" t="s">
        <v>136</v>
      </c>
      <c r="C33" s="60" t="s">
        <v>137</v>
      </c>
      <c r="D33" s="60" t="s">
        <v>138</v>
      </c>
      <c r="E33" s="61" t="s">
        <v>46</v>
      </c>
      <c r="F33" s="62" t="s">
        <v>46</v>
      </c>
      <c r="G33" s="63" t="s">
        <v>46</v>
      </c>
      <c r="H33" s="64"/>
      <c r="I33" s="64" t="s">
        <v>47</v>
      </c>
      <c r="J33" s="65">
        <v>1</v>
      </c>
      <c r="K33" s="66">
        <f>416</f>
        <v>416</v>
      </c>
      <c r="L33" s="67" t="s">
        <v>853</v>
      </c>
      <c r="M33" s="66">
        <f>453</f>
        <v>453</v>
      </c>
      <c r="N33" s="67" t="s">
        <v>84</v>
      </c>
      <c r="O33" s="66">
        <f>388</f>
        <v>388</v>
      </c>
      <c r="P33" s="67" t="s">
        <v>100</v>
      </c>
      <c r="Q33" s="66">
        <f>417</f>
        <v>417</v>
      </c>
      <c r="R33" s="67" t="s">
        <v>872</v>
      </c>
      <c r="S33" s="68">
        <f>420.39</f>
        <v>420.39</v>
      </c>
      <c r="T33" s="65">
        <f>1615302779</f>
        <v>1615302779</v>
      </c>
      <c r="U33" s="65">
        <f>6168205</f>
        <v>6168205</v>
      </c>
      <c r="V33" s="65">
        <f>685362217658</f>
        <v>685362217658</v>
      </c>
      <c r="W33" s="65">
        <f>2636092870</f>
        <v>2636092870</v>
      </c>
      <c r="X33" s="69">
        <f>23</f>
        <v>23</v>
      </c>
    </row>
    <row r="34" spans="1:24">
      <c r="A34" s="60" t="s">
        <v>871</v>
      </c>
      <c r="B34" s="60" t="s">
        <v>139</v>
      </c>
      <c r="C34" s="60" t="s">
        <v>140</v>
      </c>
      <c r="D34" s="60" t="s">
        <v>141</v>
      </c>
      <c r="E34" s="61" t="s">
        <v>46</v>
      </c>
      <c r="F34" s="62" t="s">
        <v>46</v>
      </c>
      <c r="G34" s="63" t="s">
        <v>46</v>
      </c>
      <c r="H34" s="64"/>
      <c r="I34" s="64" t="s">
        <v>47</v>
      </c>
      <c r="J34" s="65">
        <v>1</v>
      </c>
      <c r="K34" s="66">
        <f>30800</f>
        <v>30800</v>
      </c>
      <c r="L34" s="67" t="s">
        <v>853</v>
      </c>
      <c r="M34" s="66">
        <f>32850</f>
        <v>32850</v>
      </c>
      <c r="N34" s="67" t="s">
        <v>100</v>
      </c>
      <c r="O34" s="66">
        <f>28250</f>
        <v>28250</v>
      </c>
      <c r="P34" s="67" t="s">
        <v>84</v>
      </c>
      <c r="Q34" s="66">
        <f>30450</f>
        <v>30450</v>
      </c>
      <c r="R34" s="67" t="s">
        <v>872</v>
      </c>
      <c r="S34" s="68">
        <f>30348.7</f>
        <v>30348.7</v>
      </c>
      <c r="T34" s="65">
        <f>542485</f>
        <v>542485</v>
      </c>
      <c r="U34" s="65">
        <f>17</f>
        <v>17</v>
      </c>
      <c r="V34" s="65">
        <f>16316147440</f>
        <v>16316147440</v>
      </c>
      <c r="W34" s="65">
        <f>525550</f>
        <v>525550</v>
      </c>
      <c r="X34" s="69">
        <f>23</f>
        <v>23</v>
      </c>
    </row>
    <row r="35" spans="1:24">
      <c r="A35" s="60" t="s">
        <v>871</v>
      </c>
      <c r="B35" s="60" t="s">
        <v>142</v>
      </c>
      <c r="C35" s="60" t="s">
        <v>143</v>
      </c>
      <c r="D35" s="60" t="s">
        <v>144</v>
      </c>
      <c r="E35" s="61" t="s">
        <v>46</v>
      </c>
      <c r="F35" s="62" t="s">
        <v>46</v>
      </c>
      <c r="G35" s="63" t="s">
        <v>46</v>
      </c>
      <c r="H35" s="64"/>
      <c r="I35" s="64" t="s">
        <v>47</v>
      </c>
      <c r="J35" s="65">
        <v>10</v>
      </c>
      <c r="K35" s="66">
        <f>1013</f>
        <v>1013</v>
      </c>
      <c r="L35" s="67" t="s">
        <v>853</v>
      </c>
      <c r="M35" s="66">
        <f>1103</f>
        <v>1103</v>
      </c>
      <c r="N35" s="67" t="s">
        <v>84</v>
      </c>
      <c r="O35" s="66">
        <f>946</f>
        <v>946</v>
      </c>
      <c r="P35" s="67" t="s">
        <v>100</v>
      </c>
      <c r="Q35" s="66">
        <f>1013</f>
        <v>1013</v>
      </c>
      <c r="R35" s="67" t="s">
        <v>872</v>
      </c>
      <c r="S35" s="68">
        <f>1024.74</f>
        <v>1024.74</v>
      </c>
      <c r="T35" s="65">
        <f>250723510</f>
        <v>250723510</v>
      </c>
      <c r="U35" s="65">
        <f>20350</f>
        <v>20350</v>
      </c>
      <c r="V35" s="65">
        <f>257466320640</f>
        <v>257466320640</v>
      </c>
      <c r="W35" s="65">
        <f>21112410</f>
        <v>21112410</v>
      </c>
      <c r="X35" s="69">
        <f>23</f>
        <v>23</v>
      </c>
    </row>
    <row r="36" spans="1:24">
      <c r="A36" s="60" t="s">
        <v>871</v>
      </c>
      <c r="B36" s="60" t="s">
        <v>145</v>
      </c>
      <c r="C36" s="60" t="s">
        <v>146</v>
      </c>
      <c r="D36" s="60" t="s">
        <v>147</v>
      </c>
      <c r="E36" s="61" t="s">
        <v>46</v>
      </c>
      <c r="F36" s="62" t="s">
        <v>46</v>
      </c>
      <c r="G36" s="63" t="s">
        <v>46</v>
      </c>
      <c r="H36" s="64"/>
      <c r="I36" s="64" t="s">
        <v>47</v>
      </c>
      <c r="J36" s="65">
        <v>1</v>
      </c>
      <c r="K36" s="66">
        <f>17410</f>
        <v>17410</v>
      </c>
      <c r="L36" s="67" t="s">
        <v>853</v>
      </c>
      <c r="M36" s="66">
        <f>18460</f>
        <v>18460</v>
      </c>
      <c r="N36" s="67" t="s">
        <v>50</v>
      </c>
      <c r="O36" s="66">
        <f>17120</f>
        <v>17120</v>
      </c>
      <c r="P36" s="67" t="s">
        <v>84</v>
      </c>
      <c r="Q36" s="66">
        <f>18140</f>
        <v>18140</v>
      </c>
      <c r="R36" s="67" t="s">
        <v>872</v>
      </c>
      <c r="S36" s="68">
        <f>17889.57</f>
        <v>17889.57</v>
      </c>
      <c r="T36" s="65">
        <f>41893</f>
        <v>41893</v>
      </c>
      <c r="U36" s="65">
        <f>28421</f>
        <v>28421</v>
      </c>
      <c r="V36" s="65">
        <f>751615748</f>
        <v>751615748</v>
      </c>
      <c r="W36" s="65">
        <f>511836458</f>
        <v>511836458</v>
      </c>
      <c r="X36" s="69">
        <f>23</f>
        <v>23</v>
      </c>
    </row>
    <row r="37" spans="1:24">
      <c r="A37" s="60" t="s">
        <v>871</v>
      </c>
      <c r="B37" s="60" t="s">
        <v>148</v>
      </c>
      <c r="C37" s="60" t="s">
        <v>149</v>
      </c>
      <c r="D37" s="60" t="s">
        <v>150</v>
      </c>
      <c r="E37" s="61" t="s">
        <v>46</v>
      </c>
      <c r="F37" s="62" t="s">
        <v>46</v>
      </c>
      <c r="G37" s="63" t="s">
        <v>46</v>
      </c>
      <c r="H37" s="64"/>
      <c r="I37" s="64" t="s">
        <v>47</v>
      </c>
      <c r="J37" s="65">
        <v>1</v>
      </c>
      <c r="K37" s="66">
        <f>25530</f>
        <v>25530</v>
      </c>
      <c r="L37" s="67" t="s">
        <v>853</v>
      </c>
      <c r="M37" s="66">
        <f>27160</f>
        <v>27160</v>
      </c>
      <c r="N37" s="67" t="s">
        <v>100</v>
      </c>
      <c r="O37" s="66">
        <f>23370</f>
        <v>23370</v>
      </c>
      <c r="P37" s="67" t="s">
        <v>84</v>
      </c>
      <c r="Q37" s="66">
        <f>25160</f>
        <v>25160</v>
      </c>
      <c r="R37" s="67" t="s">
        <v>872</v>
      </c>
      <c r="S37" s="68">
        <f>25121.74</f>
        <v>25121.74</v>
      </c>
      <c r="T37" s="65">
        <f>1311314</f>
        <v>1311314</v>
      </c>
      <c r="U37" s="65" t="str">
        <f>"－"</f>
        <v>－</v>
      </c>
      <c r="V37" s="65">
        <f>32747616030</f>
        <v>32747616030</v>
      </c>
      <c r="W37" s="65" t="str">
        <f>"－"</f>
        <v>－</v>
      </c>
      <c r="X37" s="69">
        <f>23</f>
        <v>23</v>
      </c>
    </row>
    <row r="38" spans="1:24">
      <c r="A38" s="60" t="s">
        <v>871</v>
      </c>
      <c r="B38" s="60" t="s">
        <v>151</v>
      </c>
      <c r="C38" s="60" t="s">
        <v>152</v>
      </c>
      <c r="D38" s="60" t="s">
        <v>153</v>
      </c>
      <c r="E38" s="61" t="s">
        <v>46</v>
      </c>
      <c r="F38" s="62" t="s">
        <v>46</v>
      </c>
      <c r="G38" s="63" t="s">
        <v>46</v>
      </c>
      <c r="H38" s="64"/>
      <c r="I38" s="64" t="s">
        <v>47</v>
      </c>
      <c r="J38" s="65">
        <v>1</v>
      </c>
      <c r="K38" s="66">
        <f>1086</f>
        <v>1086</v>
      </c>
      <c r="L38" s="67" t="s">
        <v>853</v>
      </c>
      <c r="M38" s="66">
        <f>1182</f>
        <v>1182</v>
      </c>
      <c r="N38" s="67" t="s">
        <v>84</v>
      </c>
      <c r="O38" s="66">
        <f>1014</f>
        <v>1014</v>
      </c>
      <c r="P38" s="67" t="s">
        <v>100</v>
      </c>
      <c r="Q38" s="66">
        <f>1087</f>
        <v>1087</v>
      </c>
      <c r="R38" s="67" t="s">
        <v>872</v>
      </c>
      <c r="S38" s="68">
        <f>1097.52</f>
        <v>1097.52</v>
      </c>
      <c r="T38" s="65">
        <f>17884206</f>
        <v>17884206</v>
      </c>
      <c r="U38" s="65">
        <f>50</f>
        <v>50</v>
      </c>
      <c r="V38" s="65">
        <f>19766153796</f>
        <v>19766153796</v>
      </c>
      <c r="W38" s="65">
        <f>54600</f>
        <v>54600</v>
      </c>
      <c r="X38" s="69">
        <f>23</f>
        <v>23</v>
      </c>
    </row>
    <row r="39" spans="1:24">
      <c r="A39" s="60" t="s">
        <v>871</v>
      </c>
      <c r="B39" s="60" t="s">
        <v>154</v>
      </c>
      <c r="C39" s="60" t="s">
        <v>155</v>
      </c>
      <c r="D39" s="60" t="s">
        <v>156</v>
      </c>
      <c r="E39" s="61" t="s">
        <v>46</v>
      </c>
      <c r="F39" s="62" t="s">
        <v>46</v>
      </c>
      <c r="G39" s="63" t="s">
        <v>46</v>
      </c>
      <c r="H39" s="64"/>
      <c r="I39" s="64" t="s">
        <v>47</v>
      </c>
      <c r="J39" s="65">
        <v>1</v>
      </c>
      <c r="K39" s="66">
        <f>17390</f>
        <v>17390</v>
      </c>
      <c r="L39" s="67" t="s">
        <v>853</v>
      </c>
      <c r="M39" s="66">
        <f>19740</f>
        <v>19740</v>
      </c>
      <c r="N39" s="67" t="s">
        <v>613</v>
      </c>
      <c r="O39" s="66">
        <f>16800</f>
        <v>16800</v>
      </c>
      <c r="P39" s="67" t="s">
        <v>84</v>
      </c>
      <c r="Q39" s="66">
        <f>18860</f>
        <v>18860</v>
      </c>
      <c r="R39" s="67" t="s">
        <v>872</v>
      </c>
      <c r="S39" s="68">
        <f>18464.78</f>
        <v>18464.78</v>
      </c>
      <c r="T39" s="65">
        <f>625677</f>
        <v>625677</v>
      </c>
      <c r="U39" s="65">
        <f>1130</f>
        <v>1130</v>
      </c>
      <c r="V39" s="65">
        <f>11696527480</f>
        <v>11696527480</v>
      </c>
      <c r="W39" s="65">
        <f>20531800</f>
        <v>20531800</v>
      </c>
      <c r="X39" s="69">
        <f>23</f>
        <v>23</v>
      </c>
    </row>
    <row r="40" spans="1:24">
      <c r="A40" s="60" t="s">
        <v>871</v>
      </c>
      <c r="B40" s="60" t="s">
        <v>157</v>
      </c>
      <c r="C40" s="60" t="s">
        <v>158</v>
      </c>
      <c r="D40" s="60" t="s">
        <v>159</v>
      </c>
      <c r="E40" s="61" t="s">
        <v>46</v>
      </c>
      <c r="F40" s="62" t="s">
        <v>46</v>
      </c>
      <c r="G40" s="63" t="s">
        <v>46</v>
      </c>
      <c r="H40" s="64"/>
      <c r="I40" s="64" t="s">
        <v>47</v>
      </c>
      <c r="J40" s="65">
        <v>1</v>
      </c>
      <c r="K40" s="66">
        <f>1847</f>
        <v>1847</v>
      </c>
      <c r="L40" s="67" t="s">
        <v>853</v>
      </c>
      <c r="M40" s="66">
        <f>1908</f>
        <v>1908</v>
      </c>
      <c r="N40" s="67" t="s">
        <v>84</v>
      </c>
      <c r="O40" s="66">
        <f>1620</f>
        <v>1620</v>
      </c>
      <c r="P40" s="67" t="s">
        <v>613</v>
      </c>
      <c r="Q40" s="66">
        <f>1683</f>
        <v>1683</v>
      </c>
      <c r="R40" s="67" t="s">
        <v>872</v>
      </c>
      <c r="S40" s="68">
        <f>1734.04</f>
        <v>1734.04</v>
      </c>
      <c r="T40" s="65">
        <f>3300507</f>
        <v>3300507</v>
      </c>
      <c r="U40" s="65">
        <f>7500</f>
        <v>7500</v>
      </c>
      <c r="V40" s="65">
        <f>5709218235</f>
        <v>5709218235</v>
      </c>
      <c r="W40" s="65">
        <f>13130800</f>
        <v>13130800</v>
      </c>
      <c r="X40" s="69">
        <f>23</f>
        <v>23</v>
      </c>
    </row>
    <row r="41" spans="1:24">
      <c r="A41" s="60" t="s">
        <v>871</v>
      </c>
      <c r="B41" s="60" t="s">
        <v>160</v>
      </c>
      <c r="C41" s="60" t="s">
        <v>161</v>
      </c>
      <c r="D41" s="60" t="s">
        <v>162</v>
      </c>
      <c r="E41" s="61" t="s">
        <v>46</v>
      </c>
      <c r="F41" s="62" t="s">
        <v>46</v>
      </c>
      <c r="G41" s="63" t="s">
        <v>46</v>
      </c>
      <c r="H41" s="64"/>
      <c r="I41" s="64" t="s">
        <v>47</v>
      </c>
      <c r="J41" s="65">
        <v>1</v>
      </c>
      <c r="K41" s="66">
        <f>29590</f>
        <v>29590</v>
      </c>
      <c r="L41" s="67" t="s">
        <v>853</v>
      </c>
      <c r="M41" s="66">
        <f>30500</f>
        <v>30500</v>
      </c>
      <c r="N41" s="67" t="s">
        <v>100</v>
      </c>
      <c r="O41" s="66">
        <f>28340</f>
        <v>28340</v>
      </c>
      <c r="P41" s="67" t="s">
        <v>84</v>
      </c>
      <c r="Q41" s="66">
        <f>29440</f>
        <v>29440</v>
      </c>
      <c r="R41" s="67" t="s">
        <v>872</v>
      </c>
      <c r="S41" s="68">
        <f>29360.87</f>
        <v>29360.87</v>
      </c>
      <c r="T41" s="65">
        <f>471598</f>
        <v>471598</v>
      </c>
      <c r="U41" s="65">
        <f>332758</f>
        <v>332758</v>
      </c>
      <c r="V41" s="65">
        <f>14016880589</f>
        <v>14016880589</v>
      </c>
      <c r="W41" s="65">
        <f>9944675219</f>
        <v>9944675219</v>
      </c>
      <c r="X41" s="69">
        <f>23</f>
        <v>23</v>
      </c>
    </row>
    <row r="42" spans="1:24">
      <c r="A42" s="60" t="s">
        <v>871</v>
      </c>
      <c r="B42" s="60" t="s">
        <v>163</v>
      </c>
      <c r="C42" s="60" t="s">
        <v>164</v>
      </c>
      <c r="D42" s="60" t="s">
        <v>165</v>
      </c>
      <c r="E42" s="61" t="s">
        <v>46</v>
      </c>
      <c r="F42" s="62" t="s">
        <v>46</v>
      </c>
      <c r="G42" s="63" t="s">
        <v>46</v>
      </c>
      <c r="H42" s="64"/>
      <c r="I42" s="64" t="s">
        <v>47</v>
      </c>
      <c r="J42" s="65">
        <v>1</v>
      </c>
      <c r="K42" s="66">
        <f>4695</f>
        <v>4695</v>
      </c>
      <c r="L42" s="67" t="s">
        <v>853</v>
      </c>
      <c r="M42" s="66">
        <f>5170</f>
        <v>5170</v>
      </c>
      <c r="N42" s="67" t="s">
        <v>872</v>
      </c>
      <c r="O42" s="66">
        <f>4695</f>
        <v>4695</v>
      </c>
      <c r="P42" s="67" t="s">
        <v>853</v>
      </c>
      <c r="Q42" s="66">
        <f>5090</f>
        <v>5090</v>
      </c>
      <c r="R42" s="67" t="s">
        <v>872</v>
      </c>
      <c r="S42" s="68">
        <f>4930.65</f>
        <v>4930.6499999999996</v>
      </c>
      <c r="T42" s="65">
        <f>5966</f>
        <v>5966</v>
      </c>
      <c r="U42" s="65" t="str">
        <f>"－"</f>
        <v>－</v>
      </c>
      <c r="V42" s="65">
        <f>29455925</f>
        <v>29455925</v>
      </c>
      <c r="W42" s="65" t="str">
        <f>"－"</f>
        <v>－</v>
      </c>
      <c r="X42" s="69">
        <f>23</f>
        <v>23</v>
      </c>
    </row>
    <row r="43" spans="1:24">
      <c r="A43" s="60" t="s">
        <v>871</v>
      </c>
      <c r="B43" s="60" t="s">
        <v>166</v>
      </c>
      <c r="C43" s="60" t="s">
        <v>167</v>
      </c>
      <c r="D43" s="60" t="s">
        <v>168</v>
      </c>
      <c r="E43" s="61" t="s">
        <v>46</v>
      </c>
      <c r="F43" s="62" t="s">
        <v>46</v>
      </c>
      <c r="G43" s="63" t="s">
        <v>46</v>
      </c>
      <c r="H43" s="64"/>
      <c r="I43" s="64" t="s">
        <v>47</v>
      </c>
      <c r="J43" s="65">
        <v>1</v>
      </c>
      <c r="K43" s="66">
        <f>8430</f>
        <v>8430</v>
      </c>
      <c r="L43" s="67" t="s">
        <v>853</v>
      </c>
      <c r="M43" s="66">
        <f>9060</f>
        <v>9060</v>
      </c>
      <c r="N43" s="67" t="s">
        <v>69</v>
      </c>
      <c r="O43" s="66">
        <f>8430</f>
        <v>8430</v>
      </c>
      <c r="P43" s="67" t="s">
        <v>853</v>
      </c>
      <c r="Q43" s="66">
        <f>9020</f>
        <v>9020</v>
      </c>
      <c r="R43" s="67" t="s">
        <v>872</v>
      </c>
      <c r="S43" s="68">
        <f>8792.61</f>
        <v>8792.61</v>
      </c>
      <c r="T43" s="65">
        <f>3108</f>
        <v>3108</v>
      </c>
      <c r="U43" s="65" t="str">
        <f>"－"</f>
        <v>－</v>
      </c>
      <c r="V43" s="65">
        <f>27426160</f>
        <v>27426160</v>
      </c>
      <c r="W43" s="65" t="str">
        <f>"－"</f>
        <v>－</v>
      </c>
      <c r="X43" s="69">
        <f>23</f>
        <v>23</v>
      </c>
    </row>
    <row r="44" spans="1:24">
      <c r="A44" s="60" t="s">
        <v>871</v>
      </c>
      <c r="B44" s="60" t="s">
        <v>169</v>
      </c>
      <c r="C44" s="60" t="s">
        <v>170</v>
      </c>
      <c r="D44" s="60" t="s">
        <v>171</v>
      </c>
      <c r="E44" s="61" t="s">
        <v>46</v>
      </c>
      <c r="F44" s="62" t="s">
        <v>46</v>
      </c>
      <c r="G44" s="63" t="s">
        <v>46</v>
      </c>
      <c r="H44" s="64"/>
      <c r="I44" s="64" t="s">
        <v>47</v>
      </c>
      <c r="J44" s="65">
        <v>1</v>
      </c>
      <c r="K44" s="66">
        <f>17000</f>
        <v>17000</v>
      </c>
      <c r="L44" s="67" t="s">
        <v>84</v>
      </c>
      <c r="M44" s="66">
        <f>17900</f>
        <v>17900</v>
      </c>
      <c r="N44" s="67" t="s">
        <v>69</v>
      </c>
      <c r="O44" s="66">
        <f>16560</f>
        <v>16560</v>
      </c>
      <c r="P44" s="67" t="s">
        <v>84</v>
      </c>
      <c r="Q44" s="66">
        <f>17690</f>
        <v>17690</v>
      </c>
      <c r="R44" s="67" t="s">
        <v>240</v>
      </c>
      <c r="S44" s="68">
        <f>17306</f>
        <v>17306</v>
      </c>
      <c r="T44" s="65">
        <f>333</f>
        <v>333</v>
      </c>
      <c r="U44" s="65">
        <f>1</f>
        <v>1</v>
      </c>
      <c r="V44" s="65">
        <f>5689780</f>
        <v>5689780</v>
      </c>
      <c r="W44" s="65">
        <f>16420</f>
        <v>16420</v>
      </c>
      <c r="X44" s="69">
        <f>10</f>
        <v>10</v>
      </c>
    </row>
    <row r="45" spans="1:24">
      <c r="A45" s="60" t="s">
        <v>871</v>
      </c>
      <c r="B45" s="60" t="s">
        <v>173</v>
      </c>
      <c r="C45" s="60" t="s">
        <v>174</v>
      </c>
      <c r="D45" s="60" t="s">
        <v>175</v>
      </c>
      <c r="E45" s="61" t="s">
        <v>46</v>
      </c>
      <c r="F45" s="62" t="s">
        <v>46</v>
      </c>
      <c r="G45" s="63" t="s">
        <v>46</v>
      </c>
      <c r="H45" s="64"/>
      <c r="I45" s="64" t="s">
        <v>47</v>
      </c>
      <c r="J45" s="65">
        <v>1</v>
      </c>
      <c r="K45" s="66">
        <f>14980</f>
        <v>14980</v>
      </c>
      <c r="L45" s="67" t="s">
        <v>857</v>
      </c>
      <c r="M45" s="66">
        <f>15460</f>
        <v>15460</v>
      </c>
      <c r="N45" s="67" t="s">
        <v>100</v>
      </c>
      <c r="O45" s="66">
        <f>14430</f>
        <v>14430</v>
      </c>
      <c r="P45" s="67" t="s">
        <v>84</v>
      </c>
      <c r="Q45" s="66">
        <f>15140</f>
        <v>15140</v>
      </c>
      <c r="R45" s="67" t="s">
        <v>873</v>
      </c>
      <c r="S45" s="68">
        <f>14990.83</f>
        <v>14990.83</v>
      </c>
      <c r="T45" s="65">
        <f>168</f>
        <v>168</v>
      </c>
      <c r="U45" s="65" t="str">
        <f t="shared" ref="U45:U51" si="0">"－"</f>
        <v>－</v>
      </c>
      <c r="V45" s="65">
        <f>2484070</f>
        <v>2484070</v>
      </c>
      <c r="W45" s="65" t="str">
        <f t="shared" ref="W45:W51" si="1">"－"</f>
        <v>－</v>
      </c>
      <c r="X45" s="69">
        <f>12</f>
        <v>12</v>
      </c>
    </row>
    <row r="46" spans="1:24">
      <c r="A46" s="60" t="s">
        <v>871</v>
      </c>
      <c r="B46" s="60" t="s">
        <v>177</v>
      </c>
      <c r="C46" s="60" t="s">
        <v>178</v>
      </c>
      <c r="D46" s="60" t="s">
        <v>179</v>
      </c>
      <c r="E46" s="61" t="s">
        <v>46</v>
      </c>
      <c r="F46" s="62" t="s">
        <v>46</v>
      </c>
      <c r="G46" s="63" t="s">
        <v>46</v>
      </c>
      <c r="H46" s="64"/>
      <c r="I46" s="64" t="s">
        <v>47</v>
      </c>
      <c r="J46" s="65">
        <v>1</v>
      </c>
      <c r="K46" s="66">
        <f>9330</f>
        <v>9330</v>
      </c>
      <c r="L46" s="67" t="s">
        <v>853</v>
      </c>
      <c r="M46" s="66">
        <f>9940</f>
        <v>9940</v>
      </c>
      <c r="N46" s="67" t="s">
        <v>69</v>
      </c>
      <c r="O46" s="66">
        <f>9090</f>
        <v>9090</v>
      </c>
      <c r="P46" s="67" t="s">
        <v>48</v>
      </c>
      <c r="Q46" s="66">
        <f>9550</f>
        <v>9550</v>
      </c>
      <c r="R46" s="67" t="s">
        <v>872</v>
      </c>
      <c r="S46" s="68">
        <f>9426.96</f>
        <v>9426.9599999999991</v>
      </c>
      <c r="T46" s="65">
        <f>7023</f>
        <v>7023</v>
      </c>
      <c r="U46" s="65" t="str">
        <f t="shared" si="0"/>
        <v>－</v>
      </c>
      <c r="V46" s="65">
        <f>66354790</f>
        <v>66354790</v>
      </c>
      <c r="W46" s="65" t="str">
        <f t="shared" si="1"/>
        <v>－</v>
      </c>
      <c r="X46" s="69">
        <f>23</f>
        <v>23</v>
      </c>
    </row>
    <row r="47" spans="1:24">
      <c r="A47" s="60" t="s">
        <v>871</v>
      </c>
      <c r="B47" s="60" t="s">
        <v>180</v>
      </c>
      <c r="C47" s="60" t="s">
        <v>181</v>
      </c>
      <c r="D47" s="60" t="s">
        <v>182</v>
      </c>
      <c r="E47" s="61" t="s">
        <v>46</v>
      </c>
      <c r="F47" s="62" t="s">
        <v>46</v>
      </c>
      <c r="G47" s="63" t="s">
        <v>46</v>
      </c>
      <c r="H47" s="64"/>
      <c r="I47" s="64" t="s">
        <v>47</v>
      </c>
      <c r="J47" s="65">
        <v>1</v>
      </c>
      <c r="K47" s="66">
        <f>4970</f>
        <v>4970</v>
      </c>
      <c r="L47" s="67" t="s">
        <v>853</v>
      </c>
      <c r="M47" s="66">
        <f>5380</f>
        <v>5380</v>
      </c>
      <c r="N47" s="67" t="s">
        <v>131</v>
      </c>
      <c r="O47" s="66">
        <f>4960</f>
        <v>4960</v>
      </c>
      <c r="P47" s="67" t="s">
        <v>853</v>
      </c>
      <c r="Q47" s="66">
        <f>5230</f>
        <v>5230</v>
      </c>
      <c r="R47" s="67" t="s">
        <v>872</v>
      </c>
      <c r="S47" s="68">
        <f>5151.09</f>
        <v>5151.09</v>
      </c>
      <c r="T47" s="65">
        <f>2464</f>
        <v>2464</v>
      </c>
      <c r="U47" s="65" t="str">
        <f t="shared" si="0"/>
        <v>－</v>
      </c>
      <c r="V47" s="65">
        <f>12799575</f>
        <v>12799575</v>
      </c>
      <c r="W47" s="65" t="str">
        <f t="shared" si="1"/>
        <v>－</v>
      </c>
      <c r="X47" s="69">
        <f>23</f>
        <v>23</v>
      </c>
    </row>
    <row r="48" spans="1:24">
      <c r="A48" s="60" t="s">
        <v>871</v>
      </c>
      <c r="B48" s="60" t="s">
        <v>183</v>
      </c>
      <c r="C48" s="60" t="s">
        <v>184</v>
      </c>
      <c r="D48" s="60" t="s">
        <v>185</v>
      </c>
      <c r="E48" s="61" t="s">
        <v>46</v>
      </c>
      <c r="F48" s="62" t="s">
        <v>46</v>
      </c>
      <c r="G48" s="63" t="s">
        <v>46</v>
      </c>
      <c r="H48" s="64"/>
      <c r="I48" s="64" t="s">
        <v>47</v>
      </c>
      <c r="J48" s="65">
        <v>1</v>
      </c>
      <c r="K48" s="66">
        <f>2420</f>
        <v>2420</v>
      </c>
      <c r="L48" s="67" t="s">
        <v>853</v>
      </c>
      <c r="M48" s="66">
        <f>2517</f>
        <v>2517</v>
      </c>
      <c r="N48" s="67" t="s">
        <v>856</v>
      </c>
      <c r="O48" s="66">
        <f>2373</f>
        <v>2373</v>
      </c>
      <c r="P48" s="67" t="s">
        <v>84</v>
      </c>
      <c r="Q48" s="66">
        <f>2498</f>
        <v>2498</v>
      </c>
      <c r="R48" s="67" t="s">
        <v>872</v>
      </c>
      <c r="S48" s="68">
        <f>2441.65</f>
        <v>2441.65</v>
      </c>
      <c r="T48" s="65">
        <f>3395</f>
        <v>3395</v>
      </c>
      <c r="U48" s="65" t="str">
        <f t="shared" si="0"/>
        <v>－</v>
      </c>
      <c r="V48" s="65">
        <f>8283002</f>
        <v>8283002</v>
      </c>
      <c r="W48" s="65" t="str">
        <f t="shared" si="1"/>
        <v>－</v>
      </c>
      <c r="X48" s="69">
        <f>23</f>
        <v>23</v>
      </c>
    </row>
    <row r="49" spans="1:24">
      <c r="A49" s="60" t="s">
        <v>871</v>
      </c>
      <c r="B49" s="60" t="s">
        <v>186</v>
      </c>
      <c r="C49" s="60" t="s">
        <v>187</v>
      </c>
      <c r="D49" s="60" t="s">
        <v>188</v>
      </c>
      <c r="E49" s="61" t="s">
        <v>46</v>
      </c>
      <c r="F49" s="62" t="s">
        <v>46</v>
      </c>
      <c r="G49" s="63" t="s">
        <v>46</v>
      </c>
      <c r="H49" s="64"/>
      <c r="I49" s="64" t="s">
        <v>47</v>
      </c>
      <c r="J49" s="65">
        <v>1</v>
      </c>
      <c r="K49" s="66">
        <f>2473</f>
        <v>2473</v>
      </c>
      <c r="L49" s="67" t="s">
        <v>853</v>
      </c>
      <c r="M49" s="66">
        <f>2640</f>
        <v>2640</v>
      </c>
      <c r="N49" s="67" t="s">
        <v>854</v>
      </c>
      <c r="O49" s="66">
        <f>2465</f>
        <v>2465</v>
      </c>
      <c r="P49" s="67" t="s">
        <v>48</v>
      </c>
      <c r="Q49" s="66">
        <f>2542</f>
        <v>2542</v>
      </c>
      <c r="R49" s="67" t="s">
        <v>872</v>
      </c>
      <c r="S49" s="68">
        <f>2550.87</f>
        <v>2550.87</v>
      </c>
      <c r="T49" s="65">
        <f>16366</f>
        <v>16366</v>
      </c>
      <c r="U49" s="65" t="str">
        <f t="shared" si="0"/>
        <v>－</v>
      </c>
      <c r="V49" s="65">
        <f>41410488</f>
        <v>41410488</v>
      </c>
      <c r="W49" s="65" t="str">
        <f t="shared" si="1"/>
        <v>－</v>
      </c>
      <c r="X49" s="69">
        <f>23</f>
        <v>23</v>
      </c>
    </row>
    <row r="50" spans="1:24">
      <c r="A50" s="60" t="s">
        <v>871</v>
      </c>
      <c r="B50" s="60" t="s">
        <v>189</v>
      </c>
      <c r="C50" s="60" t="s">
        <v>190</v>
      </c>
      <c r="D50" s="60" t="s">
        <v>191</v>
      </c>
      <c r="E50" s="61" t="s">
        <v>46</v>
      </c>
      <c r="F50" s="62" t="s">
        <v>46</v>
      </c>
      <c r="G50" s="63" t="s">
        <v>46</v>
      </c>
      <c r="H50" s="64"/>
      <c r="I50" s="64" t="s">
        <v>47</v>
      </c>
      <c r="J50" s="65">
        <v>1</v>
      </c>
      <c r="K50" s="66">
        <f>39900</f>
        <v>39900</v>
      </c>
      <c r="L50" s="67" t="s">
        <v>853</v>
      </c>
      <c r="M50" s="66">
        <f>44600</f>
        <v>44600</v>
      </c>
      <c r="N50" s="67" t="s">
        <v>50</v>
      </c>
      <c r="O50" s="66">
        <f>39850</f>
        <v>39850</v>
      </c>
      <c r="P50" s="67" t="s">
        <v>84</v>
      </c>
      <c r="Q50" s="66">
        <f>43250</f>
        <v>43250</v>
      </c>
      <c r="R50" s="67" t="s">
        <v>872</v>
      </c>
      <c r="S50" s="68">
        <f>41706.52</f>
        <v>41706.519999999997</v>
      </c>
      <c r="T50" s="65">
        <f>891</f>
        <v>891</v>
      </c>
      <c r="U50" s="65" t="str">
        <f t="shared" si="0"/>
        <v>－</v>
      </c>
      <c r="V50" s="65">
        <f>37702000</f>
        <v>37702000</v>
      </c>
      <c r="W50" s="65" t="str">
        <f t="shared" si="1"/>
        <v>－</v>
      </c>
      <c r="X50" s="69">
        <f>23</f>
        <v>23</v>
      </c>
    </row>
    <row r="51" spans="1:24">
      <c r="A51" s="60" t="s">
        <v>871</v>
      </c>
      <c r="B51" s="60" t="s">
        <v>192</v>
      </c>
      <c r="C51" s="60" t="s">
        <v>193</v>
      </c>
      <c r="D51" s="60" t="s">
        <v>194</v>
      </c>
      <c r="E51" s="61" t="s">
        <v>46</v>
      </c>
      <c r="F51" s="62" t="s">
        <v>46</v>
      </c>
      <c r="G51" s="63" t="s">
        <v>46</v>
      </c>
      <c r="H51" s="64"/>
      <c r="I51" s="64" t="s">
        <v>47</v>
      </c>
      <c r="J51" s="65">
        <v>1</v>
      </c>
      <c r="K51" s="66">
        <f>29840</f>
        <v>29840</v>
      </c>
      <c r="L51" s="67" t="s">
        <v>853</v>
      </c>
      <c r="M51" s="66">
        <f>31850</f>
        <v>31850</v>
      </c>
      <c r="N51" s="67" t="s">
        <v>100</v>
      </c>
      <c r="O51" s="66">
        <f>29600</f>
        <v>29600</v>
      </c>
      <c r="P51" s="67" t="s">
        <v>48</v>
      </c>
      <c r="Q51" s="66">
        <f>31000</f>
        <v>31000</v>
      </c>
      <c r="R51" s="67" t="s">
        <v>872</v>
      </c>
      <c r="S51" s="68">
        <f>30722.86</f>
        <v>30722.86</v>
      </c>
      <c r="T51" s="65">
        <f>125</f>
        <v>125</v>
      </c>
      <c r="U51" s="65" t="str">
        <f t="shared" si="0"/>
        <v>－</v>
      </c>
      <c r="V51" s="65">
        <f>3873280</f>
        <v>3873280</v>
      </c>
      <c r="W51" s="65" t="str">
        <f t="shared" si="1"/>
        <v>－</v>
      </c>
      <c r="X51" s="69">
        <f>14</f>
        <v>14</v>
      </c>
    </row>
    <row r="52" spans="1:24">
      <c r="A52" s="60" t="s">
        <v>871</v>
      </c>
      <c r="B52" s="60" t="s">
        <v>195</v>
      </c>
      <c r="C52" s="60" t="s">
        <v>196</v>
      </c>
      <c r="D52" s="60" t="s">
        <v>197</v>
      </c>
      <c r="E52" s="61" t="s">
        <v>46</v>
      </c>
      <c r="F52" s="62" t="s">
        <v>46</v>
      </c>
      <c r="G52" s="63" t="s">
        <v>46</v>
      </c>
      <c r="H52" s="64"/>
      <c r="I52" s="64" t="s">
        <v>47</v>
      </c>
      <c r="J52" s="65">
        <v>1</v>
      </c>
      <c r="K52" s="66">
        <f>29800</f>
        <v>29800</v>
      </c>
      <c r="L52" s="67" t="s">
        <v>853</v>
      </c>
      <c r="M52" s="66">
        <f>30400</f>
        <v>30400</v>
      </c>
      <c r="N52" s="67" t="s">
        <v>100</v>
      </c>
      <c r="O52" s="66">
        <f>28390</f>
        <v>28390</v>
      </c>
      <c r="P52" s="67" t="s">
        <v>84</v>
      </c>
      <c r="Q52" s="66">
        <f>29650</f>
        <v>29650</v>
      </c>
      <c r="R52" s="67" t="s">
        <v>872</v>
      </c>
      <c r="S52" s="68">
        <f>29554.55</f>
        <v>29554.55</v>
      </c>
      <c r="T52" s="65">
        <f>853533</f>
        <v>853533</v>
      </c>
      <c r="U52" s="65">
        <f>852021</f>
        <v>852021</v>
      </c>
      <c r="V52" s="65">
        <f>24732993517</f>
        <v>24732993517</v>
      </c>
      <c r="W52" s="65">
        <f>24688092757</f>
        <v>24688092757</v>
      </c>
      <c r="X52" s="69">
        <f>22</f>
        <v>22</v>
      </c>
    </row>
    <row r="53" spans="1:24">
      <c r="A53" s="60" t="s">
        <v>871</v>
      </c>
      <c r="B53" s="60" t="s">
        <v>198</v>
      </c>
      <c r="C53" s="60" t="s">
        <v>199</v>
      </c>
      <c r="D53" s="60" t="s">
        <v>200</v>
      </c>
      <c r="E53" s="61" t="s">
        <v>46</v>
      </c>
      <c r="F53" s="62" t="s">
        <v>46</v>
      </c>
      <c r="G53" s="63" t="s">
        <v>46</v>
      </c>
      <c r="H53" s="64"/>
      <c r="I53" s="64" t="s">
        <v>47</v>
      </c>
      <c r="J53" s="65">
        <v>10</v>
      </c>
      <c r="K53" s="66">
        <f>2005</f>
        <v>2005</v>
      </c>
      <c r="L53" s="67" t="s">
        <v>853</v>
      </c>
      <c r="M53" s="66">
        <f>2084</f>
        <v>2084</v>
      </c>
      <c r="N53" s="67" t="s">
        <v>872</v>
      </c>
      <c r="O53" s="66">
        <f>1900</f>
        <v>1900</v>
      </c>
      <c r="P53" s="67" t="s">
        <v>859</v>
      </c>
      <c r="Q53" s="66">
        <f>2048</f>
        <v>2048</v>
      </c>
      <c r="R53" s="67" t="s">
        <v>872</v>
      </c>
      <c r="S53" s="68">
        <f>1988.64</f>
        <v>1988.64</v>
      </c>
      <c r="T53" s="65">
        <f>702630</f>
        <v>702630</v>
      </c>
      <c r="U53" s="65">
        <f>351300</f>
        <v>351300</v>
      </c>
      <c r="V53" s="65">
        <f>1400863620</f>
        <v>1400863620</v>
      </c>
      <c r="W53" s="65">
        <f>697117130</f>
        <v>697117130</v>
      </c>
      <c r="X53" s="69">
        <f>22</f>
        <v>22</v>
      </c>
    </row>
    <row r="54" spans="1:24">
      <c r="A54" s="60" t="s">
        <v>871</v>
      </c>
      <c r="B54" s="60" t="s">
        <v>201</v>
      </c>
      <c r="C54" s="60" t="s">
        <v>202</v>
      </c>
      <c r="D54" s="60" t="s">
        <v>203</v>
      </c>
      <c r="E54" s="61" t="s">
        <v>46</v>
      </c>
      <c r="F54" s="62" t="s">
        <v>46</v>
      </c>
      <c r="G54" s="63" t="s">
        <v>46</v>
      </c>
      <c r="H54" s="64"/>
      <c r="I54" s="64" t="s">
        <v>47</v>
      </c>
      <c r="J54" s="65">
        <v>10</v>
      </c>
      <c r="K54" s="66">
        <f>1523</f>
        <v>1523</v>
      </c>
      <c r="L54" s="67" t="s">
        <v>853</v>
      </c>
      <c r="M54" s="66">
        <f>1740</f>
        <v>1740</v>
      </c>
      <c r="N54" s="67" t="s">
        <v>874</v>
      </c>
      <c r="O54" s="66">
        <f>1523</f>
        <v>1523</v>
      </c>
      <c r="P54" s="67" t="s">
        <v>853</v>
      </c>
      <c r="Q54" s="66">
        <f>1646</f>
        <v>1646</v>
      </c>
      <c r="R54" s="67" t="s">
        <v>872</v>
      </c>
      <c r="S54" s="68">
        <f>1603.18</f>
        <v>1603.18</v>
      </c>
      <c r="T54" s="65">
        <f>61370</f>
        <v>61370</v>
      </c>
      <c r="U54" s="65" t="str">
        <f>"－"</f>
        <v>－</v>
      </c>
      <c r="V54" s="65">
        <f>98483500</f>
        <v>98483500</v>
      </c>
      <c r="W54" s="65" t="str">
        <f>"－"</f>
        <v>－</v>
      </c>
      <c r="X54" s="69">
        <f>22</f>
        <v>22</v>
      </c>
    </row>
    <row r="55" spans="1:24">
      <c r="A55" s="60" t="s">
        <v>871</v>
      </c>
      <c r="B55" s="60" t="s">
        <v>204</v>
      </c>
      <c r="C55" s="60" t="s">
        <v>205</v>
      </c>
      <c r="D55" s="60" t="s">
        <v>206</v>
      </c>
      <c r="E55" s="61" t="s">
        <v>46</v>
      </c>
      <c r="F55" s="62" t="s">
        <v>46</v>
      </c>
      <c r="G55" s="63" t="s">
        <v>46</v>
      </c>
      <c r="H55" s="64"/>
      <c r="I55" s="64" t="s">
        <v>47</v>
      </c>
      <c r="J55" s="65">
        <v>1</v>
      </c>
      <c r="K55" s="66">
        <f>4345</f>
        <v>4345</v>
      </c>
      <c r="L55" s="67" t="s">
        <v>853</v>
      </c>
      <c r="M55" s="66">
        <f>4530</f>
        <v>4530</v>
      </c>
      <c r="N55" s="67" t="s">
        <v>84</v>
      </c>
      <c r="O55" s="66">
        <f>4200</f>
        <v>4200</v>
      </c>
      <c r="P55" s="67" t="s">
        <v>100</v>
      </c>
      <c r="Q55" s="66">
        <f>4340</f>
        <v>4340</v>
      </c>
      <c r="R55" s="67" t="s">
        <v>872</v>
      </c>
      <c r="S55" s="68">
        <f>4366.09</f>
        <v>4366.09</v>
      </c>
      <c r="T55" s="65">
        <f>942694</f>
        <v>942694</v>
      </c>
      <c r="U55" s="65">
        <f>15000</f>
        <v>15000</v>
      </c>
      <c r="V55" s="65">
        <f>4121775080</f>
        <v>4121775080</v>
      </c>
      <c r="W55" s="65">
        <f>64277400</f>
        <v>64277400</v>
      </c>
      <c r="X55" s="69">
        <f>23</f>
        <v>23</v>
      </c>
    </row>
    <row r="56" spans="1:24">
      <c r="A56" s="60" t="s">
        <v>871</v>
      </c>
      <c r="B56" s="60" t="s">
        <v>207</v>
      </c>
      <c r="C56" s="60" t="s">
        <v>208</v>
      </c>
      <c r="D56" s="60" t="s">
        <v>209</v>
      </c>
      <c r="E56" s="61" t="s">
        <v>46</v>
      </c>
      <c r="F56" s="62" t="s">
        <v>46</v>
      </c>
      <c r="G56" s="63" t="s">
        <v>46</v>
      </c>
      <c r="H56" s="64"/>
      <c r="I56" s="64" t="s">
        <v>47</v>
      </c>
      <c r="J56" s="65">
        <v>1</v>
      </c>
      <c r="K56" s="66">
        <f>5600</f>
        <v>5600</v>
      </c>
      <c r="L56" s="67" t="s">
        <v>853</v>
      </c>
      <c r="M56" s="66">
        <f>5690</f>
        <v>5690</v>
      </c>
      <c r="N56" s="67" t="s">
        <v>84</v>
      </c>
      <c r="O56" s="66">
        <f>5240</f>
        <v>5240</v>
      </c>
      <c r="P56" s="67" t="s">
        <v>613</v>
      </c>
      <c r="Q56" s="66">
        <f>5340</f>
        <v>5340</v>
      </c>
      <c r="R56" s="67" t="s">
        <v>872</v>
      </c>
      <c r="S56" s="68">
        <f>5423.91</f>
        <v>5423.91</v>
      </c>
      <c r="T56" s="65">
        <f>299123</f>
        <v>299123</v>
      </c>
      <c r="U56" s="65">
        <f>100000</f>
        <v>100000</v>
      </c>
      <c r="V56" s="65">
        <f>1603662810</f>
        <v>1603662810</v>
      </c>
      <c r="W56" s="65">
        <f>529555450</f>
        <v>529555450</v>
      </c>
      <c r="X56" s="69">
        <f>23</f>
        <v>23</v>
      </c>
    </row>
    <row r="57" spans="1:24">
      <c r="A57" s="60" t="s">
        <v>871</v>
      </c>
      <c r="B57" s="60" t="s">
        <v>210</v>
      </c>
      <c r="C57" s="60" t="s">
        <v>211</v>
      </c>
      <c r="D57" s="60" t="s">
        <v>212</v>
      </c>
      <c r="E57" s="61" t="s">
        <v>46</v>
      </c>
      <c r="F57" s="62" t="s">
        <v>46</v>
      </c>
      <c r="G57" s="63" t="s">
        <v>46</v>
      </c>
      <c r="H57" s="64"/>
      <c r="I57" s="64" t="s">
        <v>47</v>
      </c>
      <c r="J57" s="65">
        <v>1</v>
      </c>
      <c r="K57" s="66">
        <f>19370</f>
        <v>19370</v>
      </c>
      <c r="L57" s="67" t="s">
        <v>853</v>
      </c>
      <c r="M57" s="66">
        <f>20600</f>
        <v>20600</v>
      </c>
      <c r="N57" s="67" t="s">
        <v>100</v>
      </c>
      <c r="O57" s="66">
        <f>17720</f>
        <v>17720</v>
      </c>
      <c r="P57" s="67" t="s">
        <v>84</v>
      </c>
      <c r="Q57" s="66">
        <f>19110</f>
        <v>19110</v>
      </c>
      <c r="R57" s="67" t="s">
        <v>872</v>
      </c>
      <c r="S57" s="68">
        <f>19049.13</f>
        <v>19049.13</v>
      </c>
      <c r="T57" s="65">
        <f>20289130</f>
        <v>20289130</v>
      </c>
      <c r="U57" s="65">
        <f>300</f>
        <v>300</v>
      </c>
      <c r="V57" s="65">
        <f>386710070840</f>
        <v>386710070840</v>
      </c>
      <c r="W57" s="65">
        <f>5630960</f>
        <v>5630960</v>
      </c>
      <c r="X57" s="69">
        <f>23</f>
        <v>23</v>
      </c>
    </row>
    <row r="58" spans="1:24">
      <c r="A58" s="60" t="s">
        <v>871</v>
      </c>
      <c r="B58" s="60" t="s">
        <v>213</v>
      </c>
      <c r="C58" s="60" t="s">
        <v>214</v>
      </c>
      <c r="D58" s="60" t="s">
        <v>215</v>
      </c>
      <c r="E58" s="61" t="s">
        <v>46</v>
      </c>
      <c r="F58" s="62" t="s">
        <v>46</v>
      </c>
      <c r="G58" s="63" t="s">
        <v>46</v>
      </c>
      <c r="H58" s="64"/>
      <c r="I58" s="64" t="s">
        <v>47</v>
      </c>
      <c r="J58" s="65">
        <v>1</v>
      </c>
      <c r="K58" s="66">
        <f>1657</f>
        <v>1657</v>
      </c>
      <c r="L58" s="67" t="s">
        <v>853</v>
      </c>
      <c r="M58" s="66">
        <f>1803</f>
        <v>1803</v>
      </c>
      <c r="N58" s="67" t="s">
        <v>84</v>
      </c>
      <c r="O58" s="66">
        <f>1547</f>
        <v>1547</v>
      </c>
      <c r="P58" s="67" t="s">
        <v>100</v>
      </c>
      <c r="Q58" s="66">
        <f>1656</f>
        <v>1656</v>
      </c>
      <c r="R58" s="67" t="s">
        <v>872</v>
      </c>
      <c r="S58" s="68">
        <f>1675.09</f>
        <v>1675.09</v>
      </c>
      <c r="T58" s="65">
        <f>62452354</f>
        <v>62452354</v>
      </c>
      <c r="U58" s="65" t="str">
        <f t="shared" ref="U58:U68" si="2">"－"</f>
        <v>－</v>
      </c>
      <c r="V58" s="65">
        <f>105320843604</f>
        <v>105320843604</v>
      </c>
      <c r="W58" s="65" t="str">
        <f t="shared" ref="W58:W68" si="3">"－"</f>
        <v>－</v>
      </c>
      <c r="X58" s="69">
        <f>23</f>
        <v>23</v>
      </c>
    </row>
    <row r="59" spans="1:24">
      <c r="A59" s="60" t="s">
        <v>871</v>
      </c>
      <c r="B59" s="60" t="s">
        <v>216</v>
      </c>
      <c r="C59" s="60" t="s">
        <v>217</v>
      </c>
      <c r="D59" s="60" t="s">
        <v>218</v>
      </c>
      <c r="E59" s="61" t="s">
        <v>46</v>
      </c>
      <c r="F59" s="62" t="s">
        <v>46</v>
      </c>
      <c r="G59" s="63" t="s">
        <v>46</v>
      </c>
      <c r="H59" s="64"/>
      <c r="I59" s="64" t="s">
        <v>47</v>
      </c>
      <c r="J59" s="65">
        <v>1</v>
      </c>
      <c r="K59" s="66">
        <f>23570</f>
        <v>23570</v>
      </c>
      <c r="L59" s="67" t="s">
        <v>853</v>
      </c>
      <c r="M59" s="66">
        <f>23820</f>
        <v>23820</v>
      </c>
      <c r="N59" s="67" t="s">
        <v>856</v>
      </c>
      <c r="O59" s="66">
        <f>22730</f>
        <v>22730</v>
      </c>
      <c r="P59" s="67" t="s">
        <v>84</v>
      </c>
      <c r="Q59" s="66">
        <f>23790</f>
        <v>23790</v>
      </c>
      <c r="R59" s="67" t="s">
        <v>872</v>
      </c>
      <c r="S59" s="68">
        <f>23367.69</f>
        <v>23367.69</v>
      </c>
      <c r="T59" s="65">
        <f>77</f>
        <v>77</v>
      </c>
      <c r="U59" s="65" t="str">
        <f t="shared" si="2"/>
        <v>－</v>
      </c>
      <c r="V59" s="65">
        <f>1798200</f>
        <v>1798200</v>
      </c>
      <c r="W59" s="65" t="str">
        <f t="shared" si="3"/>
        <v>－</v>
      </c>
      <c r="X59" s="69">
        <f>13</f>
        <v>13</v>
      </c>
    </row>
    <row r="60" spans="1:24">
      <c r="A60" s="60" t="s">
        <v>871</v>
      </c>
      <c r="B60" s="60" t="s">
        <v>219</v>
      </c>
      <c r="C60" s="60" t="s">
        <v>220</v>
      </c>
      <c r="D60" s="60" t="s">
        <v>221</v>
      </c>
      <c r="E60" s="61" t="s">
        <v>46</v>
      </c>
      <c r="F60" s="62" t="s">
        <v>46</v>
      </c>
      <c r="G60" s="63" t="s">
        <v>46</v>
      </c>
      <c r="H60" s="64"/>
      <c r="I60" s="64" t="s">
        <v>47</v>
      </c>
      <c r="J60" s="65">
        <v>1</v>
      </c>
      <c r="K60" s="66">
        <f>14050</f>
        <v>14050</v>
      </c>
      <c r="L60" s="67" t="s">
        <v>853</v>
      </c>
      <c r="M60" s="66">
        <f>15750</f>
        <v>15750</v>
      </c>
      <c r="N60" s="67" t="s">
        <v>100</v>
      </c>
      <c r="O60" s="66">
        <f>13470</f>
        <v>13470</v>
      </c>
      <c r="P60" s="67" t="s">
        <v>84</v>
      </c>
      <c r="Q60" s="66">
        <f>15090</f>
        <v>15090</v>
      </c>
      <c r="R60" s="67" t="s">
        <v>872</v>
      </c>
      <c r="S60" s="68">
        <f>14736.96</f>
        <v>14736.96</v>
      </c>
      <c r="T60" s="65">
        <f>7410</f>
        <v>7410</v>
      </c>
      <c r="U60" s="65" t="str">
        <f t="shared" si="2"/>
        <v>－</v>
      </c>
      <c r="V60" s="65">
        <f>107650520</f>
        <v>107650520</v>
      </c>
      <c r="W60" s="65" t="str">
        <f t="shared" si="3"/>
        <v>－</v>
      </c>
      <c r="X60" s="69">
        <f>23</f>
        <v>23</v>
      </c>
    </row>
    <row r="61" spans="1:24">
      <c r="A61" s="60" t="s">
        <v>871</v>
      </c>
      <c r="B61" s="60" t="s">
        <v>222</v>
      </c>
      <c r="C61" s="60" t="s">
        <v>223</v>
      </c>
      <c r="D61" s="60" t="s">
        <v>224</v>
      </c>
      <c r="E61" s="61" t="s">
        <v>46</v>
      </c>
      <c r="F61" s="62" t="s">
        <v>46</v>
      </c>
      <c r="G61" s="63" t="s">
        <v>46</v>
      </c>
      <c r="H61" s="64"/>
      <c r="I61" s="64" t="s">
        <v>47</v>
      </c>
      <c r="J61" s="65">
        <v>1</v>
      </c>
      <c r="K61" s="66">
        <f>5450</f>
        <v>5450</v>
      </c>
      <c r="L61" s="67" t="s">
        <v>853</v>
      </c>
      <c r="M61" s="66">
        <f>5530</f>
        <v>5530</v>
      </c>
      <c r="N61" s="67" t="s">
        <v>84</v>
      </c>
      <c r="O61" s="66">
        <f>5100</f>
        <v>5100</v>
      </c>
      <c r="P61" s="67" t="s">
        <v>100</v>
      </c>
      <c r="Q61" s="66">
        <f>5150</f>
        <v>5150</v>
      </c>
      <c r="R61" s="67" t="s">
        <v>872</v>
      </c>
      <c r="S61" s="68">
        <f>5283.64</f>
        <v>5283.64</v>
      </c>
      <c r="T61" s="65">
        <f>2209</f>
        <v>2209</v>
      </c>
      <c r="U61" s="65" t="str">
        <f t="shared" si="2"/>
        <v>－</v>
      </c>
      <c r="V61" s="65">
        <f>11666250</f>
        <v>11666250</v>
      </c>
      <c r="W61" s="65" t="str">
        <f t="shared" si="3"/>
        <v>－</v>
      </c>
      <c r="X61" s="69">
        <f>22</f>
        <v>22</v>
      </c>
    </row>
    <row r="62" spans="1:24">
      <c r="A62" s="60" t="s">
        <v>871</v>
      </c>
      <c r="B62" s="60" t="s">
        <v>225</v>
      </c>
      <c r="C62" s="60" t="s">
        <v>226</v>
      </c>
      <c r="D62" s="60" t="s">
        <v>227</v>
      </c>
      <c r="E62" s="61" t="s">
        <v>46</v>
      </c>
      <c r="F62" s="62" t="s">
        <v>46</v>
      </c>
      <c r="G62" s="63" t="s">
        <v>46</v>
      </c>
      <c r="H62" s="64"/>
      <c r="I62" s="64" t="s">
        <v>47</v>
      </c>
      <c r="J62" s="65">
        <v>1</v>
      </c>
      <c r="K62" s="66">
        <f>2395</f>
        <v>2395</v>
      </c>
      <c r="L62" s="67" t="s">
        <v>853</v>
      </c>
      <c r="M62" s="66">
        <f>2461</f>
        <v>2461</v>
      </c>
      <c r="N62" s="67" t="s">
        <v>84</v>
      </c>
      <c r="O62" s="66">
        <f>2101</f>
        <v>2101</v>
      </c>
      <c r="P62" s="67" t="s">
        <v>613</v>
      </c>
      <c r="Q62" s="66">
        <f>2179</f>
        <v>2179</v>
      </c>
      <c r="R62" s="67" t="s">
        <v>872</v>
      </c>
      <c r="S62" s="68">
        <f>2243.43</f>
        <v>2243.4299999999998</v>
      </c>
      <c r="T62" s="65">
        <f>37296</f>
        <v>37296</v>
      </c>
      <c r="U62" s="65" t="str">
        <f t="shared" si="2"/>
        <v>－</v>
      </c>
      <c r="V62" s="65">
        <f>84364249</f>
        <v>84364249</v>
      </c>
      <c r="W62" s="65" t="str">
        <f t="shared" si="3"/>
        <v>－</v>
      </c>
      <c r="X62" s="69">
        <f>23</f>
        <v>23</v>
      </c>
    </row>
    <row r="63" spans="1:24">
      <c r="A63" s="60" t="s">
        <v>871</v>
      </c>
      <c r="B63" s="60" t="s">
        <v>228</v>
      </c>
      <c r="C63" s="60" t="s">
        <v>229</v>
      </c>
      <c r="D63" s="60" t="s">
        <v>230</v>
      </c>
      <c r="E63" s="61" t="s">
        <v>46</v>
      </c>
      <c r="F63" s="62" t="s">
        <v>46</v>
      </c>
      <c r="G63" s="63" t="s">
        <v>46</v>
      </c>
      <c r="H63" s="64"/>
      <c r="I63" s="64" t="s">
        <v>47</v>
      </c>
      <c r="J63" s="65">
        <v>10</v>
      </c>
      <c r="K63" s="66">
        <f>13250</f>
        <v>13250</v>
      </c>
      <c r="L63" s="67" t="s">
        <v>853</v>
      </c>
      <c r="M63" s="66">
        <f>14880</f>
        <v>14880</v>
      </c>
      <c r="N63" s="67" t="s">
        <v>50</v>
      </c>
      <c r="O63" s="66">
        <f>12670</f>
        <v>12670</v>
      </c>
      <c r="P63" s="67" t="s">
        <v>84</v>
      </c>
      <c r="Q63" s="66">
        <f>14300</f>
        <v>14300</v>
      </c>
      <c r="R63" s="67" t="s">
        <v>872</v>
      </c>
      <c r="S63" s="68">
        <f>13792.17</f>
        <v>13792.17</v>
      </c>
      <c r="T63" s="65">
        <f>14550</f>
        <v>14550</v>
      </c>
      <c r="U63" s="65" t="str">
        <f t="shared" si="2"/>
        <v>－</v>
      </c>
      <c r="V63" s="65">
        <f>201591900</f>
        <v>201591900</v>
      </c>
      <c r="W63" s="65" t="str">
        <f t="shared" si="3"/>
        <v>－</v>
      </c>
      <c r="X63" s="69">
        <f>23</f>
        <v>23</v>
      </c>
    </row>
    <row r="64" spans="1:24">
      <c r="A64" s="60" t="s">
        <v>871</v>
      </c>
      <c r="B64" s="60" t="s">
        <v>231</v>
      </c>
      <c r="C64" s="60" t="s">
        <v>232</v>
      </c>
      <c r="D64" s="60" t="s">
        <v>233</v>
      </c>
      <c r="E64" s="61" t="s">
        <v>46</v>
      </c>
      <c r="F64" s="62" t="s">
        <v>46</v>
      </c>
      <c r="G64" s="63" t="s">
        <v>46</v>
      </c>
      <c r="H64" s="64"/>
      <c r="I64" s="64" t="s">
        <v>47</v>
      </c>
      <c r="J64" s="65">
        <v>10</v>
      </c>
      <c r="K64" s="66">
        <f>5340</f>
        <v>5340</v>
      </c>
      <c r="L64" s="67" t="s">
        <v>853</v>
      </c>
      <c r="M64" s="66">
        <f>5390</f>
        <v>5390</v>
      </c>
      <c r="N64" s="67" t="s">
        <v>84</v>
      </c>
      <c r="O64" s="66">
        <f>4980</f>
        <v>4980</v>
      </c>
      <c r="P64" s="67" t="s">
        <v>100</v>
      </c>
      <c r="Q64" s="66">
        <f>5090</f>
        <v>5090</v>
      </c>
      <c r="R64" s="67" t="s">
        <v>872</v>
      </c>
      <c r="S64" s="68">
        <f>5156.32</f>
        <v>5156.32</v>
      </c>
      <c r="T64" s="65">
        <f>6650</f>
        <v>6650</v>
      </c>
      <c r="U64" s="65" t="str">
        <f t="shared" si="2"/>
        <v>－</v>
      </c>
      <c r="V64" s="65">
        <f>34225650</f>
        <v>34225650</v>
      </c>
      <c r="W64" s="65" t="str">
        <f t="shared" si="3"/>
        <v>－</v>
      </c>
      <c r="X64" s="69">
        <f>19</f>
        <v>19</v>
      </c>
    </row>
    <row r="65" spans="1:24">
      <c r="A65" s="60" t="s">
        <v>871</v>
      </c>
      <c r="B65" s="60" t="s">
        <v>234</v>
      </c>
      <c r="C65" s="60" t="s">
        <v>235</v>
      </c>
      <c r="D65" s="60" t="s">
        <v>236</v>
      </c>
      <c r="E65" s="61" t="s">
        <v>46</v>
      </c>
      <c r="F65" s="62" t="s">
        <v>46</v>
      </c>
      <c r="G65" s="63" t="s">
        <v>46</v>
      </c>
      <c r="H65" s="64"/>
      <c r="I65" s="64" t="s">
        <v>47</v>
      </c>
      <c r="J65" s="65">
        <v>10</v>
      </c>
      <c r="K65" s="66">
        <f>2350</f>
        <v>2350</v>
      </c>
      <c r="L65" s="67" t="s">
        <v>853</v>
      </c>
      <c r="M65" s="66">
        <f>2463</f>
        <v>2463</v>
      </c>
      <c r="N65" s="67" t="s">
        <v>131</v>
      </c>
      <c r="O65" s="66">
        <f>2103</f>
        <v>2103</v>
      </c>
      <c r="P65" s="67" t="s">
        <v>100</v>
      </c>
      <c r="Q65" s="66">
        <f>2170</f>
        <v>2170</v>
      </c>
      <c r="R65" s="67" t="s">
        <v>872</v>
      </c>
      <c r="S65" s="68">
        <f>2245.26</f>
        <v>2245.2600000000002</v>
      </c>
      <c r="T65" s="65">
        <f>105030</f>
        <v>105030</v>
      </c>
      <c r="U65" s="65" t="str">
        <f t="shared" si="2"/>
        <v>－</v>
      </c>
      <c r="V65" s="65">
        <f>234122470</f>
        <v>234122470</v>
      </c>
      <c r="W65" s="65" t="str">
        <f t="shared" si="3"/>
        <v>－</v>
      </c>
      <c r="X65" s="69">
        <f>23</f>
        <v>23</v>
      </c>
    </row>
    <row r="66" spans="1:24">
      <c r="A66" s="60" t="s">
        <v>871</v>
      </c>
      <c r="B66" s="60" t="s">
        <v>237</v>
      </c>
      <c r="C66" s="60" t="s">
        <v>238</v>
      </c>
      <c r="D66" s="60" t="s">
        <v>239</v>
      </c>
      <c r="E66" s="61" t="s">
        <v>46</v>
      </c>
      <c r="F66" s="62" t="s">
        <v>46</v>
      </c>
      <c r="G66" s="63" t="s">
        <v>46</v>
      </c>
      <c r="H66" s="64"/>
      <c r="I66" s="64" t="s">
        <v>47</v>
      </c>
      <c r="J66" s="65">
        <v>1</v>
      </c>
      <c r="K66" s="66">
        <f>24250</f>
        <v>24250</v>
      </c>
      <c r="L66" s="67" t="s">
        <v>853</v>
      </c>
      <c r="M66" s="66">
        <f>25190</f>
        <v>25190</v>
      </c>
      <c r="N66" s="67" t="s">
        <v>854</v>
      </c>
      <c r="O66" s="66">
        <f>22860</f>
        <v>22860</v>
      </c>
      <c r="P66" s="67" t="s">
        <v>96</v>
      </c>
      <c r="Q66" s="66">
        <f>25000</f>
        <v>25000</v>
      </c>
      <c r="R66" s="67" t="s">
        <v>872</v>
      </c>
      <c r="S66" s="68">
        <f>24382.61</f>
        <v>24382.61</v>
      </c>
      <c r="T66" s="65">
        <f>3055</f>
        <v>3055</v>
      </c>
      <c r="U66" s="65" t="str">
        <f t="shared" si="2"/>
        <v>－</v>
      </c>
      <c r="V66" s="65">
        <f>74581860</f>
        <v>74581860</v>
      </c>
      <c r="W66" s="65" t="str">
        <f t="shared" si="3"/>
        <v>－</v>
      </c>
      <c r="X66" s="69">
        <f>23</f>
        <v>23</v>
      </c>
    </row>
    <row r="67" spans="1:24">
      <c r="A67" s="60" t="s">
        <v>871</v>
      </c>
      <c r="B67" s="60" t="s">
        <v>241</v>
      </c>
      <c r="C67" s="60" t="s">
        <v>242</v>
      </c>
      <c r="D67" s="60" t="s">
        <v>243</v>
      </c>
      <c r="E67" s="61" t="s">
        <v>46</v>
      </c>
      <c r="F67" s="62" t="s">
        <v>46</v>
      </c>
      <c r="G67" s="63" t="s">
        <v>46</v>
      </c>
      <c r="H67" s="64"/>
      <c r="I67" s="64" t="s">
        <v>47</v>
      </c>
      <c r="J67" s="65">
        <v>1</v>
      </c>
      <c r="K67" s="66">
        <f>3605</f>
        <v>3605</v>
      </c>
      <c r="L67" s="67" t="s">
        <v>853</v>
      </c>
      <c r="M67" s="66">
        <f>3605</f>
        <v>3605</v>
      </c>
      <c r="N67" s="67" t="s">
        <v>853</v>
      </c>
      <c r="O67" s="66">
        <f>3300</f>
        <v>3300</v>
      </c>
      <c r="P67" s="67" t="s">
        <v>100</v>
      </c>
      <c r="Q67" s="66">
        <f>3375</f>
        <v>3375</v>
      </c>
      <c r="R67" s="67" t="s">
        <v>872</v>
      </c>
      <c r="S67" s="68">
        <f>3408.91</f>
        <v>3408.91</v>
      </c>
      <c r="T67" s="65">
        <f>2246</f>
        <v>2246</v>
      </c>
      <c r="U67" s="65" t="str">
        <f t="shared" si="2"/>
        <v>－</v>
      </c>
      <c r="V67" s="65">
        <f>7741200</f>
        <v>7741200</v>
      </c>
      <c r="W67" s="65" t="str">
        <f t="shared" si="3"/>
        <v>－</v>
      </c>
      <c r="X67" s="69">
        <f>23</f>
        <v>23</v>
      </c>
    </row>
    <row r="68" spans="1:24">
      <c r="A68" s="60" t="s">
        <v>871</v>
      </c>
      <c r="B68" s="60" t="s">
        <v>244</v>
      </c>
      <c r="C68" s="60" t="s">
        <v>245</v>
      </c>
      <c r="D68" s="60" t="s">
        <v>246</v>
      </c>
      <c r="E68" s="61" t="s">
        <v>46</v>
      </c>
      <c r="F68" s="62" t="s">
        <v>46</v>
      </c>
      <c r="G68" s="63" t="s">
        <v>46</v>
      </c>
      <c r="H68" s="64"/>
      <c r="I68" s="64" t="s">
        <v>47</v>
      </c>
      <c r="J68" s="65">
        <v>1</v>
      </c>
      <c r="K68" s="66">
        <f>966</f>
        <v>966</v>
      </c>
      <c r="L68" s="67" t="s">
        <v>853</v>
      </c>
      <c r="M68" s="66">
        <f>983</f>
        <v>983</v>
      </c>
      <c r="N68" s="67" t="s">
        <v>84</v>
      </c>
      <c r="O68" s="66">
        <f>850</f>
        <v>850</v>
      </c>
      <c r="P68" s="67" t="s">
        <v>100</v>
      </c>
      <c r="Q68" s="66">
        <f>871</f>
        <v>871</v>
      </c>
      <c r="R68" s="67" t="s">
        <v>872</v>
      </c>
      <c r="S68" s="68">
        <f>903.04</f>
        <v>903.04</v>
      </c>
      <c r="T68" s="65">
        <f>149159</f>
        <v>149159</v>
      </c>
      <c r="U68" s="65" t="str">
        <f t="shared" si="2"/>
        <v>－</v>
      </c>
      <c r="V68" s="65">
        <f>135529678</f>
        <v>135529678</v>
      </c>
      <c r="W68" s="65" t="str">
        <f t="shared" si="3"/>
        <v>－</v>
      </c>
      <c r="X68" s="69">
        <f>23</f>
        <v>23</v>
      </c>
    </row>
    <row r="69" spans="1:24">
      <c r="A69" s="60" t="s">
        <v>871</v>
      </c>
      <c r="B69" s="60" t="s">
        <v>247</v>
      </c>
      <c r="C69" s="60" t="s">
        <v>248</v>
      </c>
      <c r="D69" s="60" t="s">
        <v>249</v>
      </c>
      <c r="E69" s="61" t="s">
        <v>46</v>
      </c>
      <c r="F69" s="62" t="s">
        <v>46</v>
      </c>
      <c r="G69" s="63" t="s">
        <v>46</v>
      </c>
      <c r="H69" s="64"/>
      <c r="I69" s="64" t="s">
        <v>47</v>
      </c>
      <c r="J69" s="65">
        <v>10</v>
      </c>
      <c r="K69" s="66">
        <f>1915</f>
        <v>1915</v>
      </c>
      <c r="L69" s="67" t="s">
        <v>853</v>
      </c>
      <c r="M69" s="66">
        <f>2032</f>
        <v>2032</v>
      </c>
      <c r="N69" s="67" t="s">
        <v>100</v>
      </c>
      <c r="O69" s="66">
        <f>1890</f>
        <v>1890</v>
      </c>
      <c r="P69" s="67" t="s">
        <v>48</v>
      </c>
      <c r="Q69" s="66">
        <f>1996</f>
        <v>1996</v>
      </c>
      <c r="R69" s="67" t="s">
        <v>872</v>
      </c>
      <c r="S69" s="68">
        <f>1970.04</f>
        <v>1970.04</v>
      </c>
      <c r="T69" s="65">
        <f>9089750</f>
        <v>9089750</v>
      </c>
      <c r="U69" s="65">
        <f>8726320</f>
        <v>8726320</v>
      </c>
      <c r="V69" s="65">
        <f>18129457180</f>
        <v>18129457180</v>
      </c>
      <c r="W69" s="65">
        <f>17410048300</f>
        <v>17410048300</v>
      </c>
      <c r="X69" s="69">
        <f>23</f>
        <v>23</v>
      </c>
    </row>
    <row r="70" spans="1:24">
      <c r="A70" s="60" t="s">
        <v>871</v>
      </c>
      <c r="B70" s="60" t="s">
        <v>250</v>
      </c>
      <c r="C70" s="60" t="s">
        <v>251</v>
      </c>
      <c r="D70" s="60" t="s">
        <v>252</v>
      </c>
      <c r="E70" s="61" t="s">
        <v>46</v>
      </c>
      <c r="F70" s="62" t="s">
        <v>46</v>
      </c>
      <c r="G70" s="63" t="s">
        <v>46</v>
      </c>
      <c r="H70" s="64"/>
      <c r="I70" s="64" t="s">
        <v>47</v>
      </c>
      <c r="J70" s="65">
        <v>1</v>
      </c>
      <c r="K70" s="66">
        <f>17250</f>
        <v>17250</v>
      </c>
      <c r="L70" s="67" t="s">
        <v>853</v>
      </c>
      <c r="M70" s="66">
        <f>18270</f>
        <v>18270</v>
      </c>
      <c r="N70" s="67" t="s">
        <v>100</v>
      </c>
      <c r="O70" s="66">
        <f>16980</f>
        <v>16980</v>
      </c>
      <c r="P70" s="67" t="s">
        <v>84</v>
      </c>
      <c r="Q70" s="66">
        <f>17990</f>
        <v>17990</v>
      </c>
      <c r="R70" s="67" t="s">
        <v>872</v>
      </c>
      <c r="S70" s="68">
        <f>17716.52</f>
        <v>17716.52</v>
      </c>
      <c r="T70" s="65">
        <f>49794</f>
        <v>49794</v>
      </c>
      <c r="U70" s="65" t="str">
        <f>"－"</f>
        <v>－</v>
      </c>
      <c r="V70" s="65">
        <f>889645740</f>
        <v>889645740</v>
      </c>
      <c r="W70" s="65" t="str">
        <f>"－"</f>
        <v>－</v>
      </c>
      <c r="X70" s="69">
        <f>23</f>
        <v>23</v>
      </c>
    </row>
    <row r="71" spans="1:24">
      <c r="A71" s="60" t="s">
        <v>871</v>
      </c>
      <c r="B71" s="60" t="s">
        <v>253</v>
      </c>
      <c r="C71" s="60" t="s">
        <v>254</v>
      </c>
      <c r="D71" s="60" t="s">
        <v>255</v>
      </c>
      <c r="E71" s="61" t="s">
        <v>46</v>
      </c>
      <c r="F71" s="62" t="s">
        <v>46</v>
      </c>
      <c r="G71" s="63" t="s">
        <v>46</v>
      </c>
      <c r="H71" s="64"/>
      <c r="I71" s="64" t="s">
        <v>47</v>
      </c>
      <c r="J71" s="65">
        <v>1</v>
      </c>
      <c r="K71" s="66">
        <f>1927</f>
        <v>1927</v>
      </c>
      <c r="L71" s="67" t="s">
        <v>853</v>
      </c>
      <c r="M71" s="66">
        <f>2051</f>
        <v>2051</v>
      </c>
      <c r="N71" s="67" t="s">
        <v>613</v>
      </c>
      <c r="O71" s="66">
        <f>1895</f>
        <v>1895</v>
      </c>
      <c r="P71" s="67" t="s">
        <v>84</v>
      </c>
      <c r="Q71" s="66">
        <f>2009</f>
        <v>2009</v>
      </c>
      <c r="R71" s="67" t="s">
        <v>872</v>
      </c>
      <c r="S71" s="68">
        <f>1984.17</f>
        <v>1984.17</v>
      </c>
      <c r="T71" s="65">
        <f>16987060</f>
        <v>16987060</v>
      </c>
      <c r="U71" s="65">
        <f>14367644</f>
        <v>14367644</v>
      </c>
      <c r="V71" s="65">
        <f>34050147743</f>
        <v>34050147743</v>
      </c>
      <c r="W71" s="65">
        <f>28825000691</f>
        <v>28825000691</v>
      </c>
      <c r="X71" s="69">
        <f>23</f>
        <v>23</v>
      </c>
    </row>
    <row r="72" spans="1:24">
      <c r="A72" s="60" t="s">
        <v>871</v>
      </c>
      <c r="B72" s="60" t="s">
        <v>256</v>
      </c>
      <c r="C72" s="60" t="s">
        <v>257</v>
      </c>
      <c r="D72" s="60" t="s">
        <v>258</v>
      </c>
      <c r="E72" s="61" t="s">
        <v>46</v>
      </c>
      <c r="F72" s="62" t="s">
        <v>46</v>
      </c>
      <c r="G72" s="63" t="s">
        <v>46</v>
      </c>
      <c r="H72" s="64"/>
      <c r="I72" s="64" t="s">
        <v>47</v>
      </c>
      <c r="J72" s="65">
        <v>1</v>
      </c>
      <c r="K72" s="66">
        <f>2004</f>
        <v>2004</v>
      </c>
      <c r="L72" s="67" t="s">
        <v>853</v>
      </c>
      <c r="M72" s="66">
        <f>2118</f>
        <v>2118</v>
      </c>
      <c r="N72" s="67" t="s">
        <v>872</v>
      </c>
      <c r="O72" s="66">
        <f>1927</f>
        <v>1927</v>
      </c>
      <c r="P72" s="67" t="s">
        <v>859</v>
      </c>
      <c r="Q72" s="66">
        <f>2082</f>
        <v>2082</v>
      </c>
      <c r="R72" s="67" t="s">
        <v>872</v>
      </c>
      <c r="S72" s="68">
        <f>2015.39</f>
        <v>2015.39</v>
      </c>
      <c r="T72" s="65">
        <f>3231771</f>
        <v>3231771</v>
      </c>
      <c r="U72" s="65">
        <f>120716</f>
        <v>120716</v>
      </c>
      <c r="V72" s="65">
        <f>6475344201</f>
        <v>6475344201</v>
      </c>
      <c r="W72" s="65">
        <f>235601567</f>
        <v>235601567</v>
      </c>
      <c r="X72" s="69">
        <f>23</f>
        <v>23</v>
      </c>
    </row>
    <row r="73" spans="1:24">
      <c r="A73" s="60" t="s">
        <v>871</v>
      </c>
      <c r="B73" s="60" t="s">
        <v>259</v>
      </c>
      <c r="C73" s="60" t="s">
        <v>260</v>
      </c>
      <c r="D73" s="60" t="s">
        <v>261</v>
      </c>
      <c r="E73" s="61" t="s">
        <v>46</v>
      </c>
      <c r="F73" s="62" t="s">
        <v>46</v>
      </c>
      <c r="G73" s="63" t="s">
        <v>46</v>
      </c>
      <c r="H73" s="64"/>
      <c r="I73" s="64" t="s">
        <v>47</v>
      </c>
      <c r="J73" s="65">
        <v>1</v>
      </c>
      <c r="K73" s="66">
        <f>1833</f>
        <v>1833</v>
      </c>
      <c r="L73" s="67" t="s">
        <v>853</v>
      </c>
      <c r="M73" s="66">
        <f>1940</f>
        <v>1940</v>
      </c>
      <c r="N73" s="67" t="s">
        <v>50</v>
      </c>
      <c r="O73" s="66">
        <f>1796</f>
        <v>1796</v>
      </c>
      <c r="P73" s="67" t="s">
        <v>48</v>
      </c>
      <c r="Q73" s="66">
        <f>1904</f>
        <v>1904</v>
      </c>
      <c r="R73" s="67" t="s">
        <v>872</v>
      </c>
      <c r="S73" s="68">
        <f>1876.74</f>
        <v>1876.74</v>
      </c>
      <c r="T73" s="65">
        <f>24527</f>
        <v>24527</v>
      </c>
      <c r="U73" s="65" t="str">
        <f>"－"</f>
        <v>－</v>
      </c>
      <c r="V73" s="65">
        <f>46486224</f>
        <v>46486224</v>
      </c>
      <c r="W73" s="65" t="str">
        <f>"－"</f>
        <v>－</v>
      </c>
      <c r="X73" s="69">
        <f>23</f>
        <v>23</v>
      </c>
    </row>
    <row r="74" spans="1:24">
      <c r="A74" s="60" t="s">
        <v>871</v>
      </c>
      <c r="B74" s="60" t="s">
        <v>262</v>
      </c>
      <c r="C74" s="60" t="s">
        <v>263</v>
      </c>
      <c r="D74" s="60" t="s">
        <v>264</v>
      </c>
      <c r="E74" s="61" t="s">
        <v>46</v>
      </c>
      <c r="F74" s="62" t="s">
        <v>46</v>
      </c>
      <c r="G74" s="63" t="s">
        <v>46</v>
      </c>
      <c r="H74" s="64"/>
      <c r="I74" s="64" t="s">
        <v>47</v>
      </c>
      <c r="J74" s="65">
        <v>1</v>
      </c>
      <c r="K74" s="66">
        <f>2030</f>
        <v>2030</v>
      </c>
      <c r="L74" s="67" t="s">
        <v>853</v>
      </c>
      <c r="M74" s="66">
        <f>2225</f>
        <v>2225</v>
      </c>
      <c r="N74" s="67" t="s">
        <v>50</v>
      </c>
      <c r="O74" s="66">
        <f>2025</f>
        <v>2025</v>
      </c>
      <c r="P74" s="67" t="s">
        <v>857</v>
      </c>
      <c r="Q74" s="66">
        <f>2189</f>
        <v>2189</v>
      </c>
      <c r="R74" s="67" t="s">
        <v>872</v>
      </c>
      <c r="S74" s="68">
        <f>2140.09</f>
        <v>2140.09</v>
      </c>
      <c r="T74" s="65">
        <f>219999</f>
        <v>219999</v>
      </c>
      <c r="U74" s="65" t="str">
        <f>"－"</f>
        <v>－</v>
      </c>
      <c r="V74" s="65">
        <f>470412933</f>
        <v>470412933</v>
      </c>
      <c r="W74" s="65" t="str">
        <f>"－"</f>
        <v>－</v>
      </c>
      <c r="X74" s="69">
        <f>23</f>
        <v>23</v>
      </c>
    </row>
    <row r="75" spans="1:24">
      <c r="A75" s="60" t="s">
        <v>871</v>
      </c>
      <c r="B75" s="60" t="s">
        <v>265</v>
      </c>
      <c r="C75" s="60" t="s">
        <v>266</v>
      </c>
      <c r="D75" s="60" t="s">
        <v>267</v>
      </c>
      <c r="E75" s="61" t="s">
        <v>46</v>
      </c>
      <c r="F75" s="62" t="s">
        <v>46</v>
      </c>
      <c r="G75" s="63" t="s">
        <v>46</v>
      </c>
      <c r="H75" s="64"/>
      <c r="I75" s="64" t="s">
        <v>47</v>
      </c>
      <c r="J75" s="65">
        <v>1</v>
      </c>
      <c r="K75" s="66">
        <f>23100</f>
        <v>23100</v>
      </c>
      <c r="L75" s="67" t="s">
        <v>857</v>
      </c>
      <c r="M75" s="66">
        <f>23990</f>
        <v>23990</v>
      </c>
      <c r="N75" s="67" t="s">
        <v>100</v>
      </c>
      <c r="O75" s="66">
        <f>22330</f>
        <v>22330</v>
      </c>
      <c r="P75" s="67" t="s">
        <v>84</v>
      </c>
      <c r="Q75" s="66">
        <f>23760</f>
        <v>23760</v>
      </c>
      <c r="R75" s="67" t="s">
        <v>872</v>
      </c>
      <c r="S75" s="68">
        <f>23286.88</f>
        <v>23286.880000000001</v>
      </c>
      <c r="T75" s="65">
        <f>82</f>
        <v>82</v>
      </c>
      <c r="U75" s="65" t="str">
        <f>"－"</f>
        <v>－</v>
      </c>
      <c r="V75" s="65">
        <f>1905100</f>
        <v>1905100</v>
      </c>
      <c r="W75" s="65" t="str">
        <f>"－"</f>
        <v>－</v>
      </c>
      <c r="X75" s="69">
        <f>16</f>
        <v>16</v>
      </c>
    </row>
    <row r="76" spans="1:24">
      <c r="A76" s="60" t="s">
        <v>871</v>
      </c>
      <c r="B76" s="60" t="s">
        <v>269</v>
      </c>
      <c r="C76" s="60" t="s">
        <v>270</v>
      </c>
      <c r="D76" s="60" t="s">
        <v>271</v>
      </c>
      <c r="E76" s="61" t="s">
        <v>46</v>
      </c>
      <c r="F76" s="62" t="s">
        <v>46</v>
      </c>
      <c r="G76" s="63" t="s">
        <v>46</v>
      </c>
      <c r="H76" s="64"/>
      <c r="I76" s="64" t="s">
        <v>47</v>
      </c>
      <c r="J76" s="65">
        <v>1</v>
      </c>
      <c r="K76" s="66">
        <f>18960</f>
        <v>18960</v>
      </c>
      <c r="L76" s="67" t="s">
        <v>853</v>
      </c>
      <c r="M76" s="66">
        <f>19900</f>
        <v>19900</v>
      </c>
      <c r="N76" s="67" t="s">
        <v>100</v>
      </c>
      <c r="O76" s="66">
        <f>18540</f>
        <v>18540</v>
      </c>
      <c r="P76" s="67" t="s">
        <v>84</v>
      </c>
      <c r="Q76" s="66">
        <f>19830</f>
        <v>19830</v>
      </c>
      <c r="R76" s="67" t="s">
        <v>873</v>
      </c>
      <c r="S76" s="68">
        <f>19307.62</f>
        <v>19307.62</v>
      </c>
      <c r="T76" s="65">
        <f>804</f>
        <v>804</v>
      </c>
      <c r="U76" s="65" t="str">
        <f>"－"</f>
        <v>－</v>
      </c>
      <c r="V76" s="65">
        <f>15138220</f>
        <v>15138220</v>
      </c>
      <c r="W76" s="65" t="str">
        <f>"－"</f>
        <v>－</v>
      </c>
      <c r="X76" s="69">
        <f>21</f>
        <v>21</v>
      </c>
    </row>
    <row r="77" spans="1:24">
      <c r="A77" s="60" t="s">
        <v>871</v>
      </c>
      <c r="B77" s="60" t="s">
        <v>272</v>
      </c>
      <c r="C77" s="60" t="s">
        <v>273</v>
      </c>
      <c r="D77" s="60" t="s">
        <v>274</v>
      </c>
      <c r="E77" s="61" t="s">
        <v>46</v>
      </c>
      <c r="F77" s="62" t="s">
        <v>46</v>
      </c>
      <c r="G77" s="63" t="s">
        <v>46</v>
      </c>
      <c r="H77" s="64"/>
      <c r="I77" s="64" t="s">
        <v>47</v>
      </c>
      <c r="J77" s="65">
        <v>1</v>
      </c>
      <c r="K77" s="66">
        <f>1849</f>
        <v>1849</v>
      </c>
      <c r="L77" s="67" t="s">
        <v>853</v>
      </c>
      <c r="M77" s="66">
        <f>1950</f>
        <v>1950</v>
      </c>
      <c r="N77" s="67" t="s">
        <v>613</v>
      </c>
      <c r="O77" s="66">
        <f>1813</f>
        <v>1813</v>
      </c>
      <c r="P77" s="67" t="s">
        <v>84</v>
      </c>
      <c r="Q77" s="66">
        <f>1929</f>
        <v>1929</v>
      </c>
      <c r="R77" s="67" t="s">
        <v>872</v>
      </c>
      <c r="S77" s="68">
        <f>1888</f>
        <v>1888</v>
      </c>
      <c r="T77" s="65">
        <f>1874</f>
        <v>1874</v>
      </c>
      <c r="U77" s="65" t="str">
        <f>"－"</f>
        <v>－</v>
      </c>
      <c r="V77" s="65">
        <f>3474003</f>
        <v>3474003</v>
      </c>
      <c r="W77" s="65" t="str">
        <f>"－"</f>
        <v>－</v>
      </c>
      <c r="X77" s="69">
        <f>19</f>
        <v>19</v>
      </c>
    </row>
    <row r="78" spans="1:24">
      <c r="A78" s="60" t="s">
        <v>871</v>
      </c>
      <c r="B78" s="60" t="s">
        <v>275</v>
      </c>
      <c r="C78" s="60" t="s">
        <v>276</v>
      </c>
      <c r="D78" s="60" t="s">
        <v>277</v>
      </c>
      <c r="E78" s="61" t="s">
        <v>46</v>
      </c>
      <c r="F78" s="62" t="s">
        <v>46</v>
      </c>
      <c r="G78" s="63" t="s">
        <v>46</v>
      </c>
      <c r="H78" s="64"/>
      <c r="I78" s="64" t="s">
        <v>47</v>
      </c>
      <c r="J78" s="65">
        <v>1</v>
      </c>
      <c r="K78" s="66">
        <f>2376</f>
        <v>2376</v>
      </c>
      <c r="L78" s="67" t="s">
        <v>853</v>
      </c>
      <c r="M78" s="66">
        <f>2376</f>
        <v>2376</v>
      </c>
      <c r="N78" s="67" t="s">
        <v>853</v>
      </c>
      <c r="O78" s="66">
        <f>2311</f>
        <v>2311</v>
      </c>
      <c r="P78" s="67" t="s">
        <v>873</v>
      </c>
      <c r="Q78" s="66">
        <f>2314</f>
        <v>2314</v>
      </c>
      <c r="R78" s="67" t="s">
        <v>872</v>
      </c>
      <c r="S78" s="68">
        <f>2339.39</f>
        <v>2339.39</v>
      </c>
      <c r="T78" s="65">
        <f>10650186</f>
        <v>10650186</v>
      </c>
      <c r="U78" s="65">
        <f>998000</f>
        <v>998000</v>
      </c>
      <c r="V78" s="65">
        <f>24935518623</f>
        <v>24935518623</v>
      </c>
      <c r="W78" s="65">
        <f>2333677600</f>
        <v>2333677600</v>
      </c>
      <c r="X78" s="69">
        <f>23</f>
        <v>23</v>
      </c>
    </row>
    <row r="79" spans="1:24">
      <c r="A79" s="60" t="s">
        <v>871</v>
      </c>
      <c r="B79" s="60" t="s">
        <v>278</v>
      </c>
      <c r="C79" s="60" t="s">
        <v>279</v>
      </c>
      <c r="D79" s="60" t="s">
        <v>280</v>
      </c>
      <c r="E79" s="61" t="s">
        <v>46</v>
      </c>
      <c r="F79" s="62" t="s">
        <v>46</v>
      </c>
      <c r="G79" s="63" t="s">
        <v>46</v>
      </c>
      <c r="H79" s="64"/>
      <c r="I79" s="64" t="s">
        <v>47</v>
      </c>
      <c r="J79" s="65">
        <v>1</v>
      </c>
      <c r="K79" s="66">
        <f>1823</f>
        <v>1823</v>
      </c>
      <c r="L79" s="67" t="s">
        <v>853</v>
      </c>
      <c r="M79" s="66">
        <f>1923</f>
        <v>1923</v>
      </c>
      <c r="N79" s="67" t="s">
        <v>50</v>
      </c>
      <c r="O79" s="66">
        <f>1772</f>
        <v>1772</v>
      </c>
      <c r="P79" s="67" t="s">
        <v>84</v>
      </c>
      <c r="Q79" s="66">
        <f>1922</f>
        <v>1922</v>
      </c>
      <c r="R79" s="67" t="s">
        <v>872</v>
      </c>
      <c r="S79" s="68">
        <f>1862.35</f>
        <v>1862.35</v>
      </c>
      <c r="T79" s="65">
        <f>3355</f>
        <v>3355</v>
      </c>
      <c r="U79" s="65" t="str">
        <f>"－"</f>
        <v>－</v>
      </c>
      <c r="V79" s="65">
        <f>6241308</f>
        <v>6241308</v>
      </c>
      <c r="W79" s="65" t="str">
        <f>"－"</f>
        <v>－</v>
      </c>
      <c r="X79" s="69">
        <f>23</f>
        <v>23</v>
      </c>
    </row>
    <row r="80" spans="1:24">
      <c r="A80" s="60" t="s">
        <v>871</v>
      </c>
      <c r="B80" s="60" t="s">
        <v>281</v>
      </c>
      <c r="C80" s="60" t="s">
        <v>282</v>
      </c>
      <c r="D80" s="60" t="s">
        <v>283</v>
      </c>
      <c r="E80" s="61" t="s">
        <v>46</v>
      </c>
      <c r="F80" s="62" t="s">
        <v>46</v>
      </c>
      <c r="G80" s="63" t="s">
        <v>46</v>
      </c>
      <c r="H80" s="64"/>
      <c r="I80" s="64" t="s">
        <v>47</v>
      </c>
      <c r="J80" s="65">
        <v>10</v>
      </c>
      <c r="K80" s="66">
        <f>1827</f>
        <v>1827</v>
      </c>
      <c r="L80" s="67" t="s">
        <v>853</v>
      </c>
      <c r="M80" s="66">
        <f>1951</f>
        <v>1951</v>
      </c>
      <c r="N80" s="67" t="s">
        <v>132</v>
      </c>
      <c r="O80" s="66">
        <f>1798</f>
        <v>1798</v>
      </c>
      <c r="P80" s="67" t="s">
        <v>48</v>
      </c>
      <c r="Q80" s="66">
        <f>1900</f>
        <v>1900</v>
      </c>
      <c r="R80" s="67" t="s">
        <v>872</v>
      </c>
      <c r="S80" s="68">
        <f>1863.52</f>
        <v>1863.52</v>
      </c>
      <c r="T80" s="65">
        <f>68860</f>
        <v>68860</v>
      </c>
      <c r="U80" s="65">
        <f>32000</f>
        <v>32000</v>
      </c>
      <c r="V80" s="65">
        <f>126836304</f>
        <v>126836304</v>
      </c>
      <c r="W80" s="65">
        <f>58724524</f>
        <v>58724524</v>
      </c>
      <c r="X80" s="69">
        <f>23</f>
        <v>23</v>
      </c>
    </row>
    <row r="81" spans="1:24">
      <c r="A81" s="60" t="s">
        <v>871</v>
      </c>
      <c r="B81" s="60" t="s">
        <v>284</v>
      </c>
      <c r="C81" s="60" t="s">
        <v>285</v>
      </c>
      <c r="D81" s="60" t="s">
        <v>286</v>
      </c>
      <c r="E81" s="61" t="s">
        <v>46</v>
      </c>
      <c r="F81" s="62" t="s">
        <v>46</v>
      </c>
      <c r="G81" s="63" t="s">
        <v>46</v>
      </c>
      <c r="H81" s="64"/>
      <c r="I81" s="64" t="s">
        <v>47</v>
      </c>
      <c r="J81" s="65">
        <v>1</v>
      </c>
      <c r="K81" s="66">
        <f>29780</f>
        <v>29780</v>
      </c>
      <c r="L81" s="67" t="s">
        <v>853</v>
      </c>
      <c r="M81" s="66">
        <f>30800</f>
        <v>30800</v>
      </c>
      <c r="N81" s="67" t="s">
        <v>100</v>
      </c>
      <c r="O81" s="66">
        <f>29440</f>
        <v>29440</v>
      </c>
      <c r="P81" s="67" t="s">
        <v>860</v>
      </c>
      <c r="Q81" s="66">
        <f>30800</f>
        <v>30800</v>
      </c>
      <c r="R81" s="67" t="s">
        <v>100</v>
      </c>
      <c r="S81" s="68">
        <f>29793.75</f>
        <v>29793.75</v>
      </c>
      <c r="T81" s="65">
        <f>32</f>
        <v>32</v>
      </c>
      <c r="U81" s="65" t="str">
        <f>"－"</f>
        <v>－</v>
      </c>
      <c r="V81" s="65">
        <f>949170</f>
        <v>949170</v>
      </c>
      <c r="W81" s="65" t="str">
        <f>"－"</f>
        <v>－</v>
      </c>
      <c r="X81" s="69">
        <f>8</f>
        <v>8</v>
      </c>
    </row>
    <row r="82" spans="1:24">
      <c r="A82" s="60" t="s">
        <v>871</v>
      </c>
      <c r="B82" s="60" t="s">
        <v>287</v>
      </c>
      <c r="C82" s="60" t="s">
        <v>288</v>
      </c>
      <c r="D82" s="60" t="s">
        <v>289</v>
      </c>
      <c r="E82" s="61" t="s">
        <v>46</v>
      </c>
      <c r="F82" s="62" t="s">
        <v>46</v>
      </c>
      <c r="G82" s="63" t="s">
        <v>46</v>
      </c>
      <c r="H82" s="64"/>
      <c r="I82" s="64" t="s">
        <v>47</v>
      </c>
      <c r="J82" s="65">
        <v>1</v>
      </c>
      <c r="K82" s="66">
        <f>20840</f>
        <v>20840</v>
      </c>
      <c r="L82" s="67" t="s">
        <v>853</v>
      </c>
      <c r="M82" s="66">
        <f>21300</f>
        <v>21300</v>
      </c>
      <c r="N82" s="67" t="s">
        <v>131</v>
      </c>
      <c r="O82" s="66">
        <f>20820</f>
        <v>20820</v>
      </c>
      <c r="P82" s="67" t="s">
        <v>48</v>
      </c>
      <c r="Q82" s="66">
        <f>21200</f>
        <v>21200</v>
      </c>
      <c r="R82" s="67" t="s">
        <v>872</v>
      </c>
      <c r="S82" s="68">
        <f>20990.43</f>
        <v>20990.43</v>
      </c>
      <c r="T82" s="65">
        <f>54686</f>
        <v>54686</v>
      </c>
      <c r="U82" s="65">
        <f>4501</f>
        <v>4501</v>
      </c>
      <c r="V82" s="65">
        <f>1145338340</f>
        <v>1145338340</v>
      </c>
      <c r="W82" s="65">
        <f>94886970</f>
        <v>94886970</v>
      </c>
      <c r="X82" s="69">
        <f>23</f>
        <v>23</v>
      </c>
    </row>
    <row r="83" spans="1:24">
      <c r="A83" s="60" t="s">
        <v>871</v>
      </c>
      <c r="B83" s="60" t="s">
        <v>290</v>
      </c>
      <c r="C83" s="60" t="s">
        <v>291</v>
      </c>
      <c r="D83" s="60" t="s">
        <v>292</v>
      </c>
      <c r="E83" s="61" t="s">
        <v>46</v>
      </c>
      <c r="F83" s="62" t="s">
        <v>46</v>
      </c>
      <c r="G83" s="63" t="s">
        <v>46</v>
      </c>
      <c r="H83" s="64"/>
      <c r="I83" s="64" t="s">
        <v>47</v>
      </c>
      <c r="J83" s="65">
        <v>1</v>
      </c>
      <c r="K83" s="66">
        <f>18530</f>
        <v>18530</v>
      </c>
      <c r="L83" s="67" t="s">
        <v>853</v>
      </c>
      <c r="M83" s="66">
        <f>18540</f>
        <v>18540</v>
      </c>
      <c r="N83" s="67" t="s">
        <v>858</v>
      </c>
      <c r="O83" s="66">
        <f>18040</f>
        <v>18040</v>
      </c>
      <c r="P83" s="67" t="s">
        <v>873</v>
      </c>
      <c r="Q83" s="66">
        <f>18040</f>
        <v>18040</v>
      </c>
      <c r="R83" s="67" t="s">
        <v>872</v>
      </c>
      <c r="S83" s="68">
        <f>18256.52</f>
        <v>18256.52</v>
      </c>
      <c r="T83" s="65">
        <f>241803</f>
        <v>241803</v>
      </c>
      <c r="U83" s="65">
        <f>10896</f>
        <v>10896</v>
      </c>
      <c r="V83" s="65">
        <f>4410018414</f>
        <v>4410018414</v>
      </c>
      <c r="W83" s="65">
        <f>200446084</f>
        <v>200446084</v>
      </c>
      <c r="X83" s="69">
        <f>23</f>
        <v>23</v>
      </c>
    </row>
    <row r="84" spans="1:24">
      <c r="A84" s="60" t="s">
        <v>871</v>
      </c>
      <c r="B84" s="60" t="s">
        <v>293</v>
      </c>
      <c r="C84" s="60" t="s">
        <v>294</v>
      </c>
      <c r="D84" s="60" t="s">
        <v>295</v>
      </c>
      <c r="E84" s="61" t="s">
        <v>46</v>
      </c>
      <c r="F84" s="62" t="s">
        <v>46</v>
      </c>
      <c r="G84" s="63" t="s">
        <v>46</v>
      </c>
      <c r="H84" s="64"/>
      <c r="I84" s="64" t="s">
        <v>47</v>
      </c>
      <c r="J84" s="65">
        <v>10</v>
      </c>
      <c r="K84" s="66">
        <f>2017</f>
        <v>2017</v>
      </c>
      <c r="L84" s="67" t="s">
        <v>853</v>
      </c>
      <c r="M84" s="66">
        <f>2107</f>
        <v>2107</v>
      </c>
      <c r="N84" s="67" t="s">
        <v>872</v>
      </c>
      <c r="O84" s="66">
        <f>1920</f>
        <v>1920</v>
      </c>
      <c r="P84" s="67" t="s">
        <v>859</v>
      </c>
      <c r="Q84" s="66">
        <f>2068</f>
        <v>2068</v>
      </c>
      <c r="R84" s="67" t="s">
        <v>872</v>
      </c>
      <c r="S84" s="68">
        <f>2006.35</f>
        <v>2006.35</v>
      </c>
      <c r="T84" s="65">
        <f>2303630</f>
        <v>2303630</v>
      </c>
      <c r="U84" s="65">
        <f>200000</f>
        <v>200000</v>
      </c>
      <c r="V84" s="65">
        <f>4587437280</f>
        <v>4587437280</v>
      </c>
      <c r="W84" s="65">
        <f>398308000</f>
        <v>398308000</v>
      </c>
      <c r="X84" s="69">
        <f>23</f>
        <v>23</v>
      </c>
    </row>
    <row r="85" spans="1:24">
      <c r="A85" s="60" t="s">
        <v>871</v>
      </c>
      <c r="B85" s="60" t="s">
        <v>296</v>
      </c>
      <c r="C85" s="60" t="s">
        <v>297</v>
      </c>
      <c r="D85" s="60" t="s">
        <v>298</v>
      </c>
      <c r="E85" s="61" t="s">
        <v>46</v>
      </c>
      <c r="F85" s="62" t="s">
        <v>46</v>
      </c>
      <c r="G85" s="63" t="s">
        <v>46</v>
      </c>
      <c r="H85" s="64"/>
      <c r="I85" s="64" t="s">
        <v>47</v>
      </c>
      <c r="J85" s="65">
        <v>1</v>
      </c>
      <c r="K85" s="66">
        <f>33450</f>
        <v>33450</v>
      </c>
      <c r="L85" s="67" t="s">
        <v>853</v>
      </c>
      <c r="M85" s="66">
        <f>37250</f>
        <v>37250</v>
      </c>
      <c r="N85" s="67" t="s">
        <v>613</v>
      </c>
      <c r="O85" s="66">
        <f>33300</f>
        <v>33300</v>
      </c>
      <c r="P85" s="67" t="s">
        <v>853</v>
      </c>
      <c r="Q85" s="66">
        <f>36350</f>
        <v>36350</v>
      </c>
      <c r="R85" s="67" t="s">
        <v>872</v>
      </c>
      <c r="S85" s="68">
        <f>35636.96</f>
        <v>35636.959999999999</v>
      </c>
      <c r="T85" s="65">
        <f>54517</f>
        <v>54517</v>
      </c>
      <c r="U85" s="65">
        <f>3</f>
        <v>3</v>
      </c>
      <c r="V85" s="65">
        <f>1959807200</f>
        <v>1959807200</v>
      </c>
      <c r="W85" s="65">
        <f>108450</f>
        <v>108450</v>
      </c>
      <c r="X85" s="69">
        <f>23</f>
        <v>23</v>
      </c>
    </row>
    <row r="86" spans="1:24">
      <c r="A86" s="60" t="s">
        <v>871</v>
      </c>
      <c r="B86" s="60" t="s">
        <v>299</v>
      </c>
      <c r="C86" s="60" t="s">
        <v>300</v>
      </c>
      <c r="D86" s="60" t="s">
        <v>301</v>
      </c>
      <c r="E86" s="61" t="s">
        <v>46</v>
      </c>
      <c r="F86" s="62" t="s">
        <v>46</v>
      </c>
      <c r="G86" s="63" t="s">
        <v>46</v>
      </c>
      <c r="H86" s="64"/>
      <c r="I86" s="64" t="s">
        <v>47</v>
      </c>
      <c r="J86" s="65">
        <v>10</v>
      </c>
      <c r="K86" s="66">
        <f>7830</f>
        <v>7830</v>
      </c>
      <c r="L86" s="67" t="s">
        <v>48</v>
      </c>
      <c r="M86" s="66">
        <f>7990</f>
        <v>7990</v>
      </c>
      <c r="N86" s="67" t="s">
        <v>874</v>
      </c>
      <c r="O86" s="66">
        <f>7830</f>
        <v>7830</v>
      </c>
      <c r="P86" s="67" t="s">
        <v>48</v>
      </c>
      <c r="Q86" s="66">
        <f>7950</f>
        <v>7950</v>
      </c>
      <c r="R86" s="67" t="s">
        <v>872</v>
      </c>
      <c r="S86" s="68">
        <f>7912</f>
        <v>7912</v>
      </c>
      <c r="T86" s="65">
        <f>20630</f>
        <v>20630</v>
      </c>
      <c r="U86" s="65" t="str">
        <f>"－"</f>
        <v>－</v>
      </c>
      <c r="V86" s="65">
        <f>163694400</f>
        <v>163694400</v>
      </c>
      <c r="W86" s="65" t="str">
        <f>"－"</f>
        <v>－</v>
      </c>
      <c r="X86" s="69">
        <f>10</f>
        <v>10</v>
      </c>
    </row>
    <row r="87" spans="1:24">
      <c r="A87" s="60" t="s">
        <v>871</v>
      </c>
      <c r="B87" s="60" t="s">
        <v>302</v>
      </c>
      <c r="C87" s="60" t="s">
        <v>303</v>
      </c>
      <c r="D87" s="60" t="s">
        <v>304</v>
      </c>
      <c r="E87" s="61" t="s">
        <v>46</v>
      </c>
      <c r="F87" s="62" t="s">
        <v>46</v>
      </c>
      <c r="G87" s="63" t="s">
        <v>46</v>
      </c>
      <c r="H87" s="64"/>
      <c r="I87" s="64" t="s">
        <v>47</v>
      </c>
      <c r="J87" s="65">
        <v>1</v>
      </c>
      <c r="K87" s="66">
        <f>15330</f>
        <v>15330</v>
      </c>
      <c r="L87" s="67" t="s">
        <v>853</v>
      </c>
      <c r="M87" s="66">
        <f>16760</f>
        <v>16760</v>
      </c>
      <c r="N87" s="67" t="s">
        <v>132</v>
      </c>
      <c r="O87" s="66">
        <f>15230</f>
        <v>15230</v>
      </c>
      <c r="P87" s="67" t="s">
        <v>84</v>
      </c>
      <c r="Q87" s="66">
        <f>16490</f>
        <v>16490</v>
      </c>
      <c r="R87" s="67" t="s">
        <v>872</v>
      </c>
      <c r="S87" s="68">
        <f>16023.04</f>
        <v>16023.04</v>
      </c>
      <c r="T87" s="65">
        <f>3760</f>
        <v>3760</v>
      </c>
      <c r="U87" s="65">
        <f>9</f>
        <v>9</v>
      </c>
      <c r="V87" s="65">
        <f>61355460</f>
        <v>61355460</v>
      </c>
      <c r="W87" s="65">
        <f>145450</f>
        <v>145450</v>
      </c>
      <c r="X87" s="69">
        <f>23</f>
        <v>23</v>
      </c>
    </row>
    <row r="88" spans="1:24">
      <c r="A88" s="60" t="s">
        <v>871</v>
      </c>
      <c r="B88" s="60" t="s">
        <v>305</v>
      </c>
      <c r="C88" s="60" t="s">
        <v>306</v>
      </c>
      <c r="D88" s="60" t="s">
        <v>307</v>
      </c>
      <c r="E88" s="61" t="s">
        <v>46</v>
      </c>
      <c r="F88" s="62" t="s">
        <v>46</v>
      </c>
      <c r="G88" s="63" t="s">
        <v>46</v>
      </c>
      <c r="H88" s="64"/>
      <c r="I88" s="64" t="s">
        <v>47</v>
      </c>
      <c r="J88" s="65">
        <v>1</v>
      </c>
      <c r="K88" s="66">
        <f>15360</f>
        <v>15360</v>
      </c>
      <c r="L88" s="67" t="s">
        <v>853</v>
      </c>
      <c r="M88" s="66">
        <f>17130</f>
        <v>17130</v>
      </c>
      <c r="N88" s="67" t="s">
        <v>613</v>
      </c>
      <c r="O88" s="66">
        <f>15150</f>
        <v>15150</v>
      </c>
      <c r="P88" s="67" t="s">
        <v>84</v>
      </c>
      <c r="Q88" s="66">
        <f>16560</f>
        <v>16560</v>
      </c>
      <c r="R88" s="67" t="s">
        <v>872</v>
      </c>
      <c r="S88" s="68">
        <f>16126.52</f>
        <v>16126.52</v>
      </c>
      <c r="T88" s="65">
        <f>1849</f>
        <v>1849</v>
      </c>
      <c r="U88" s="65" t="str">
        <f>"－"</f>
        <v>－</v>
      </c>
      <c r="V88" s="65">
        <f>30280440</f>
        <v>30280440</v>
      </c>
      <c r="W88" s="65" t="str">
        <f>"－"</f>
        <v>－</v>
      </c>
      <c r="X88" s="69">
        <f>23</f>
        <v>23</v>
      </c>
    </row>
    <row r="89" spans="1:24">
      <c r="A89" s="60" t="s">
        <v>871</v>
      </c>
      <c r="B89" s="60" t="s">
        <v>308</v>
      </c>
      <c r="C89" s="60" t="s">
        <v>309</v>
      </c>
      <c r="D89" s="60" t="s">
        <v>310</v>
      </c>
      <c r="E89" s="61" t="s">
        <v>46</v>
      </c>
      <c r="F89" s="62" t="s">
        <v>46</v>
      </c>
      <c r="G89" s="63" t="s">
        <v>46</v>
      </c>
      <c r="H89" s="64"/>
      <c r="I89" s="64" t="s">
        <v>47</v>
      </c>
      <c r="J89" s="65">
        <v>1</v>
      </c>
      <c r="K89" s="66">
        <f>18800</f>
        <v>18800</v>
      </c>
      <c r="L89" s="67" t="s">
        <v>853</v>
      </c>
      <c r="M89" s="66">
        <f>21080</f>
        <v>21080</v>
      </c>
      <c r="N89" s="67" t="s">
        <v>132</v>
      </c>
      <c r="O89" s="66">
        <f>18750</f>
        <v>18750</v>
      </c>
      <c r="P89" s="67" t="s">
        <v>853</v>
      </c>
      <c r="Q89" s="66">
        <f>20430</f>
        <v>20430</v>
      </c>
      <c r="R89" s="67" t="s">
        <v>872</v>
      </c>
      <c r="S89" s="68">
        <f>20010.87</f>
        <v>20010.87</v>
      </c>
      <c r="T89" s="65">
        <f>10176</f>
        <v>10176</v>
      </c>
      <c r="U89" s="65" t="str">
        <f>"－"</f>
        <v>－</v>
      </c>
      <c r="V89" s="65">
        <f>209367280</f>
        <v>209367280</v>
      </c>
      <c r="W89" s="65" t="str">
        <f>"－"</f>
        <v>－</v>
      </c>
      <c r="X89" s="69">
        <f>23</f>
        <v>23</v>
      </c>
    </row>
    <row r="90" spans="1:24">
      <c r="A90" s="60" t="s">
        <v>871</v>
      </c>
      <c r="B90" s="60" t="s">
        <v>311</v>
      </c>
      <c r="C90" s="60" t="s">
        <v>312</v>
      </c>
      <c r="D90" s="60" t="s">
        <v>313</v>
      </c>
      <c r="E90" s="61" t="s">
        <v>46</v>
      </c>
      <c r="F90" s="62" t="s">
        <v>46</v>
      </c>
      <c r="G90" s="63" t="s">
        <v>46</v>
      </c>
      <c r="H90" s="64"/>
      <c r="I90" s="64" t="s">
        <v>47</v>
      </c>
      <c r="J90" s="65">
        <v>10</v>
      </c>
      <c r="K90" s="66">
        <f>10010</f>
        <v>10010</v>
      </c>
      <c r="L90" s="67" t="s">
        <v>853</v>
      </c>
      <c r="M90" s="66">
        <f>10520</f>
        <v>10520</v>
      </c>
      <c r="N90" s="67" t="s">
        <v>872</v>
      </c>
      <c r="O90" s="66">
        <f>9840</f>
        <v>9840</v>
      </c>
      <c r="P90" s="67" t="s">
        <v>858</v>
      </c>
      <c r="Q90" s="66">
        <f>10430</f>
        <v>10430</v>
      </c>
      <c r="R90" s="67" t="s">
        <v>872</v>
      </c>
      <c r="S90" s="68">
        <f>10102.61</f>
        <v>10102.61</v>
      </c>
      <c r="T90" s="65">
        <f>21840</f>
        <v>21840</v>
      </c>
      <c r="U90" s="65">
        <f>20</f>
        <v>20</v>
      </c>
      <c r="V90" s="65">
        <f>220556200</f>
        <v>220556200</v>
      </c>
      <c r="W90" s="65">
        <f>198500</f>
        <v>198500</v>
      </c>
      <c r="X90" s="69">
        <f>23</f>
        <v>23</v>
      </c>
    </row>
    <row r="91" spans="1:24">
      <c r="A91" s="60" t="s">
        <v>871</v>
      </c>
      <c r="B91" s="60" t="s">
        <v>314</v>
      </c>
      <c r="C91" s="60" t="s">
        <v>315</v>
      </c>
      <c r="D91" s="60" t="s">
        <v>316</v>
      </c>
      <c r="E91" s="61" t="s">
        <v>46</v>
      </c>
      <c r="F91" s="62" t="s">
        <v>46</v>
      </c>
      <c r="G91" s="63" t="s">
        <v>46</v>
      </c>
      <c r="H91" s="64"/>
      <c r="I91" s="64" t="s">
        <v>47</v>
      </c>
      <c r="J91" s="65">
        <v>1</v>
      </c>
      <c r="K91" s="66">
        <f>2572</f>
        <v>2572</v>
      </c>
      <c r="L91" s="67" t="s">
        <v>853</v>
      </c>
      <c r="M91" s="66">
        <f>2576</f>
        <v>2576</v>
      </c>
      <c r="N91" s="67" t="s">
        <v>853</v>
      </c>
      <c r="O91" s="66">
        <f>2498</f>
        <v>2498</v>
      </c>
      <c r="P91" s="67" t="s">
        <v>613</v>
      </c>
      <c r="Q91" s="66">
        <f>2519</f>
        <v>2519</v>
      </c>
      <c r="R91" s="67" t="s">
        <v>872</v>
      </c>
      <c r="S91" s="68">
        <f>2525.04</f>
        <v>2525.04</v>
      </c>
      <c r="T91" s="65">
        <f>269173</f>
        <v>269173</v>
      </c>
      <c r="U91" s="65">
        <f>120950</f>
        <v>120950</v>
      </c>
      <c r="V91" s="65">
        <f>678078905</f>
        <v>678078905</v>
      </c>
      <c r="W91" s="65">
        <f>304182473</f>
        <v>304182473</v>
      </c>
      <c r="X91" s="69">
        <f>23</f>
        <v>23</v>
      </c>
    </row>
    <row r="92" spans="1:24">
      <c r="A92" s="60" t="s">
        <v>871</v>
      </c>
      <c r="B92" s="60" t="s">
        <v>317</v>
      </c>
      <c r="C92" s="60" t="s">
        <v>318</v>
      </c>
      <c r="D92" s="60" t="s">
        <v>319</v>
      </c>
      <c r="E92" s="61" t="s">
        <v>46</v>
      </c>
      <c r="F92" s="62" t="s">
        <v>46</v>
      </c>
      <c r="G92" s="63" t="s">
        <v>46</v>
      </c>
      <c r="H92" s="64"/>
      <c r="I92" s="64" t="s">
        <v>47</v>
      </c>
      <c r="J92" s="65">
        <v>1</v>
      </c>
      <c r="K92" s="66">
        <f>2349</f>
        <v>2349</v>
      </c>
      <c r="L92" s="67" t="s">
        <v>853</v>
      </c>
      <c r="M92" s="66">
        <f>2365</f>
        <v>2365</v>
      </c>
      <c r="N92" s="67" t="s">
        <v>857</v>
      </c>
      <c r="O92" s="66">
        <f>2328</f>
        <v>2328</v>
      </c>
      <c r="P92" s="67" t="s">
        <v>613</v>
      </c>
      <c r="Q92" s="66">
        <f>2358</f>
        <v>2358</v>
      </c>
      <c r="R92" s="67" t="s">
        <v>872</v>
      </c>
      <c r="S92" s="68">
        <f>2348.65</f>
        <v>2348.65</v>
      </c>
      <c r="T92" s="65">
        <f>186105</f>
        <v>186105</v>
      </c>
      <c r="U92" s="65">
        <f>156</f>
        <v>156</v>
      </c>
      <c r="V92" s="65">
        <f>436643827</f>
        <v>436643827</v>
      </c>
      <c r="W92" s="65">
        <f>339376</f>
        <v>339376</v>
      </c>
      <c r="X92" s="69">
        <f>23</f>
        <v>23</v>
      </c>
    </row>
    <row r="93" spans="1:24">
      <c r="A93" s="60" t="s">
        <v>871</v>
      </c>
      <c r="B93" s="60" t="s">
        <v>320</v>
      </c>
      <c r="C93" s="60" t="s">
        <v>321</v>
      </c>
      <c r="D93" s="60" t="s">
        <v>322</v>
      </c>
      <c r="E93" s="61" t="s">
        <v>46</v>
      </c>
      <c r="F93" s="62" t="s">
        <v>46</v>
      </c>
      <c r="G93" s="63" t="s">
        <v>46</v>
      </c>
      <c r="H93" s="64"/>
      <c r="I93" s="64" t="s">
        <v>47</v>
      </c>
      <c r="J93" s="65">
        <v>1</v>
      </c>
      <c r="K93" s="66">
        <f>14280</f>
        <v>14280</v>
      </c>
      <c r="L93" s="67" t="s">
        <v>853</v>
      </c>
      <c r="M93" s="66">
        <f>15480</f>
        <v>15480</v>
      </c>
      <c r="N93" s="67" t="s">
        <v>873</v>
      </c>
      <c r="O93" s="66">
        <f>14010</f>
        <v>14010</v>
      </c>
      <c r="P93" s="67" t="s">
        <v>84</v>
      </c>
      <c r="Q93" s="66">
        <f>14940</f>
        <v>14940</v>
      </c>
      <c r="R93" s="67" t="s">
        <v>872</v>
      </c>
      <c r="S93" s="68">
        <f>14663.04</f>
        <v>14663.04</v>
      </c>
      <c r="T93" s="65">
        <f>4615</f>
        <v>4615</v>
      </c>
      <c r="U93" s="65" t="str">
        <f>"－"</f>
        <v>－</v>
      </c>
      <c r="V93" s="65">
        <f>67881830</f>
        <v>67881830</v>
      </c>
      <c r="W93" s="65" t="str">
        <f>"－"</f>
        <v>－</v>
      </c>
      <c r="X93" s="69">
        <f>23</f>
        <v>23</v>
      </c>
    </row>
    <row r="94" spans="1:24">
      <c r="A94" s="60" t="s">
        <v>871</v>
      </c>
      <c r="B94" s="60" t="s">
        <v>323</v>
      </c>
      <c r="C94" s="60" t="s">
        <v>324</v>
      </c>
      <c r="D94" s="60" t="s">
        <v>325</v>
      </c>
      <c r="E94" s="61" t="s">
        <v>46</v>
      </c>
      <c r="F94" s="62" t="s">
        <v>46</v>
      </c>
      <c r="G94" s="63" t="s">
        <v>46</v>
      </c>
      <c r="H94" s="64"/>
      <c r="I94" s="64" t="s">
        <v>47</v>
      </c>
      <c r="J94" s="65">
        <v>1</v>
      </c>
      <c r="K94" s="66">
        <f>7930</f>
        <v>7930</v>
      </c>
      <c r="L94" s="67" t="s">
        <v>853</v>
      </c>
      <c r="M94" s="66">
        <f>8720</f>
        <v>8720</v>
      </c>
      <c r="N94" s="67" t="s">
        <v>69</v>
      </c>
      <c r="O94" s="66">
        <f>7850</f>
        <v>7850</v>
      </c>
      <c r="P94" s="67" t="s">
        <v>84</v>
      </c>
      <c r="Q94" s="66">
        <f>8220</f>
        <v>8220</v>
      </c>
      <c r="R94" s="67" t="s">
        <v>872</v>
      </c>
      <c r="S94" s="68">
        <f>8124.78</f>
        <v>8124.78</v>
      </c>
      <c r="T94" s="65">
        <f>7370</f>
        <v>7370</v>
      </c>
      <c r="U94" s="65">
        <f>2</f>
        <v>2</v>
      </c>
      <c r="V94" s="65">
        <f>59868730</f>
        <v>59868730</v>
      </c>
      <c r="W94" s="65">
        <f>16680</f>
        <v>16680</v>
      </c>
      <c r="X94" s="69">
        <f>23</f>
        <v>23</v>
      </c>
    </row>
    <row r="95" spans="1:24">
      <c r="A95" s="60" t="s">
        <v>871</v>
      </c>
      <c r="B95" s="60" t="s">
        <v>326</v>
      </c>
      <c r="C95" s="60" t="s">
        <v>327</v>
      </c>
      <c r="D95" s="60" t="s">
        <v>328</v>
      </c>
      <c r="E95" s="61" t="s">
        <v>46</v>
      </c>
      <c r="F95" s="62" t="s">
        <v>46</v>
      </c>
      <c r="G95" s="63" t="s">
        <v>46</v>
      </c>
      <c r="H95" s="64"/>
      <c r="I95" s="64" t="s">
        <v>47</v>
      </c>
      <c r="J95" s="65">
        <v>1</v>
      </c>
      <c r="K95" s="66">
        <f>5740</f>
        <v>5740</v>
      </c>
      <c r="L95" s="67" t="s">
        <v>853</v>
      </c>
      <c r="M95" s="66">
        <f>5920</f>
        <v>5920</v>
      </c>
      <c r="N95" s="67" t="s">
        <v>100</v>
      </c>
      <c r="O95" s="66">
        <f>5630</f>
        <v>5630</v>
      </c>
      <c r="P95" s="67" t="s">
        <v>84</v>
      </c>
      <c r="Q95" s="66">
        <f>5770</f>
        <v>5770</v>
      </c>
      <c r="R95" s="67" t="s">
        <v>872</v>
      </c>
      <c r="S95" s="68">
        <f>5795.22</f>
        <v>5795.22</v>
      </c>
      <c r="T95" s="65">
        <f>3610786</f>
        <v>3610786</v>
      </c>
      <c r="U95" s="65">
        <f>8399</f>
        <v>8399</v>
      </c>
      <c r="V95" s="65">
        <f>20856730084</f>
        <v>20856730084</v>
      </c>
      <c r="W95" s="65">
        <f>48434814</f>
        <v>48434814</v>
      </c>
      <c r="X95" s="69">
        <f>23</f>
        <v>23</v>
      </c>
    </row>
    <row r="96" spans="1:24">
      <c r="A96" s="60" t="s">
        <v>871</v>
      </c>
      <c r="B96" s="60" t="s">
        <v>329</v>
      </c>
      <c r="C96" s="60" t="s">
        <v>330</v>
      </c>
      <c r="D96" s="60" t="s">
        <v>331</v>
      </c>
      <c r="E96" s="61" t="s">
        <v>46</v>
      </c>
      <c r="F96" s="62" t="s">
        <v>46</v>
      </c>
      <c r="G96" s="63" t="s">
        <v>46</v>
      </c>
      <c r="H96" s="64"/>
      <c r="I96" s="64" t="s">
        <v>47</v>
      </c>
      <c r="J96" s="65">
        <v>1</v>
      </c>
      <c r="K96" s="66">
        <f>3805</f>
        <v>3805</v>
      </c>
      <c r="L96" s="67" t="s">
        <v>853</v>
      </c>
      <c r="M96" s="66">
        <f>4010</f>
        <v>4010</v>
      </c>
      <c r="N96" s="67" t="s">
        <v>100</v>
      </c>
      <c r="O96" s="66">
        <f>3580</f>
        <v>3580</v>
      </c>
      <c r="P96" s="67" t="s">
        <v>84</v>
      </c>
      <c r="Q96" s="66">
        <f>3845</f>
        <v>3845</v>
      </c>
      <c r="R96" s="67" t="s">
        <v>872</v>
      </c>
      <c r="S96" s="68">
        <f>3843.04</f>
        <v>3843.04</v>
      </c>
      <c r="T96" s="65">
        <f>1742697</f>
        <v>1742697</v>
      </c>
      <c r="U96" s="65">
        <f>10016</f>
        <v>10016</v>
      </c>
      <c r="V96" s="65">
        <f>6657293625</f>
        <v>6657293625</v>
      </c>
      <c r="W96" s="65">
        <f>38474820</f>
        <v>38474820</v>
      </c>
      <c r="X96" s="69">
        <f>23</f>
        <v>23</v>
      </c>
    </row>
    <row r="97" spans="1:24">
      <c r="A97" s="60" t="s">
        <v>871</v>
      </c>
      <c r="B97" s="60" t="s">
        <v>332</v>
      </c>
      <c r="C97" s="60" t="s">
        <v>333</v>
      </c>
      <c r="D97" s="60" t="s">
        <v>334</v>
      </c>
      <c r="E97" s="61" t="s">
        <v>46</v>
      </c>
      <c r="F97" s="62" t="s">
        <v>46</v>
      </c>
      <c r="G97" s="63" t="s">
        <v>46</v>
      </c>
      <c r="H97" s="64"/>
      <c r="I97" s="64" t="s">
        <v>47</v>
      </c>
      <c r="J97" s="65">
        <v>1</v>
      </c>
      <c r="K97" s="66">
        <f>8790</f>
        <v>8790</v>
      </c>
      <c r="L97" s="67" t="s">
        <v>853</v>
      </c>
      <c r="M97" s="66">
        <f>8820</f>
        <v>8820</v>
      </c>
      <c r="N97" s="67" t="s">
        <v>100</v>
      </c>
      <c r="O97" s="66">
        <f>8040</f>
        <v>8040</v>
      </c>
      <c r="P97" s="67" t="s">
        <v>872</v>
      </c>
      <c r="Q97" s="66">
        <f>8100</f>
        <v>8100</v>
      </c>
      <c r="R97" s="67" t="s">
        <v>872</v>
      </c>
      <c r="S97" s="68">
        <f>8492.61</f>
        <v>8492.61</v>
      </c>
      <c r="T97" s="65">
        <f>454498</f>
        <v>454498</v>
      </c>
      <c r="U97" s="65">
        <f>2</f>
        <v>2</v>
      </c>
      <c r="V97" s="65">
        <f>3870965955</f>
        <v>3870965955</v>
      </c>
      <c r="W97" s="65">
        <f>16995</f>
        <v>16995</v>
      </c>
      <c r="X97" s="69">
        <f>23</f>
        <v>23</v>
      </c>
    </row>
    <row r="98" spans="1:24">
      <c r="A98" s="60" t="s">
        <v>871</v>
      </c>
      <c r="B98" s="60" t="s">
        <v>335</v>
      </c>
      <c r="C98" s="60" t="s">
        <v>336</v>
      </c>
      <c r="D98" s="60" t="s">
        <v>337</v>
      </c>
      <c r="E98" s="61" t="s">
        <v>46</v>
      </c>
      <c r="F98" s="62" t="s">
        <v>46</v>
      </c>
      <c r="G98" s="63" t="s">
        <v>46</v>
      </c>
      <c r="H98" s="64"/>
      <c r="I98" s="64" t="s">
        <v>47</v>
      </c>
      <c r="J98" s="65">
        <v>1</v>
      </c>
      <c r="K98" s="66">
        <f>70100</f>
        <v>70100</v>
      </c>
      <c r="L98" s="67" t="s">
        <v>853</v>
      </c>
      <c r="M98" s="66">
        <f>88700</f>
        <v>88700</v>
      </c>
      <c r="N98" s="67" t="s">
        <v>50</v>
      </c>
      <c r="O98" s="66">
        <f>69900</f>
        <v>69900</v>
      </c>
      <c r="P98" s="67" t="s">
        <v>857</v>
      </c>
      <c r="Q98" s="66">
        <f>85500</f>
        <v>85500</v>
      </c>
      <c r="R98" s="67" t="s">
        <v>872</v>
      </c>
      <c r="S98" s="68">
        <f>76986.96</f>
        <v>76986.960000000006</v>
      </c>
      <c r="T98" s="65">
        <f>8218</f>
        <v>8218</v>
      </c>
      <c r="U98" s="65">
        <f>2</f>
        <v>2</v>
      </c>
      <c r="V98" s="65">
        <f>662675600</f>
        <v>662675600</v>
      </c>
      <c r="W98" s="65">
        <f>165400</f>
        <v>165400</v>
      </c>
      <c r="X98" s="69">
        <f>23</f>
        <v>23</v>
      </c>
    </row>
    <row r="99" spans="1:24">
      <c r="A99" s="60" t="s">
        <v>871</v>
      </c>
      <c r="B99" s="60" t="s">
        <v>338</v>
      </c>
      <c r="C99" s="60" t="s">
        <v>339</v>
      </c>
      <c r="D99" s="60" t="s">
        <v>340</v>
      </c>
      <c r="E99" s="61" t="s">
        <v>46</v>
      </c>
      <c r="F99" s="62" t="s">
        <v>46</v>
      </c>
      <c r="G99" s="63" t="s">
        <v>46</v>
      </c>
      <c r="H99" s="64"/>
      <c r="I99" s="64" t="s">
        <v>47</v>
      </c>
      <c r="J99" s="65">
        <v>1</v>
      </c>
      <c r="K99" s="66">
        <f>14030</f>
        <v>14030</v>
      </c>
      <c r="L99" s="67" t="s">
        <v>853</v>
      </c>
      <c r="M99" s="66">
        <f>14670</f>
        <v>14670</v>
      </c>
      <c r="N99" s="67" t="s">
        <v>100</v>
      </c>
      <c r="O99" s="66">
        <f>13460</f>
        <v>13460</v>
      </c>
      <c r="P99" s="67" t="s">
        <v>84</v>
      </c>
      <c r="Q99" s="66">
        <f>14480</f>
        <v>14480</v>
      </c>
      <c r="R99" s="67" t="s">
        <v>872</v>
      </c>
      <c r="S99" s="68">
        <f>14200</f>
        <v>14200</v>
      </c>
      <c r="T99" s="65">
        <f>2321864</f>
        <v>2321864</v>
      </c>
      <c r="U99" s="65">
        <f>22621</f>
        <v>22621</v>
      </c>
      <c r="V99" s="65">
        <f>32768181284</f>
        <v>32768181284</v>
      </c>
      <c r="W99" s="65">
        <f>312723164</f>
        <v>312723164</v>
      </c>
      <c r="X99" s="69">
        <f>23</f>
        <v>23</v>
      </c>
    </row>
    <row r="100" spans="1:24">
      <c r="A100" s="60" t="s">
        <v>871</v>
      </c>
      <c r="B100" s="60" t="s">
        <v>341</v>
      </c>
      <c r="C100" s="60" t="s">
        <v>342</v>
      </c>
      <c r="D100" s="60" t="s">
        <v>343</v>
      </c>
      <c r="E100" s="61" t="s">
        <v>46</v>
      </c>
      <c r="F100" s="62" t="s">
        <v>46</v>
      </c>
      <c r="G100" s="63" t="s">
        <v>46</v>
      </c>
      <c r="H100" s="64"/>
      <c r="I100" s="64" t="s">
        <v>47</v>
      </c>
      <c r="J100" s="65">
        <v>1</v>
      </c>
      <c r="K100" s="66">
        <f>32400</f>
        <v>32400</v>
      </c>
      <c r="L100" s="67" t="s">
        <v>853</v>
      </c>
      <c r="M100" s="66">
        <f>35850</f>
        <v>35850</v>
      </c>
      <c r="N100" s="67" t="s">
        <v>872</v>
      </c>
      <c r="O100" s="66">
        <f>32300</f>
        <v>32300</v>
      </c>
      <c r="P100" s="67" t="s">
        <v>84</v>
      </c>
      <c r="Q100" s="66">
        <f>35800</f>
        <v>35800</v>
      </c>
      <c r="R100" s="67" t="s">
        <v>872</v>
      </c>
      <c r="S100" s="68">
        <f>34300</f>
        <v>34300</v>
      </c>
      <c r="T100" s="65">
        <f>178546</f>
        <v>178546</v>
      </c>
      <c r="U100" s="65" t="str">
        <f>"－"</f>
        <v>－</v>
      </c>
      <c r="V100" s="65">
        <f>6131542100</f>
        <v>6131542100</v>
      </c>
      <c r="W100" s="65" t="str">
        <f>"－"</f>
        <v>－</v>
      </c>
      <c r="X100" s="69">
        <f>23</f>
        <v>23</v>
      </c>
    </row>
    <row r="101" spans="1:24">
      <c r="A101" s="60" t="s">
        <v>871</v>
      </c>
      <c r="B101" s="60" t="s">
        <v>344</v>
      </c>
      <c r="C101" s="60" t="s">
        <v>345</v>
      </c>
      <c r="D101" s="60" t="s">
        <v>346</v>
      </c>
      <c r="E101" s="61" t="s">
        <v>46</v>
      </c>
      <c r="F101" s="62" t="s">
        <v>46</v>
      </c>
      <c r="G101" s="63" t="s">
        <v>46</v>
      </c>
      <c r="H101" s="64"/>
      <c r="I101" s="64" t="s">
        <v>47</v>
      </c>
      <c r="J101" s="65">
        <v>10</v>
      </c>
      <c r="K101" s="66">
        <f>4420</f>
        <v>4420</v>
      </c>
      <c r="L101" s="67" t="s">
        <v>853</v>
      </c>
      <c r="M101" s="66">
        <f>4760</f>
        <v>4760</v>
      </c>
      <c r="N101" s="67" t="s">
        <v>872</v>
      </c>
      <c r="O101" s="66">
        <f>4365</f>
        <v>4365</v>
      </c>
      <c r="P101" s="67" t="s">
        <v>84</v>
      </c>
      <c r="Q101" s="66">
        <f>4750</f>
        <v>4750</v>
      </c>
      <c r="R101" s="67" t="s">
        <v>872</v>
      </c>
      <c r="S101" s="68">
        <f>4598.7</f>
        <v>4598.7</v>
      </c>
      <c r="T101" s="65">
        <f>1015950</f>
        <v>1015950</v>
      </c>
      <c r="U101" s="65">
        <f>16000</f>
        <v>16000</v>
      </c>
      <c r="V101" s="65">
        <f>4671224167</f>
        <v>4671224167</v>
      </c>
      <c r="W101" s="65">
        <f>71930317</f>
        <v>71930317</v>
      </c>
      <c r="X101" s="69">
        <f>23</f>
        <v>23</v>
      </c>
    </row>
    <row r="102" spans="1:24">
      <c r="A102" s="60" t="s">
        <v>871</v>
      </c>
      <c r="B102" s="60" t="s">
        <v>347</v>
      </c>
      <c r="C102" s="60" t="s">
        <v>348</v>
      </c>
      <c r="D102" s="60" t="s">
        <v>349</v>
      </c>
      <c r="E102" s="61" t="s">
        <v>46</v>
      </c>
      <c r="F102" s="62" t="s">
        <v>46</v>
      </c>
      <c r="G102" s="63" t="s">
        <v>46</v>
      </c>
      <c r="H102" s="64"/>
      <c r="I102" s="64" t="s">
        <v>47</v>
      </c>
      <c r="J102" s="65">
        <v>10</v>
      </c>
      <c r="K102" s="66">
        <f>2960</f>
        <v>2960</v>
      </c>
      <c r="L102" s="67" t="s">
        <v>853</v>
      </c>
      <c r="M102" s="66">
        <f>3175</f>
        <v>3175</v>
      </c>
      <c r="N102" s="67" t="s">
        <v>872</v>
      </c>
      <c r="O102" s="66">
        <f>2940</f>
        <v>2940</v>
      </c>
      <c r="P102" s="67" t="s">
        <v>84</v>
      </c>
      <c r="Q102" s="66">
        <f>3165</f>
        <v>3165</v>
      </c>
      <c r="R102" s="67" t="s">
        <v>872</v>
      </c>
      <c r="S102" s="68">
        <f>3076.13</f>
        <v>3076.13</v>
      </c>
      <c r="T102" s="65">
        <f>225340</f>
        <v>225340</v>
      </c>
      <c r="U102" s="65">
        <f>112960</f>
        <v>112960</v>
      </c>
      <c r="V102" s="65">
        <f>697214500</f>
        <v>697214500</v>
      </c>
      <c r="W102" s="65">
        <f>351880490</f>
        <v>351880490</v>
      </c>
      <c r="X102" s="69">
        <f>23</f>
        <v>23</v>
      </c>
    </row>
    <row r="103" spans="1:24">
      <c r="A103" s="60" t="s">
        <v>871</v>
      </c>
      <c r="B103" s="60" t="s">
        <v>350</v>
      </c>
      <c r="C103" s="60" t="s">
        <v>351</v>
      </c>
      <c r="D103" s="60" t="s">
        <v>352</v>
      </c>
      <c r="E103" s="61" t="s">
        <v>46</v>
      </c>
      <c r="F103" s="62" t="s">
        <v>46</v>
      </c>
      <c r="G103" s="63" t="s">
        <v>46</v>
      </c>
      <c r="H103" s="64"/>
      <c r="I103" s="64" t="s">
        <v>47</v>
      </c>
      <c r="J103" s="65">
        <v>10</v>
      </c>
      <c r="K103" s="66">
        <f>5100</f>
        <v>5100</v>
      </c>
      <c r="L103" s="67" t="s">
        <v>853</v>
      </c>
      <c r="M103" s="66">
        <f>5420</f>
        <v>5420</v>
      </c>
      <c r="N103" s="67" t="s">
        <v>872</v>
      </c>
      <c r="O103" s="66">
        <f>4855</f>
        <v>4855</v>
      </c>
      <c r="P103" s="67" t="s">
        <v>859</v>
      </c>
      <c r="Q103" s="66">
        <f>5410</f>
        <v>5410</v>
      </c>
      <c r="R103" s="67" t="s">
        <v>872</v>
      </c>
      <c r="S103" s="68">
        <f>5121.96</f>
        <v>5121.96</v>
      </c>
      <c r="T103" s="65">
        <f>26190</f>
        <v>26190</v>
      </c>
      <c r="U103" s="65" t="str">
        <f>"－"</f>
        <v>－</v>
      </c>
      <c r="V103" s="65">
        <f>135588450</f>
        <v>135588450</v>
      </c>
      <c r="W103" s="65" t="str">
        <f>"－"</f>
        <v>－</v>
      </c>
      <c r="X103" s="69">
        <f>23</f>
        <v>23</v>
      </c>
    </row>
    <row r="104" spans="1:24">
      <c r="A104" s="60" t="s">
        <v>871</v>
      </c>
      <c r="B104" s="60" t="s">
        <v>353</v>
      </c>
      <c r="C104" s="60" t="s">
        <v>354</v>
      </c>
      <c r="D104" s="60" t="s">
        <v>355</v>
      </c>
      <c r="E104" s="61" t="s">
        <v>46</v>
      </c>
      <c r="F104" s="62" t="s">
        <v>46</v>
      </c>
      <c r="G104" s="63" t="s">
        <v>46</v>
      </c>
      <c r="H104" s="64"/>
      <c r="I104" s="64" t="s">
        <v>47</v>
      </c>
      <c r="J104" s="65">
        <v>1</v>
      </c>
      <c r="K104" s="66">
        <f>5310</f>
        <v>5310</v>
      </c>
      <c r="L104" s="67" t="s">
        <v>853</v>
      </c>
      <c r="M104" s="66">
        <f>5770</f>
        <v>5770</v>
      </c>
      <c r="N104" s="67" t="s">
        <v>84</v>
      </c>
      <c r="O104" s="66">
        <f>4090</f>
        <v>4090</v>
      </c>
      <c r="P104" s="67" t="s">
        <v>872</v>
      </c>
      <c r="Q104" s="66">
        <f>4135</f>
        <v>4135</v>
      </c>
      <c r="R104" s="67" t="s">
        <v>872</v>
      </c>
      <c r="S104" s="68">
        <f>4772.39</f>
        <v>4772.3900000000003</v>
      </c>
      <c r="T104" s="65">
        <f>26184595</f>
        <v>26184595</v>
      </c>
      <c r="U104" s="65">
        <f>514932</f>
        <v>514932</v>
      </c>
      <c r="V104" s="65">
        <f>125520194615</f>
        <v>125520194615</v>
      </c>
      <c r="W104" s="65">
        <f>2426700555</f>
        <v>2426700555</v>
      </c>
      <c r="X104" s="69">
        <f>23</f>
        <v>23</v>
      </c>
    </row>
    <row r="105" spans="1:24">
      <c r="A105" s="60" t="s">
        <v>871</v>
      </c>
      <c r="B105" s="60" t="s">
        <v>356</v>
      </c>
      <c r="C105" s="60" t="s">
        <v>357</v>
      </c>
      <c r="D105" s="60" t="s">
        <v>358</v>
      </c>
      <c r="E105" s="61" t="s">
        <v>46</v>
      </c>
      <c r="F105" s="62" t="s">
        <v>46</v>
      </c>
      <c r="G105" s="63" t="s">
        <v>46</v>
      </c>
      <c r="H105" s="64"/>
      <c r="I105" s="64" t="s">
        <v>47</v>
      </c>
      <c r="J105" s="65">
        <v>10</v>
      </c>
      <c r="K105" s="66">
        <f>2581</f>
        <v>2581</v>
      </c>
      <c r="L105" s="67" t="s">
        <v>853</v>
      </c>
      <c r="M105" s="66">
        <f>2742</f>
        <v>2742</v>
      </c>
      <c r="N105" s="67" t="s">
        <v>872</v>
      </c>
      <c r="O105" s="66">
        <f>2551</f>
        <v>2551</v>
      </c>
      <c r="P105" s="67" t="s">
        <v>84</v>
      </c>
      <c r="Q105" s="66">
        <f>2733</f>
        <v>2733</v>
      </c>
      <c r="R105" s="67" t="s">
        <v>872</v>
      </c>
      <c r="S105" s="68">
        <f>2667.78</f>
        <v>2667.78</v>
      </c>
      <c r="T105" s="65">
        <f>82640</f>
        <v>82640</v>
      </c>
      <c r="U105" s="65" t="str">
        <f>"－"</f>
        <v>－</v>
      </c>
      <c r="V105" s="65">
        <f>220770910</f>
        <v>220770910</v>
      </c>
      <c r="W105" s="65" t="str">
        <f>"－"</f>
        <v>－</v>
      </c>
      <c r="X105" s="69">
        <f>23</f>
        <v>23</v>
      </c>
    </row>
    <row r="106" spans="1:24">
      <c r="A106" s="60" t="s">
        <v>871</v>
      </c>
      <c r="B106" s="60" t="s">
        <v>359</v>
      </c>
      <c r="C106" s="60" t="s">
        <v>360</v>
      </c>
      <c r="D106" s="60" t="s">
        <v>361</v>
      </c>
      <c r="E106" s="61" t="s">
        <v>46</v>
      </c>
      <c r="F106" s="62" t="s">
        <v>46</v>
      </c>
      <c r="G106" s="63" t="s">
        <v>46</v>
      </c>
      <c r="H106" s="64"/>
      <c r="I106" s="64" t="s">
        <v>47</v>
      </c>
      <c r="J106" s="65">
        <v>10</v>
      </c>
      <c r="K106" s="66">
        <f>1506</f>
        <v>1506</v>
      </c>
      <c r="L106" s="67" t="s">
        <v>853</v>
      </c>
      <c r="M106" s="66">
        <f>1602</f>
        <v>1602</v>
      </c>
      <c r="N106" s="67" t="s">
        <v>872</v>
      </c>
      <c r="O106" s="66">
        <f>1502</f>
        <v>1502</v>
      </c>
      <c r="P106" s="67" t="s">
        <v>875</v>
      </c>
      <c r="Q106" s="66">
        <f>1597</f>
        <v>1597</v>
      </c>
      <c r="R106" s="67" t="s">
        <v>872</v>
      </c>
      <c r="S106" s="68">
        <f>1550.52</f>
        <v>1550.52</v>
      </c>
      <c r="T106" s="65">
        <f>195410</f>
        <v>195410</v>
      </c>
      <c r="U106" s="65">
        <f>40</f>
        <v>40</v>
      </c>
      <c r="V106" s="65">
        <f>303090170</f>
        <v>303090170</v>
      </c>
      <c r="W106" s="65">
        <f>56440</f>
        <v>56440</v>
      </c>
      <c r="X106" s="69">
        <f>23</f>
        <v>23</v>
      </c>
    </row>
    <row r="107" spans="1:24">
      <c r="A107" s="60" t="s">
        <v>871</v>
      </c>
      <c r="B107" s="60" t="s">
        <v>362</v>
      </c>
      <c r="C107" s="60" t="s">
        <v>363</v>
      </c>
      <c r="D107" s="60" t="s">
        <v>364</v>
      </c>
      <c r="E107" s="61" t="s">
        <v>46</v>
      </c>
      <c r="F107" s="62" t="s">
        <v>46</v>
      </c>
      <c r="G107" s="63" t="s">
        <v>46</v>
      </c>
      <c r="H107" s="64"/>
      <c r="I107" s="64" t="s">
        <v>47</v>
      </c>
      <c r="J107" s="65">
        <v>1</v>
      </c>
      <c r="K107" s="66">
        <f>40850</f>
        <v>40850</v>
      </c>
      <c r="L107" s="67" t="s">
        <v>853</v>
      </c>
      <c r="M107" s="66">
        <f>43800</f>
        <v>43800</v>
      </c>
      <c r="N107" s="67" t="s">
        <v>872</v>
      </c>
      <c r="O107" s="66">
        <f>40200</f>
        <v>40200</v>
      </c>
      <c r="P107" s="67" t="s">
        <v>84</v>
      </c>
      <c r="Q107" s="66">
        <f>43750</f>
        <v>43750</v>
      </c>
      <c r="R107" s="67" t="s">
        <v>872</v>
      </c>
      <c r="S107" s="68">
        <f>42363.04</f>
        <v>42363.040000000001</v>
      </c>
      <c r="T107" s="65">
        <f>210514</f>
        <v>210514</v>
      </c>
      <c r="U107" s="65">
        <f>33000</f>
        <v>33000</v>
      </c>
      <c r="V107" s="65">
        <f>8925824728</f>
        <v>8925824728</v>
      </c>
      <c r="W107" s="65">
        <f>1430163228</f>
        <v>1430163228</v>
      </c>
      <c r="X107" s="69">
        <f>23</f>
        <v>23</v>
      </c>
    </row>
    <row r="108" spans="1:24">
      <c r="A108" s="60" t="s">
        <v>871</v>
      </c>
      <c r="B108" s="60" t="s">
        <v>365</v>
      </c>
      <c r="C108" s="60" t="s">
        <v>366</v>
      </c>
      <c r="D108" s="60" t="s">
        <v>367</v>
      </c>
      <c r="E108" s="61" t="s">
        <v>46</v>
      </c>
      <c r="F108" s="62" t="s">
        <v>46</v>
      </c>
      <c r="G108" s="63" t="s">
        <v>46</v>
      </c>
      <c r="H108" s="64"/>
      <c r="I108" s="64" t="s">
        <v>47</v>
      </c>
      <c r="J108" s="65">
        <v>1</v>
      </c>
      <c r="K108" s="66">
        <f>3025</f>
        <v>3025</v>
      </c>
      <c r="L108" s="67" t="s">
        <v>853</v>
      </c>
      <c r="M108" s="66">
        <f>3175</f>
        <v>3175</v>
      </c>
      <c r="N108" s="67" t="s">
        <v>860</v>
      </c>
      <c r="O108" s="66">
        <f>2970</f>
        <v>2970</v>
      </c>
      <c r="P108" s="67" t="s">
        <v>853</v>
      </c>
      <c r="Q108" s="66">
        <f>3075</f>
        <v>3075</v>
      </c>
      <c r="R108" s="67" t="s">
        <v>872</v>
      </c>
      <c r="S108" s="68">
        <f>3077.91</f>
        <v>3077.91</v>
      </c>
      <c r="T108" s="65">
        <f>12586</f>
        <v>12586</v>
      </c>
      <c r="U108" s="65" t="str">
        <f>"－"</f>
        <v>－</v>
      </c>
      <c r="V108" s="65">
        <f>38795703</f>
        <v>38795703</v>
      </c>
      <c r="W108" s="65" t="str">
        <f>"－"</f>
        <v>－</v>
      </c>
      <c r="X108" s="69">
        <f>23</f>
        <v>23</v>
      </c>
    </row>
    <row r="109" spans="1:24">
      <c r="A109" s="60" t="s">
        <v>871</v>
      </c>
      <c r="B109" s="60" t="s">
        <v>368</v>
      </c>
      <c r="C109" s="60" t="s">
        <v>369</v>
      </c>
      <c r="D109" s="60" t="s">
        <v>370</v>
      </c>
      <c r="E109" s="61" t="s">
        <v>46</v>
      </c>
      <c r="F109" s="62" t="s">
        <v>46</v>
      </c>
      <c r="G109" s="63" t="s">
        <v>46</v>
      </c>
      <c r="H109" s="64"/>
      <c r="I109" s="64" t="s">
        <v>47</v>
      </c>
      <c r="J109" s="65">
        <v>1</v>
      </c>
      <c r="K109" s="66">
        <f>4080</f>
        <v>4080</v>
      </c>
      <c r="L109" s="67" t="s">
        <v>853</v>
      </c>
      <c r="M109" s="66">
        <f>4295</f>
        <v>4295</v>
      </c>
      <c r="N109" s="67" t="s">
        <v>100</v>
      </c>
      <c r="O109" s="66">
        <f>4060</f>
        <v>4060</v>
      </c>
      <c r="P109" s="67" t="s">
        <v>857</v>
      </c>
      <c r="Q109" s="66">
        <f>4160</f>
        <v>4160</v>
      </c>
      <c r="R109" s="67" t="s">
        <v>872</v>
      </c>
      <c r="S109" s="68">
        <f>4185</f>
        <v>4185</v>
      </c>
      <c r="T109" s="65">
        <f>6852</f>
        <v>6852</v>
      </c>
      <c r="U109" s="65" t="str">
        <f>"－"</f>
        <v>－</v>
      </c>
      <c r="V109" s="65">
        <f>28619635</f>
        <v>28619635</v>
      </c>
      <c r="W109" s="65" t="str">
        <f>"－"</f>
        <v>－</v>
      </c>
      <c r="X109" s="69">
        <f>23</f>
        <v>23</v>
      </c>
    </row>
    <row r="110" spans="1:24">
      <c r="A110" s="60" t="s">
        <v>871</v>
      </c>
      <c r="B110" s="60" t="s">
        <v>372</v>
      </c>
      <c r="C110" s="60" t="s">
        <v>373</v>
      </c>
      <c r="D110" s="60" t="s">
        <v>374</v>
      </c>
      <c r="E110" s="61" t="s">
        <v>46</v>
      </c>
      <c r="F110" s="62" t="s">
        <v>46</v>
      </c>
      <c r="G110" s="63" t="s">
        <v>46</v>
      </c>
      <c r="H110" s="64"/>
      <c r="I110" s="64" t="s">
        <v>47</v>
      </c>
      <c r="J110" s="65">
        <v>1</v>
      </c>
      <c r="K110" s="66">
        <f>3380</f>
        <v>3380</v>
      </c>
      <c r="L110" s="67" t="s">
        <v>853</v>
      </c>
      <c r="M110" s="66">
        <f>3750</f>
        <v>3750</v>
      </c>
      <c r="N110" s="67" t="s">
        <v>100</v>
      </c>
      <c r="O110" s="66">
        <f>3225</f>
        <v>3225</v>
      </c>
      <c r="P110" s="67" t="s">
        <v>859</v>
      </c>
      <c r="Q110" s="66">
        <f>3645</f>
        <v>3645</v>
      </c>
      <c r="R110" s="67" t="s">
        <v>872</v>
      </c>
      <c r="S110" s="68">
        <f>3503.26</f>
        <v>3503.26</v>
      </c>
      <c r="T110" s="65">
        <f>298036</f>
        <v>298036</v>
      </c>
      <c r="U110" s="65" t="str">
        <f>"－"</f>
        <v>－</v>
      </c>
      <c r="V110" s="65">
        <f>1058916830</f>
        <v>1058916830</v>
      </c>
      <c r="W110" s="65" t="str">
        <f>"－"</f>
        <v>－</v>
      </c>
      <c r="X110" s="69">
        <f>23</f>
        <v>23</v>
      </c>
    </row>
    <row r="111" spans="1:24">
      <c r="A111" s="60" t="s">
        <v>871</v>
      </c>
      <c r="B111" s="60" t="s">
        <v>375</v>
      </c>
      <c r="C111" s="60" t="s">
        <v>376</v>
      </c>
      <c r="D111" s="60" t="s">
        <v>377</v>
      </c>
      <c r="E111" s="61" t="s">
        <v>46</v>
      </c>
      <c r="F111" s="62" t="s">
        <v>46</v>
      </c>
      <c r="G111" s="63" t="s">
        <v>46</v>
      </c>
      <c r="H111" s="64"/>
      <c r="I111" s="64" t="s">
        <v>47</v>
      </c>
      <c r="J111" s="65">
        <v>1</v>
      </c>
      <c r="K111" s="66">
        <f>44400</f>
        <v>44400</v>
      </c>
      <c r="L111" s="67" t="s">
        <v>853</v>
      </c>
      <c r="M111" s="66">
        <f>44600</f>
        <v>44600</v>
      </c>
      <c r="N111" s="67" t="s">
        <v>857</v>
      </c>
      <c r="O111" s="66">
        <f>43500</f>
        <v>43500</v>
      </c>
      <c r="P111" s="67" t="s">
        <v>176</v>
      </c>
      <c r="Q111" s="66">
        <f>43900</f>
        <v>43900</v>
      </c>
      <c r="R111" s="67" t="s">
        <v>872</v>
      </c>
      <c r="S111" s="68">
        <f>44106.52</f>
        <v>44106.52</v>
      </c>
      <c r="T111" s="65">
        <f>34896</f>
        <v>34896</v>
      </c>
      <c r="U111" s="65">
        <f>9</f>
        <v>9</v>
      </c>
      <c r="V111" s="65">
        <f>1537700450</f>
        <v>1537700450</v>
      </c>
      <c r="W111" s="65">
        <f>368650</f>
        <v>368650</v>
      </c>
      <c r="X111" s="69">
        <f>23</f>
        <v>23</v>
      </c>
    </row>
    <row r="112" spans="1:24">
      <c r="A112" s="60" t="s">
        <v>871</v>
      </c>
      <c r="B112" s="60" t="s">
        <v>378</v>
      </c>
      <c r="C112" s="60" t="s">
        <v>379</v>
      </c>
      <c r="D112" s="60" t="s">
        <v>380</v>
      </c>
      <c r="E112" s="61" t="s">
        <v>46</v>
      </c>
      <c r="F112" s="62" t="s">
        <v>46</v>
      </c>
      <c r="G112" s="63" t="s">
        <v>46</v>
      </c>
      <c r="H112" s="64"/>
      <c r="I112" s="64" t="s">
        <v>47</v>
      </c>
      <c r="J112" s="65">
        <v>10</v>
      </c>
      <c r="K112" s="66">
        <f>1296</f>
        <v>1296</v>
      </c>
      <c r="L112" s="67" t="s">
        <v>853</v>
      </c>
      <c r="M112" s="66">
        <f>1297</f>
        <v>1297</v>
      </c>
      <c r="N112" s="67" t="s">
        <v>853</v>
      </c>
      <c r="O112" s="66">
        <f>1156</f>
        <v>1156</v>
      </c>
      <c r="P112" s="67" t="s">
        <v>858</v>
      </c>
      <c r="Q112" s="66">
        <f>1293</f>
        <v>1293</v>
      </c>
      <c r="R112" s="67" t="s">
        <v>856</v>
      </c>
      <c r="S112" s="68">
        <f>1222.22</f>
        <v>1222.22</v>
      </c>
      <c r="T112" s="65">
        <f>1180</f>
        <v>1180</v>
      </c>
      <c r="U112" s="65">
        <f>20</f>
        <v>20</v>
      </c>
      <c r="V112" s="65">
        <f>1454550</f>
        <v>1454550</v>
      </c>
      <c r="W112" s="65">
        <f>23360</f>
        <v>23360</v>
      </c>
      <c r="X112" s="69">
        <f>9</f>
        <v>9</v>
      </c>
    </row>
    <row r="113" spans="1:24">
      <c r="A113" s="60" t="s">
        <v>871</v>
      </c>
      <c r="B113" s="60" t="s">
        <v>381</v>
      </c>
      <c r="C113" s="60" t="s">
        <v>382</v>
      </c>
      <c r="D113" s="60" t="s">
        <v>383</v>
      </c>
      <c r="E113" s="61" t="s">
        <v>46</v>
      </c>
      <c r="F113" s="62" t="s">
        <v>46</v>
      </c>
      <c r="G113" s="63" t="s">
        <v>46</v>
      </c>
      <c r="H113" s="64"/>
      <c r="I113" s="64" t="s">
        <v>47</v>
      </c>
      <c r="J113" s="65">
        <v>10</v>
      </c>
      <c r="K113" s="66">
        <f>22420</f>
        <v>22420</v>
      </c>
      <c r="L113" s="67" t="s">
        <v>853</v>
      </c>
      <c r="M113" s="66">
        <f>25810</f>
        <v>25810</v>
      </c>
      <c r="N113" s="67" t="s">
        <v>613</v>
      </c>
      <c r="O113" s="66">
        <f>21650</f>
        <v>21650</v>
      </c>
      <c r="P113" s="67" t="s">
        <v>84</v>
      </c>
      <c r="Q113" s="66">
        <f>24290</f>
        <v>24290</v>
      </c>
      <c r="R113" s="67" t="s">
        <v>872</v>
      </c>
      <c r="S113" s="68">
        <f>23815.65</f>
        <v>23815.65</v>
      </c>
      <c r="T113" s="65">
        <f>4955850</f>
        <v>4955850</v>
      </c>
      <c r="U113" s="65">
        <f>31220</f>
        <v>31220</v>
      </c>
      <c r="V113" s="65">
        <f>119165294500</f>
        <v>119165294500</v>
      </c>
      <c r="W113" s="65">
        <f>763807600</f>
        <v>763807600</v>
      </c>
      <c r="X113" s="69">
        <f>23</f>
        <v>23</v>
      </c>
    </row>
    <row r="114" spans="1:24">
      <c r="A114" s="60" t="s">
        <v>871</v>
      </c>
      <c r="B114" s="60" t="s">
        <v>384</v>
      </c>
      <c r="C114" s="60" t="s">
        <v>385</v>
      </c>
      <c r="D114" s="60" t="s">
        <v>386</v>
      </c>
      <c r="E114" s="61" t="s">
        <v>46</v>
      </c>
      <c r="F114" s="62" t="s">
        <v>46</v>
      </c>
      <c r="G114" s="63" t="s">
        <v>46</v>
      </c>
      <c r="H114" s="64"/>
      <c r="I114" s="64" t="s">
        <v>47</v>
      </c>
      <c r="J114" s="65">
        <v>10</v>
      </c>
      <c r="K114" s="66">
        <f>2343</f>
        <v>2343</v>
      </c>
      <c r="L114" s="67" t="s">
        <v>853</v>
      </c>
      <c r="M114" s="66">
        <f>2381</f>
        <v>2381</v>
      </c>
      <c r="N114" s="67" t="s">
        <v>84</v>
      </c>
      <c r="O114" s="66">
        <f>2194</f>
        <v>2194</v>
      </c>
      <c r="P114" s="67" t="s">
        <v>613</v>
      </c>
      <c r="Q114" s="66">
        <f>2240</f>
        <v>2240</v>
      </c>
      <c r="R114" s="67" t="s">
        <v>872</v>
      </c>
      <c r="S114" s="68">
        <f>2271.48</f>
        <v>2271.48</v>
      </c>
      <c r="T114" s="65">
        <f>527680</f>
        <v>527680</v>
      </c>
      <c r="U114" s="65">
        <f>8180</f>
        <v>8180</v>
      </c>
      <c r="V114" s="65">
        <f>1198448550</f>
        <v>1198448550</v>
      </c>
      <c r="W114" s="65">
        <f>18561880</f>
        <v>18561880</v>
      </c>
      <c r="X114" s="69">
        <f>23</f>
        <v>23</v>
      </c>
    </row>
    <row r="115" spans="1:24">
      <c r="A115" s="60" t="s">
        <v>871</v>
      </c>
      <c r="B115" s="60" t="s">
        <v>387</v>
      </c>
      <c r="C115" s="60" t="s">
        <v>388</v>
      </c>
      <c r="D115" s="60" t="s">
        <v>389</v>
      </c>
      <c r="E115" s="61" t="s">
        <v>46</v>
      </c>
      <c r="F115" s="62" t="s">
        <v>46</v>
      </c>
      <c r="G115" s="63" t="s">
        <v>46</v>
      </c>
      <c r="H115" s="64"/>
      <c r="I115" s="64" t="s">
        <v>47</v>
      </c>
      <c r="J115" s="65">
        <v>1</v>
      </c>
      <c r="K115" s="66">
        <f>33250</f>
        <v>33250</v>
      </c>
      <c r="L115" s="67" t="s">
        <v>853</v>
      </c>
      <c r="M115" s="66">
        <f>35350</f>
        <v>35350</v>
      </c>
      <c r="N115" s="67" t="s">
        <v>100</v>
      </c>
      <c r="O115" s="66">
        <f>30400</f>
        <v>30400</v>
      </c>
      <c r="P115" s="67" t="s">
        <v>84</v>
      </c>
      <c r="Q115" s="66">
        <f>32750</f>
        <v>32750</v>
      </c>
      <c r="R115" s="67" t="s">
        <v>872</v>
      </c>
      <c r="S115" s="68">
        <f>32682.61</f>
        <v>32682.61</v>
      </c>
      <c r="T115" s="65">
        <f>94675604</f>
        <v>94675604</v>
      </c>
      <c r="U115" s="65">
        <f>97904</f>
        <v>97904</v>
      </c>
      <c r="V115" s="65">
        <f>3091819020261</f>
        <v>3091819020261</v>
      </c>
      <c r="W115" s="65">
        <f>3173953861</f>
        <v>3173953861</v>
      </c>
      <c r="X115" s="69">
        <f>23</f>
        <v>23</v>
      </c>
    </row>
    <row r="116" spans="1:24">
      <c r="A116" s="60" t="s">
        <v>871</v>
      </c>
      <c r="B116" s="60" t="s">
        <v>390</v>
      </c>
      <c r="C116" s="60" t="s">
        <v>391</v>
      </c>
      <c r="D116" s="60" t="s">
        <v>392</v>
      </c>
      <c r="E116" s="61" t="s">
        <v>46</v>
      </c>
      <c r="F116" s="62" t="s">
        <v>46</v>
      </c>
      <c r="G116" s="63" t="s">
        <v>46</v>
      </c>
      <c r="H116" s="64"/>
      <c r="I116" s="64" t="s">
        <v>47</v>
      </c>
      <c r="J116" s="65">
        <v>1</v>
      </c>
      <c r="K116" s="66">
        <f>1007</f>
        <v>1007</v>
      </c>
      <c r="L116" s="67" t="s">
        <v>853</v>
      </c>
      <c r="M116" s="66">
        <f>1052</f>
        <v>1052</v>
      </c>
      <c r="N116" s="67" t="s">
        <v>84</v>
      </c>
      <c r="O116" s="66">
        <f>975</f>
        <v>975</v>
      </c>
      <c r="P116" s="67" t="s">
        <v>100</v>
      </c>
      <c r="Q116" s="66">
        <f>1009</f>
        <v>1009</v>
      </c>
      <c r="R116" s="67" t="s">
        <v>872</v>
      </c>
      <c r="S116" s="68">
        <f>1014.17</f>
        <v>1014.17</v>
      </c>
      <c r="T116" s="65">
        <f>30523171</f>
        <v>30523171</v>
      </c>
      <c r="U116" s="65">
        <f>6831784</f>
        <v>6831784</v>
      </c>
      <c r="V116" s="65">
        <f>30944970743</f>
        <v>30944970743</v>
      </c>
      <c r="W116" s="65">
        <f>6909072109</f>
        <v>6909072109</v>
      </c>
      <c r="X116" s="69">
        <f>23</f>
        <v>23</v>
      </c>
    </row>
    <row r="117" spans="1:24">
      <c r="A117" s="60" t="s">
        <v>871</v>
      </c>
      <c r="B117" s="60" t="s">
        <v>393</v>
      </c>
      <c r="C117" s="60" t="s">
        <v>394</v>
      </c>
      <c r="D117" s="60" t="s">
        <v>395</v>
      </c>
      <c r="E117" s="61" t="s">
        <v>46</v>
      </c>
      <c r="F117" s="62" t="s">
        <v>46</v>
      </c>
      <c r="G117" s="63" t="s">
        <v>46</v>
      </c>
      <c r="H117" s="64"/>
      <c r="I117" s="64" t="s">
        <v>47</v>
      </c>
      <c r="J117" s="65">
        <v>10</v>
      </c>
      <c r="K117" s="66">
        <f>12460</f>
        <v>12460</v>
      </c>
      <c r="L117" s="67" t="s">
        <v>853</v>
      </c>
      <c r="M117" s="66">
        <f>12970</f>
        <v>12970</v>
      </c>
      <c r="N117" s="67" t="s">
        <v>96</v>
      </c>
      <c r="O117" s="66">
        <f>11050</f>
        <v>11050</v>
      </c>
      <c r="P117" s="67" t="s">
        <v>176</v>
      </c>
      <c r="Q117" s="66">
        <f>11800</f>
        <v>11800</v>
      </c>
      <c r="R117" s="67" t="s">
        <v>872</v>
      </c>
      <c r="S117" s="68">
        <f>12140</f>
        <v>12140</v>
      </c>
      <c r="T117" s="65">
        <f>40770</f>
        <v>40770</v>
      </c>
      <c r="U117" s="65" t="str">
        <f>"－"</f>
        <v>－</v>
      </c>
      <c r="V117" s="65">
        <f>495820700</f>
        <v>495820700</v>
      </c>
      <c r="W117" s="65" t="str">
        <f>"－"</f>
        <v>－</v>
      </c>
      <c r="X117" s="69">
        <f>23</f>
        <v>23</v>
      </c>
    </row>
    <row r="118" spans="1:24">
      <c r="A118" s="60" t="s">
        <v>871</v>
      </c>
      <c r="B118" s="60" t="s">
        <v>396</v>
      </c>
      <c r="C118" s="60" t="s">
        <v>397</v>
      </c>
      <c r="D118" s="60" t="s">
        <v>398</v>
      </c>
      <c r="E118" s="61" t="s">
        <v>46</v>
      </c>
      <c r="F118" s="62" t="s">
        <v>46</v>
      </c>
      <c r="G118" s="63" t="s">
        <v>46</v>
      </c>
      <c r="H118" s="64"/>
      <c r="I118" s="64" t="s">
        <v>47</v>
      </c>
      <c r="J118" s="65">
        <v>10</v>
      </c>
      <c r="K118" s="66">
        <f>6310</f>
        <v>6310</v>
      </c>
      <c r="L118" s="67" t="s">
        <v>853</v>
      </c>
      <c r="M118" s="66">
        <f>6760</f>
        <v>6760</v>
      </c>
      <c r="N118" s="67" t="s">
        <v>856</v>
      </c>
      <c r="O118" s="66">
        <f>6120</f>
        <v>6120</v>
      </c>
      <c r="P118" s="67" t="s">
        <v>858</v>
      </c>
      <c r="Q118" s="66">
        <f>6650</f>
        <v>6650</v>
      </c>
      <c r="R118" s="67" t="s">
        <v>872</v>
      </c>
      <c r="S118" s="68">
        <f>6424.55</f>
        <v>6424.55</v>
      </c>
      <c r="T118" s="65">
        <f>6980</f>
        <v>6980</v>
      </c>
      <c r="U118" s="65" t="str">
        <f>"－"</f>
        <v>－</v>
      </c>
      <c r="V118" s="65">
        <f>45037500</f>
        <v>45037500</v>
      </c>
      <c r="W118" s="65" t="str">
        <f>"－"</f>
        <v>－</v>
      </c>
      <c r="X118" s="69">
        <f>22</f>
        <v>22</v>
      </c>
    </row>
    <row r="119" spans="1:24">
      <c r="A119" s="60" t="s">
        <v>871</v>
      </c>
      <c r="B119" s="60" t="s">
        <v>399</v>
      </c>
      <c r="C119" s="60" t="s">
        <v>400</v>
      </c>
      <c r="D119" s="60" t="s">
        <v>401</v>
      </c>
      <c r="E119" s="61" t="s">
        <v>46</v>
      </c>
      <c r="F119" s="62" t="s">
        <v>46</v>
      </c>
      <c r="G119" s="63" t="s">
        <v>46</v>
      </c>
      <c r="H119" s="64"/>
      <c r="I119" s="64" t="s">
        <v>47</v>
      </c>
      <c r="J119" s="65">
        <v>10</v>
      </c>
      <c r="K119" s="66">
        <f>1540</f>
        <v>1540</v>
      </c>
      <c r="L119" s="67" t="s">
        <v>855</v>
      </c>
      <c r="M119" s="66">
        <f>1762</f>
        <v>1762</v>
      </c>
      <c r="N119" s="67" t="s">
        <v>132</v>
      </c>
      <c r="O119" s="66">
        <f>1518</f>
        <v>1518</v>
      </c>
      <c r="P119" s="67" t="s">
        <v>100</v>
      </c>
      <c r="Q119" s="66">
        <f>1678</f>
        <v>1678</v>
      </c>
      <c r="R119" s="67" t="s">
        <v>872</v>
      </c>
      <c r="S119" s="68">
        <f>1632</f>
        <v>1632</v>
      </c>
      <c r="T119" s="65">
        <f>920</f>
        <v>920</v>
      </c>
      <c r="U119" s="65" t="str">
        <f>"－"</f>
        <v>－</v>
      </c>
      <c r="V119" s="65">
        <f>1546630</f>
        <v>1546630</v>
      </c>
      <c r="W119" s="65" t="str">
        <f>"－"</f>
        <v>－</v>
      </c>
      <c r="X119" s="69">
        <f>8</f>
        <v>8</v>
      </c>
    </row>
    <row r="120" spans="1:24">
      <c r="A120" s="60" t="s">
        <v>871</v>
      </c>
      <c r="B120" s="60" t="s">
        <v>402</v>
      </c>
      <c r="C120" s="60" t="s">
        <v>403</v>
      </c>
      <c r="D120" s="60" t="s">
        <v>404</v>
      </c>
      <c r="E120" s="61" t="s">
        <v>46</v>
      </c>
      <c r="F120" s="62" t="s">
        <v>46</v>
      </c>
      <c r="G120" s="63" t="s">
        <v>46</v>
      </c>
      <c r="H120" s="64"/>
      <c r="I120" s="64" t="s">
        <v>47</v>
      </c>
      <c r="J120" s="65">
        <v>10</v>
      </c>
      <c r="K120" s="66">
        <f>873</f>
        <v>873</v>
      </c>
      <c r="L120" s="67" t="s">
        <v>853</v>
      </c>
      <c r="M120" s="66">
        <f>950</f>
        <v>950</v>
      </c>
      <c r="N120" s="67" t="s">
        <v>96</v>
      </c>
      <c r="O120" s="66">
        <f>834</f>
        <v>834</v>
      </c>
      <c r="P120" s="67" t="s">
        <v>860</v>
      </c>
      <c r="Q120" s="66">
        <f>903</f>
        <v>903</v>
      </c>
      <c r="R120" s="67" t="s">
        <v>872</v>
      </c>
      <c r="S120" s="68">
        <f>872.87</f>
        <v>872.87</v>
      </c>
      <c r="T120" s="65">
        <f>87320</f>
        <v>87320</v>
      </c>
      <c r="U120" s="65" t="str">
        <f>"－"</f>
        <v>－</v>
      </c>
      <c r="V120" s="65">
        <f>76691780</f>
        <v>76691780</v>
      </c>
      <c r="W120" s="65" t="str">
        <f>"－"</f>
        <v>－</v>
      </c>
      <c r="X120" s="69">
        <f>23</f>
        <v>23</v>
      </c>
    </row>
    <row r="121" spans="1:24">
      <c r="A121" s="60" t="s">
        <v>871</v>
      </c>
      <c r="B121" s="60" t="s">
        <v>405</v>
      </c>
      <c r="C121" s="60" t="s">
        <v>406</v>
      </c>
      <c r="D121" s="60" t="s">
        <v>407</v>
      </c>
      <c r="E121" s="61" t="s">
        <v>46</v>
      </c>
      <c r="F121" s="62" t="s">
        <v>46</v>
      </c>
      <c r="G121" s="63" t="s">
        <v>46</v>
      </c>
      <c r="H121" s="64" t="s">
        <v>540</v>
      </c>
      <c r="I121" s="64" t="s">
        <v>47</v>
      </c>
      <c r="J121" s="65">
        <v>10</v>
      </c>
      <c r="K121" s="66">
        <f>840</f>
        <v>840</v>
      </c>
      <c r="L121" s="67" t="s">
        <v>853</v>
      </c>
      <c r="M121" s="66">
        <f>931</f>
        <v>931</v>
      </c>
      <c r="N121" s="67" t="s">
        <v>853</v>
      </c>
      <c r="O121" s="66">
        <f>798</f>
        <v>798</v>
      </c>
      <c r="P121" s="67" t="s">
        <v>859</v>
      </c>
      <c r="Q121" s="66">
        <f>837</f>
        <v>837</v>
      </c>
      <c r="R121" s="67" t="s">
        <v>872</v>
      </c>
      <c r="S121" s="68">
        <f>827</f>
        <v>827</v>
      </c>
      <c r="T121" s="65">
        <f>24080</f>
        <v>24080</v>
      </c>
      <c r="U121" s="65" t="str">
        <f>"－"</f>
        <v>－</v>
      </c>
      <c r="V121" s="65">
        <f>20211760</f>
        <v>20211760</v>
      </c>
      <c r="W121" s="65" t="str">
        <f>"－"</f>
        <v>－</v>
      </c>
      <c r="X121" s="69">
        <f>23</f>
        <v>23</v>
      </c>
    </row>
    <row r="122" spans="1:24">
      <c r="A122" s="60" t="s">
        <v>871</v>
      </c>
      <c r="B122" s="60" t="s">
        <v>408</v>
      </c>
      <c r="C122" s="60" t="s">
        <v>409</v>
      </c>
      <c r="D122" s="60" t="s">
        <v>410</v>
      </c>
      <c r="E122" s="61" t="s">
        <v>46</v>
      </c>
      <c r="F122" s="62" t="s">
        <v>46</v>
      </c>
      <c r="G122" s="63" t="s">
        <v>46</v>
      </c>
      <c r="H122" s="64"/>
      <c r="I122" s="64" t="s">
        <v>47</v>
      </c>
      <c r="J122" s="65">
        <v>1</v>
      </c>
      <c r="K122" s="66">
        <f>21710</f>
        <v>21710</v>
      </c>
      <c r="L122" s="67" t="s">
        <v>853</v>
      </c>
      <c r="M122" s="66">
        <f>24240</f>
        <v>24240</v>
      </c>
      <c r="N122" s="67" t="s">
        <v>613</v>
      </c>
      <c r="O122" s="66">
        <f>21650</f>
        <v>21650</v>
      </c>
      <c r="P122" s="67" t="s">
        <v>853</v>
      </c>
      <c r="Q122" s="66">
        <f>23530</f>
        <v>23530</v>
      </c>
      <c r="R122" s="67" t="s">
        <v>872</v>
      </c>
      <c r="S122" s="68">
        <f>23144.35</f>
        <v>23144.35</v>
      </c>
      <c r="T122" s="65">
        <f>60510</f>
        <v>60510</v>
      </c>
      <c r="U122" s="65">
        <f>13003</f>
        <v>13003</v>
      </c>
      <c r="V122" s="65">
        <f>1414885630</f>
        <v>1414885630</v>
      </c>
      <c r="W122" s="65">
        <f>301060950</f>
        <v>301060950</v>
      </c>
      <c r="X122" s="69">
        <f>23</f>
        <v>23</v>
      </c>
    </row>
    <row r="123" spans="1:24">
      <c r="A123" s="60" t="s">
        <v>871</v>
      </c>
      <c r="B123" s="60" t="s">
        <v>411</v>
      </c>
      <c r="C123" s="60" t="s">
        <v>412</v>
      </c>
      <c r="D123" s="60" t="s">
        <v>413</v>
      </c>
      <c r="E123" s="61" t="s">
        <v>46</v>
      </c>
      <c r="F123" s="62" t="s">
        <v>46</v>
      </c>
      <c r="G123" s="63" t="s">
        <v>46</v>
      </c>
      <c r="H123" s="64"/>
      <c r="I123" s="64" t="s">
        <v>47</v>
      </c>
      <c r="J123" s="65">
        <v>1</v>
      </c>
      <c r="K123" s="66">
        <f>2354</f>
        <v>2354</v>
      </c>
      <c r="L123" s="67" t="s">
        <v>853</v>
      </c>
      <c r="M123" s="66">
        <f>2422</f>
        <v>2422</v>
      </c>
      <c r="N123" s="67" t="s">
        <v>100</v>
      </c>
      <c r="O123" s="66">
        <f>2250</f>
        <v>2250</v>
      </c>
      <c r="P123" s="67" t="s">
        <v>84</v>
      </c>
      <c r="Q123" s="66">
        <f>2335</f>
        <v>2335</v>
      </c>
      <c r="R123" s="67" t="s">
        <v>872</v>
      </c>
      <c r="S123" s="68">
        <f>2333.52</f>
        <v>2333.52</v>
      </c>
      <c r="T123" s="65">
        <f>74538</f>
        <v>74538</v>
      </c>
      <c r="U123" s="65" t="str">
        <f>"－"</f>
        <v>－</v>
      </c>
      <c r="V123" s="65">
        <f>173382316</f>
        <v>173382316</v>
      </c>
      <c r="W123" s="65" t="str">
        <f>"－"</f>
        <v>－</v>
      </c>
      <c r="X123" s="69">
        <f>23</f>
        <v>23</v>
      </c>
    </row>
    <row r="124" spans="1:24">
      <c r="A124" s="60" t="s">
        <v>871</v>
      </c>
      <c r="B124" s="60" t="s">
        <v>414</v>
      </c>
      <c r="C124" s="60" t="s">
        <v>415</v>
      </c>
      <c r="D124" s="60" t="s">
        <v>416</v>
      </c>
      <c r="E124" s="61" t="s">
        <v>876</v>
      </c>
      <c r="F124" s="62" t="s">
        <v>877</v>
      </c>
      <c r="G124" s="63" t="s">
        <v>46</v>
      </c>
      <c r="H124" s="64"/>
      <c r="I124" s="64" t="s">
        <v>47</v>
      </c>
      <c r="J124" s="65">
        <v>10</v>
      </c>
      <c r="K124" s="66">
        <f>35450</f>
        <v>35450</v>
      </c>
      <c r="L124" s="67" t="s">
        <v>853</v>
      </c>
      <c r="M124" s="66">
        <f>36500</f>
        <v>36500</v>
      </c>
      <c r="N124" s="67" t="s">
        <v>857</v>
      </c>
      <c r="O124" s="66">
        <f>34800</f>
        <v>34800</v>
      </c>
      <c r="P124" s="67" t="s">
        <v>857</v>
      </c>
      <c r="Q124" s="66">
        <f>35050</f>
        <v>35050</v>
      </c>
      <c r="R124" s="67" t="s">
        <v>857</v>
      </c>
      <c r="S124" s="68">
        <f>35350</f>
        <v>35350</v>
      </c>
      <c r="T124" s="65">
        <f>380800</f>
        <v>380800</v>
      </c>
      <c r="U124" s="65" t="str">
        <f>"－"</f>
        <v>－</v>
      </c>
      <c r="V124" s="65">
        <f>13553643500</f>
        <v>13553643500</v>
      </c>
      <c r="W124" s="65" t="str">
        <f>"－"</f>
        <v>－</v>
      </c>
      <c r="X124" s="69">
        <f>2</f>
        <v>2</v>
      </c>
    </row>
    <row r="125" spans="1:24">
      <c r="A125" s="60" t="s">
        <v>871</v>
      </c>
      <c r="B125" s="60" t="s">
        <v>414</v>
      </c>
      <c r="C125" s="60" t="s">
        <v>415</v>
      </c>
      <c r="D125" s="60" t="s">
        <v>416</v>
      </c>
      <c r="E125" s="61" t="s">
        <v>876</v>
      </c>
      <c r="F125" s="62" t="s">
        <v>877</v>
      </c>
      <c r="G125" s="63" t="s">
        <v>46</v>
      </c>
      <c r="H125" s="64"/>
      <c r="I125" s="64" t="s">
        <v>47</v>
      </c>
      <c r="J125" s="65">
        <v>10</v>
      </c>
      <c r="K125" s="66">
        <f>17690</f>
        <v>17690</v>
      </c>
      <c r="L125" s="67" t="s">
        <v>858</v>
      </c>
      <c r="M125" s="66">
        <f>18840</f>
        <v>18840</v>
      </c>
      <c r="N125" s="67" t="s">
        <v>100</v>
      </c>
      <c r="O125" s="66">
        <f>16210</f>
        <v>16210</v>
      </c>
      <c r="P125" s="67" t="s">
        <v>84</v>
      </c>
      <c r="Q125" s="66">
        <f>17460</f>
        <v>17460</v>
      </c>
      <c r="R125" s="67" t="s">
        <v>872</v>
      </c>
      <c r="S125" s="68">
        <f>17399.05</f>
        <v>17399.05</v>
      </c>
      <c r="T125" s="65">
        <f>14063820</f>
        <v>14063820</v>
      </c>
      <c r="U125" s="65">
        <f>22020</f>
        <v>22020</v>
      </c>
      <c r="V125" s="65">
        <f>243696268540</f>
        <v>243696268540</v>
      </c>
      <c r="W125" s="65">
        <f>374242640</f>
        <v>374242640</v>
      </c>
      <c r="X125" s="69">
        <f>21</f>
        <v>21</v>
      </c>
    </row>
    <row r="126" spans="1:24">
      <c r="A126" s="60" t="s">
        <v>871</v>
      </c>
      <c r="B126" s="60" t="s">
        <v>417</v>
      </c>
      <c r="C126" s="60" t="s">
        <v>418</v>
      </c>
      <c r="D126" s="60" t="s">
        <v>419</v>
      </c>
      <c r="E126" s="61" t="s">
        <v>46</v>
      </c>
      <c r="F126" s="62" t="s">
        <v>46</v>
      </c>
      <c r="G126" s="63" t="s">
        <v>46</v>
      </c>
      <c r="H126" s="64"/>
      <c r="I126" s="64" t="s">
        <v>47</v>
      </c>
      <c r="J126" s="65">
        <v>10</v>
      </c>
      <c r="K126" s="66">
        <f>2686</f>
        <v>2686</v>
      </c>
      <c r="L126" s="67" t="s">
        <v>853</v>
      </c>
      <c r="M126" s="66">
        <f>2803</f>
        <v>2803</v>
      </c>
      <c r="N126" s="67" t="s">
        <v>84</v>
      </c>
      <c r="O126" s="66">
        <f>2597</f>
        <v>2597</v>
      </c>
      <c r="P126" s="67" t="s">
        <v>100</v>
      </c>
      <c r="Q126" s="66">
        <f>2690</f>
        <v>2690</v>
      </c>
      <c r="R126" s="67" t="s">
        <v>872</v>
      </c>
      <c r="S126" s="68">
        <f>2702.22</f>
        <v>2702.22</v>
      </c>
      <c r="T126" s="65">
        <f>4617660</f>
        <v>4617660</v>
      </c>
      <c r="U126" s="65">
        <f>554000</f>
        <v>554000</v>
      </c>
      <c r="V126" s="65">
        <f>12365570578</f>
        <v>12365570578</v>
      </c>
      <c r="W126" s="65">
        <f>1489295208</f>
        <v>1489295208</v>
      </c>
      <c r="X126" s="69">
        <f>23</f>
        <v>23</v>
      </c>
    </row>
    <row r="127" spans="1:24">
      <c r="A127" s="60" t="s">
        <v>871</v>
      </c>
      <c r="B127" s="60" t="s">
        <v>420</v>
      </c>
      <c r="C127" s="60" t="s">
        <v>421</v>
      </c>
      <c r="D127" s="60" t="s">
        <v>422</v>
      </c>
      <c r="E127" s="61" t="s">
        <v>46</v>
      </c>
      <c r="F127" s="62" t="s">
        <v>46</v>
      </c>
      <c r="G127" s="63" t="s">
        <v>46</v>
      </c>
      <c r="H127" s="64"/>
      <c r="I127" s="64" t="s">
        <v>47</v>
      </c>
      <c r="J127" s="65">
        <v>10</v>
      </c>
      <c r="K127" s="66">
        <f>940</f>
        <v>940</v>
      </c>
      <c r="L127" s="67" t="s">
        <v>853</v>
      </c>
      <c r="M127" s="66">
        <f>982</f>
        <v>982</v>
      </c>
      <c r="N127" s="67" t="s">
        <v>857</v>
      </c>
      <c r="O127" s="66">
        <f>907</f>
        <v>907</v>
      </c>
      <c r="P127" s="67" t="s">
        <v>176</v>
      </c>
      <c r="Q127" s="66">
        <f>974</f>
        <v>974</v>
      </c>
      <c r="R127" s="67" t="s">
        <v>872</v>
      </c>
      <c r="S127" s="68">
        <f>950.29</f>
        <v>950.29</v>
      </c>
      <c r="T127" s="65">
        <f>4830</f>
        <v>4830</v>
      </c>
      <c r="U127" s="65" t="str">
        <f>"－"</f>
        <v>－</v>
      </c>
      <c r="V127" s="65">
        <f>4568700</f>
        <v>4568700</v>
      </c>
      <c r="W127" s="65" t="str">
        <f>"－"</f>
        <v>－</v>
      </c>
      <c r="X127" s="69">
        <f>21</f>
        <v>21</v>
      </c>
    </row>
    <row r="128" spans="1:24">
      <c r="A128" s="60" t="s">
        <v>871</v>
      </c>
      <c r="B128" s="60" t="s">
        <v>423</v>
      </c>
      <c r="C128" s="60" t="s">
        <v>424</v>
      </c>
      <c r="D128" s="60" t="s">
        <v>425</v>
      </c>
      <c r="E128" s="61" t="s">
        <v>46</v>
      </c>
      <c r="F128" s="62" t="s">
        <v>46</v>
      </c>
      <c r="G128" s="63" t="s">
        <v>46</v>
      </c>
      <c r="H128" s="64"/>
      <c r="I128" s="64" t="s">
        <v>47</v>
      </c>
      <c r="J128" s="65">
        <v>10</v>
      </c>
      <c r="K128" s="66">
        <f>1513</f>
        <v>1513</v>
      </c>
      <c r="L128" s="67" t="s">
        <v>860</v>
      </c>
      <c r="M128" s="66">
        <f>1650</f>
        <v>1650</v>
      </c>
      <c r="N128" s="67" t="s">
        <v>132</v>
      </c>
      <c r="O128" s="66">
        <f>1496</f>
        <v>1496</v>
      </c>
      <c r="P128" s="67" t="s">
        <v>875</v>
      </c>
      <c r="Q128" s="66">
        <f>1555</f>
        <v>1555</v>
      </c>
      <c r="R128" s="67" t="s">
        <v>240</v>
      </c>
      <c r="S128" s="68">
        <f>1546.69</f>
        <v>1546.69</v>
      </c>
      <c r="T128" s="65">
        <f>37270</f>
        <v>37270</v>
      </c>
      <c r="U128" s="65" t="str">
        <f>"－"</f>
        <v>－</v>
      </c>
      <c r="V128" s="65">
        <f>58893780</f>
        <v>58893780</v>
      </c>
      <c r="W128" s="65" t="str">
        <f>"－"</f>
        <v>－</v>
      </c>
      <c r="X128" s="69">
        <f>13</f>
        <v>13</v>
      </c>
    </row>
    <row r="129" spans="1:24">
      <c r="A129" s="60" t="s">
        <v>871</v>
      </c>
      <c r="B129" s="60" t="s">
        <v>426</v>
      </c>
      <c r="C129" s="60" t="s">
        <v>427</v>
      </c>
      <c r="D129" s="60" t="s">
        <v>428</v>
      </c>
      <c r="E129" s="61" t="s">
        <v>46</v>
      </c>
      <c r="F129" s="62" t="s">
        <v>46</v>
      </c>
      <c r="G129" s="63" t="s">
        <v>46</v>
      </c>
      <c r="H129" s="64"/>
      <c r="I129" s="64" t="s">
        <v>47</v>
      </c>
      <c r="J129" s="65">
        <v>1</v>
      </c>
      <c r="K129" s="66">
        <f>1661</f>
        <v>1661</v>
      </c>
      <c r="L129" s="67" t="s">
        <v>853</v>
      </c>
      <c r="M129" s="66">
        <f>1825</f>
        <v>1825</v>
      </c>
      <c r="N129" s="67" t="s">
        <v>100</v>
      </c>
      <c r="O129" s="66">
        <f>1645</f>
        <v>1645</v>
      </c>
      <c r="P129" s="67" t="s">
        <v>84</v>
      </c>
      <c r="Q129" s="66">
        <f>1746</f>
        <v>1746</v>
      </c>
      <c r="R129" s="67" t="s">
        <v>872</v>
      </c>
      <c r="S129" s="68">
        <f>1713.11</f>
        <v>1713.11</v>
      </c>
      <c r="T129" s="65">
        <f>12184</f>
        <v>12184</v>
      </c>
      <c r="U129" s="65" t="str">
        <f>"－"</f>
        <v>－</v>
      </c>
      <c r="V129" s="65">
        <f>21868271</f>
        <v>21868271</v>
      </c>
      <c r="W129" s="65" t="str">
        <f>"－"</f>
        <v>－</v>
      </c>
      <c r="X129" s="69">
        <f>19</f>
        <v>19</v>
      </c>
    </row>
    <row r="130" spans="1:24">
      <c r="A130" s="60" t="s">
        <v>871</v>
      </c>
      <c r="B130" s="60" t="s">
        <v>429</v>
      </c>
      <c r="C130" s="60" t="s">
        <v>430</v>
      </c>
      <c r="D130" s="60" t="s">
        <v>431</v>
      </c>
      <c r="E130" s="61" t="s">
        <v>46</v>
      </c>
      <c r="F130" s="62" t="s">
        <v>46</v>
      </c>
      <c r="G130" s="63" t="s">
        <v>46</v>
      </c>
      <c r="H130" s="64"/>
      <c r="I130" s="64" t="s">
        <v>47</v>
      </c>
      <c r="J130" s="65">
        <v>1</v>
      </c>
      <c r="K130" s="66">
        <f>17180</f>
        <v>17180</v>
      </c>
      <c r="L130" s="67" t="s">
        <v>853</v>
      </c>
      <c r="M130" s="66">
        <f>18230</f>
        <v>18230</v>
      </c>
      <c r="N130" s="67" t="s">
        <v>100</v>
      </c>
      <c r="O130" s="66">
        <f>16900</f>
        <v>16900</v>
      </c>
      <c r="P130" s="67" t="s">
        <v>84</v>
      </c>
      <c r="Q130" s="66">
        <f>17850</f>
        <v>17850</v>
      </c>
      <c r="R130" s="67" t="s">
        <v>872</v>
      </c>
      <c r="S130" s="68">
        <f>17664.35</f>
        <v>17664.349999999999</v>
      </c>
      <c r="T130" s="65">
        <f>202661</f>
        <v>202661</v>
      </c>
      <c r="U130" s="65">
        <f>635</f>
        <v>635</v>
      </c>
      <c r="V130" s="65">
        <f>3563404089</f>
        <v>3563404089</v>
      </c>
      <c r="W130" s="65">
        <f>10914119</f>
        <v>10914119</v>
      </c>
      <c r="X130" s="69">
        <f>23</f>
        <v>23</v>
      </c>
    </row>
    <row r="131" spans="1:24">
      <c r="A131" s="60" t="s">
        <v>871</v>
      </c>
      <c r="B131" s="60" t="s">
        <v>432</v>
      </c>
      <c r="C131" s="60" t="s">
        <v>433</v>
      </c>
      <c r="D131" s="60" t="s">
        <v>434</v>
      </c>
      <c r="E131" s="61" t="s">
        <v>46</v>
      </c>
      <c r="F131" s="62" t="s">
        <v>46</v>
      </c>
      <c r="G131" s="63" t="s">
        <v>46</v>
      </c>
      <c r="H131" s="64"/>
      <c r="I131" s="64" t="s">
        <v>47</v>
      </c>
      <c r="J131" s="65">
        <v>1</v>
      </c>
      <c r="K131" s="66">
        <f>1567</f>
        <v>1567</v>
      </c>
      <c r="L131" s="67" t="s">
        <v>853</v>
      </c>
      <c r="M131" s="66">
        <f>1663</f>
        <v>1663</v>
      </c>
      <c r="N131" s="67" t="s">
        <v>100</v>
      </c>
      <c r="O131" s="66">
        <f>1542</f>
        <v>1542</v>
      </c>
      <c r="P131" s="67" t="s">
        <v>84</v>
      </c>
      <c r="Q131" s="66">
        <f>1631</f>
        <v>1631</v>
      </c>
      <c r="R131" s="67" t="s">
        <v>872</v>
      </c>
      <c r="S131" s="68">
        <f>1610.87</f>
        <v>1610.87</v>
      </c>
      <c r="T131" s="65">
        <f>230460</f>
        <v>230460</v>
      </c>
      <c r="U131" s="65">
        <f>93800</f>
        <v>93800</v>
      </c>
      <c r="V131" s="65">
        <f>372516364</f>
        <v>372516364</v>
      </c>
      <c r="W131" s="65">
        <f>151924108</f>
        <v>151924108</v>
      </c>
      <c r="X131" s="69">
        <f>23</f>
        <v>23</v>
      </c>
    </row>
    <row r="132" spans="1:24">
      <c r="A132" s="60" t="s">
        <v>871</v>
      </c>
      <c r="B132" s="60" t="s">
        <v>435</v>
      </c>
      <c r="C132" s="60" t="s">
        <v>436</v>
      </c>
      <c r="D132" s="60" t="s">
        <v>437</v>
      </c>
      <c r="E132" s="61" t="s">
        <v>46</v>
      </c>
      <c r="F132" s="62" t="s">
        <v>46</v>
      </c>
      <c r="G132" s="63" t="s">
        <v>46</v>
      </c>
      <c r="H132" s="64"/>
      <c r="I132" s="64" t="s">
        <v>47</v>
      </c>
      <c r="J132" s="65">
        <v>1</v>
      </c>
      <c r="K132" s="66">
        <f>17510</f>
        <v>17510</v>
      </c>
      <c r="L132" s="67" t="s">
        <v>853</v>
      </c>
      <c r="M132" s="66">
        <f>18560</f>
        <v>18560</v>
      </c>
      <c r="N132" s="67" t="s">
        <v>613</v>
      </c>
      <c r="O132" s="66">
        <f>17210</f>
        <v>17210</v>
      </c>
      <c r="P132" s="67" t="s">
        <v>84</v>
      </c>
      <c r="Q132" s="66">
        <f>18210</f>
        <v>18210</v>
      </c>
      <c r="R132" s="67" t="s">
        <v>872</v>
      </c>
      <c r="S132" s="68">
        <f>17990.43</f>
        <v>17990.43</v>
      </c>
      <c r="T132" s="65">
        <f>26555</f>
        <v>26555</v>
      </c>
      <c r="U132" s="65" t="str">
        <f>"－"</f>
        <v>－</v>
      </c>
      <c r="V132" s="65">
        <f>477654570</f>
        <v>477654570</v>
      </c>
      <c r="W132" s="65" t="str">
        <f>"－"</f>
        <v>－</v>
      </c>
      <c r="X132" s="69">
        <f>23</f>
        <v>23</v>
      </c>
    </row>
    <row r="133" spans="1:24">
      <c r="A133" s="60" t="s">
        <v>871</v>
      </c>
      <c r="B133" s="60" t="s">
        <v>438</v>
      </c>
      <c r="C133" s="60" t="s">
        <v>439</v>
      </c>
      <c r="D133" s="60" t="s">
        <v>440</v>
      </c>
      <c r="E133" s="61" t="s">
        <v>46</v>
      </c>
      <c r="F133" s="62" t="s">
        <v>46</v>
      </c>
      <c r="G133" s="63" t="s">
        <v>46</v>
      </c>
      <c r="H133" s="64"/>
      <c r="I133" s="64" t="s">
        <v>47</v>
      </c>
      <c r="J133" s="65">
        <v>10</v>
      </c>
      <c r="K133" s="66">
        <f>1993</f>
        <v>1993</v>
      </c>
      <c r="L133" s="67" t="s">
        <v>853</v>
      </c>
      <c r="M133" s="66">
        <f>2100</f>
        <v>2100</v>
      </c>
      <c r="N133" s="67" t="s">
        <v>872</v>
      </c>
      <c r="O133" s="66">
        <f>1910</f>
        <v>1910</v>
      </c>
      <c r="P133" s="67" t="s">
        <v>859</v>
      </c>
      <c r="Q133" s="66">
        <f>2062</f>
        <v>2062</v>
      </c>
      <c r="R133" s="67" t="s">
        <v>872</v>
      </c>
      <c r="S133" s="68">
        <f>1995.13</f>
        <v>1995.13</v>
      </c>
      <c r="T133" s="65">
        <f>14715350</f>
        <v>14715350</v>
      </c>
      <c r="U133" s="65">
        <f>3800000</f>
        <v>3800000</v>
      </c>
      <c r="V133" s="65">
        <f>28828944180</f>
        <v>28828944180</v>
      </c>
      <c r="W133" s="65">
        <f>7414269000</f>
        <v>7414269000</v>
      </c>
      <c r="X133" s="69">
        <f>23</f>
        <v>23</v>
      </c>
    </row>
    <row r="134" spans="1:24">
      <c r="A134" s="60" t="s">
        <v>871</v>
      </c>
      <c r="B134" s="60" t="s">
        <v>441</v>
      </c>
      <c r="C134" s="60" t="s">
        <v>442</v>
      </c>
      <c r="D134" s="60" t="s">
        <v>443</v>
      </c>
      <c r="E134" s="61" t="s">
        <v>46</v>
      </c>
      <c r="F134" s="62" t="s">
        <v>46</v>
      </c>
      <c r="G134" s="63" t="s">
        <v>46</v>
      </c>
      <c r="H134" s="64"/>
      <c r="I134" s="64" t="s">
        <v>47</v>
      </c>
      <c r="J134" s="65">
        <v>10</v>
      </c>
      <c r="K134" s="66">
        <f>1677</f>
        <v>1677</v>
      </c>
      <c r="L134" s="67" t="s">
        <v>857</v>
      </c>
      <c r="M134" s="66">
        <f>1837</f>
        <v>1837</v>
      </c>
      <c r="N134" s="67" t="s">
        <v>857</v>
      </c>
      <c r="O134" s="66">
        <f>1654</f>
        <v>1654</v>
      </c>
      <c r="P134" s="67" t="s">
        <v>48</v>
      </c>
      <c r="Q134" s="66">
        <f>1750</f>
        <v>1750</v>
      </c>
      <c r="R134" s="67" t="s">
        <v>50</v>
      </c>
      <c r="S134" s="68">
        <f>1716.5</f>
        <v>1716.5</v>
      </c>
      <c r="T134" s="65">
        <f>1950</f>
        <v>1950</v>
      </c>
      <c r="U134" s="65" t="str">
        <f>"－"</f>
        <v>－</v>
      </c>
      <c r="V134" s="65">
        <f>3466830</f>
        <v>3466830</v>
      </c>
      <c r="W134" s="65" t="str">
        <f>"－"</f>
        <v>－</v>
      </c>
      <c r="X134" s="69">
        <f>12</f>
        <v>12</v>
      </c>
    </row>
    <row r="135" spans="1:24">
      <c r="A135" s="60" t="s">
        <v>871</v>
      </c>
      <c r="B135" s="60" t="s">
        <v>444</v>
      </c>
      <c r="C135" s="60" t="s">
        <v>445</v>
      </c>
      <c r="D135" s="60" t="s">
        <v>446</v>
      </c>
      <c r="E135" s="61" t="s">
        <v>46</v>
      </c>
      <c r="F135" s="62" t="s">
        <v>46</v>
      </c>
      <c r="G135" s="63" t="s">
        <v>46</v>
      </c>
      <c r="H135" s="64"/>
      <c r="I135" s="64" t="s">
        <v>47</v>
      </c>
      <c r="J135" s="65">
        <v>10</v>
      </c>
      <c r="K135" s="66">
        <f>2008</f>
        <v>2008</v>
      </c>
      <c r="L135" s="67" t="s">
        <v>853</v>
      </c>
      <c r="M135" s="66">
        <f>2095</f>
        <v>2095</v>
      </c>
      <c r="N135" s="67" t="s">
        <v>872</v>
      </c>
      <c r="O135" s="66">
        <f>1908</f>
        <v>1908</v>
      </c>
      <c r="P135" s="67" t="s">
        <v>859</v>
      </c>
      <c r="Q135" s="66">
        <f>2053</f>
        <v>2053</v>
      </c>
      <c r="R135" s="67" t="s">
        <v>872</v>
      </c>
      <c r="S135" s="68">
        <f>1996.48</f>
        <v>1996.48</v>
      </c>
      <c r="T135" s="65">
        <f>1502260</f>
        <v>1502260</v>
      </c>
      <c r="U135" s="65">
        <f>639000</f>
        <v>639000</v>
      </c>
      <c r="V135" s="65">
        <f>2999641770</f>
        <v>2999641770</v>
      </c>
      <c r="W135" s="65">
        <f>1285162360</f>
        <v>1285162360</v>
      </c>
      <c r="X135" s="69">
        <f>23</f>
        <v>23</v>
      </c>
    </row>
    <row r="136" spans="1:24">
      <c r="A136" s="60" t="s">
        <v>871</v>
      </c>
      <c r="B136" s="60" t="s">
        <v>447</v>
      </c>
      <c r="C136" s="60" t="s">
        <v>448</v>
      </c>
      <c r="D136" s="60" t="s">
        <v>449</v>
      </c>
      <c r="E136" s="61" t="s">
        <v>46</v>
      </c>
      <c r="F136" s="62" t="s">
        <v>46</v>
      </c>
      <c r="G136" s="63" t="s">
        <v>46</v>
      </c>
      <c r="H136" s="64"/>
      <c r="I136" s="64" t="s">
        <v>47</v>
      </c>
      <c r="J136" s="65">
        <v>1</v>
      </c>
      <c r="K136" s="66">
        <f>19240</f>
        <v>19240</v>
      </c>
      <c r="L136" s="67" t="s">
        <v>853</v>
      </c>
      <c r="M136" s="66">
        <f>20920</f>
        <v>20920</v>
      </c>
      <c r="N136" s="67" t="s">
        <v>132</v>
      </c>
      <c r="O136" s="66">
        <f>19240</f>
        <v>19240</v>
      </c>
      <c r="P136" s="67" t="s">
        <v>853</v>
      </c>
      <c r="Q136" s="66">
        <f>20520</f>
        <v>20520</v>
      </c>
      <c r="R136" s="67" t="s">
        <v>872</v>
      </c>
      <c r="S136" s="68">
        <f>20210.63</f>
        <v>20210.63</v>
      </c>
      <c r="T136" s="65">
        <f>170</f>
        <v>170</v>
      </c>
      <c r="U136" s="65">
        <f>14</f>
        <v>14</v>
      </c>
      <c r="V136" s="65">
        <f>3465770</f>
        <v>3465770</v>
      </c>
      <c r="W136" s="65">
        <f>289100</f>
        <v>289100</v>
      </c>
      <c r="X136" s="69">
        <f>16</f>
        <v>16</v>
      </c>
    </row>
    <row r="137" spans="1:24">
      <c r="A137" s="60" t="s">
        <v>871</v>
      </c>
      <c r="B137" s="60" t="s">
        <v>450</v>
      </c>
      <c r="C137" s="60" t="s">
        <v>451</v>
      </c>
      <c r="D137" s="60" t="s">
        <v>452</v>
      </c>
      <c r="E137" s="61" t="s">
        <v>46</v>
      </c>
      <c r="F137" s="62" t="s">
        <v>46</v>
      </c>
      <c r="G137" s="63" t="s">
        <v>46</v>
      </c>
      <c r="H137" s="64"/>
      <c r="I137" s="64" t="s">
        <v>47</v>
      </c>
      <c r="J137" s="65">
        <v>1</v>
      </c>
      <c r="K137" s="66">
        <f>17400</f>
        <v>17400</v>
      </c>
      <c r="L137" s="67" t="s">
        <v>853</v>
      </c>
      <c r="M137" s="66">
        <f>18380</f>
        <v>18380</v>
      </c>
      <c r="N137" s="67" t="s">
        <v>613</v>
      </c>
      <c r="O137" s="66">
        <f>17090</f>
        <v>17090</v>
      </c>
      <c r="P137" s="67" t="s">
        <v>84</v>
      </c>
      <c r="Q137" s="66">
        <f>18040</f>
        <v>18040</v>
      </c>
      <c r="R137" s="67" t="s">
        <v>872</v>
      </c>
      <c r="S137" s="68">
        <f>17829.55</f>
        <v>17829.55</v>
      </c>
      <c r="T137" s="65">
        <f>7713</f>
        <v>7713</v>
      </c>
      <c r="U137" s="65">
        <f>4</f>
        <v>4</v>
      </c>
      <c r="V137" s="65">
        <f>139715300</f>
        <v>139715300</v>
      </c>
      <c r="W137" s="65">
        <f>70710</f>
        <v>70710</v>
      </c>
      <c r="X137" s="69">
        <f>22</f>
        <v>22</v>
      </c>
    </row>
    <row r="138" spans="1:24">
      <c r="A138" s="60" t="s">
        <v>871</v>
      </c>
      <c r="B138" s="60" t="s">
        <v>453</v>
      </c>
      <c r="C138" s="60" t="s">
        <v>454</v>
      </c>
      <c r="D138" s="60" t="s">
        <v>455</v>
      </c>
      <c r="E138" s="61" t="s">
        <v>46</v>
      </c>
      <c r="F138" s="62" t="s">
        <v>46</v>
      </c>
      <c r="G138" s="63" t="s">
        <v>46</v>
      </c>
      <c r="H138" s="64"/>
      <c r="I138" s="64" t="s">
        <v>47</v>
      </c>
      <c r="J138" s="65">
        <v>100</v>
      </c>
      <c r="K138" s="66">
        <f>143</f>
        <v>143</v>
      </c>
      <c r="L138" s="67" t="s">
        <v>853</v>
      </c>
      <c r="M138" s="66">
        <f>168</f>
        <v>168</v>
      </c>
      <c r="N138" s="67" t="s">
        <v>613</v>
      </c>
      <c r="O138" s="66">
        <f>143</f>
        <v>143</v>
      </c>
      <c r="P138" s="67" t="s">
        <v>853</v>
      </c>
      <c r="Q138" s="66">
        <f>157</f>
        <v>157</v>
      </c>
      <c r="R138" s="67" t="s">
        <v>872</v>
      </c>
      <c r="S138" s="68">
        <f>155.22</f>
        <v>155.22</v>
      </c>
      <c r="T138" s="65">
        <f>125831100</f>
        <v>125831100</v>
      </c>
      <c r="U138" s="65" t="str">
        <f t="shared" ref="U138:U149" si="4">"－"</f>
        <v>－</v>
      </c>
      <c r="V138" s="65">
        <f>19721624000</f>
        <v>19721624000</v>
      </c>
      <c r="W138" s="65" t="str">
        <f t="shared" ref="W138:W149" si="5">"－"</f>
        <v>－</v>
      </c>
      <c r="X138" s="69">
        <f>23</f>
        <v>23</v>
      </c>
    </row>
    <row r="139" spans="1:24">
      <c r="A139" s="60" t="s">
        <v>871</v>
      </c>
      <c r="B139" s="60" t="s">
        <v>456</v>
      </c>
      <c r="C139" s="60" t="s">
        <v>457</v>
      </c>
      <c r="D139" s="60" t="s">
        <v>458</v>
      </c>
      <c r="E139" s="61" t="s">
        <v>46</v>
      </c>
      <c r="F139" s="62" t="s">
        <v>46</v>
      </c>
      <c r="G139" s="63" t="s">
        <v>46</v>
      </c>
      <c r="H139" s="64"/>
      <c r="I139" s="64" t="s">
        <v>47</v>
      </c>
      <c r="J139" s="65">
        <v>1</v>
      </c>
      <c r="K139" s="66">
        <f>26680</f>
        <v>26680</v>
      </c>
      <c r="L139" s="67" t="s">
        <v>853</v>
      </c>
      <c r="M139" s="66">
        <f>28530</f>
        <v>28530</v>
      </c>
      <c r="N139" s="67" t="s">
        <v>50</v>
      </c>
      <c r="O139" s="66">
        <f>26500</f>
        <v>26500</v>
      </c>
      <c r="P139" s="67" t="s">
        <v>857</v>
      </c>
      <c r="Q139" s="66">
        <f>27790</f>
        <v>27790</v>
      </c>
      <c r="R139" s="67" t="s">
        <v>872</v>
      </c>
      <c r="S139" s="68">
        <f>27650.87</f>
        <v>27650.87</v>
      </c>
      <c r="T139" s="65">
        <f>1104</f>
        <v>1104</v>
      </c>
      <c r="U139" s="65" t="str">
        <f t="shared" si="4"/>
        <v>－</v>
      </c>
      <c r="V139" s="65">
        <f>30444000</f>
        <v>30444000</v>
      </c>
      <c r="W139" s="65" t="str">
        <f t="shared" si="5"/>
        <v>－</v>
      </c>
      <c r="X139" s="69">
        <f>23</f>
        <v>23</v>
      </c>
    </row>
    <row r="140" spans="1:24">
      <c r="A140" s="60" t="s">
        <v>871</v>
      </c>
      <c r="B140" s="60" t="s">
        <v>459</v>
      </c>
      <c r="C140" s="60" t="s">
        <v>460</v>
      </c>
      <c r="D140" s="60" t="s">
        <v>461</v>
      </c>
      <c r="E140" s="61" t="s">
        <v>46</v>
      </c>
      <c r="F140" s="62" t="s">
        <v>46</v>
      </c>
      <c r="G140" s="63" t="s">
        <v>46</v>
      </c>
      <c r="H140" s="64"/>
      <c r="I140" s="64" t="s">
        <v>47</v>
      </c>
      <c r="J140" s="65">
        <v>1</v>
      </c>
      <c r="K140" s="66">
        <f>9810</f>
        <v>9810</v>
      </c>
      <c r="L140" s="67" t="s">
        <v>853</v>
      </c>
      <c r="M140" s="66">
        <f>10800</f>
        <v>10800</v>
      </c>
      <c r="N140" s="67" t="s">
        <v>96</v>
      </c>
      <c r="O140" s="66">
        <f>9760</f>
        <v>9760</v>
      </c>
      <c r="P140" s="67" t="s">
        <v>853</v>
      </c>
      <c r="Q140" s="66">
        <f>10460</f>
        <v>10460</v>
      </c>
      <c r="R140" s="67" t="s">
        <v>872</v>
      </c>
      <c r="S140" s="68">
        <f>10488.26</f>
        <v>10488.26</v>
      </c>
      <c r="T140" s="65">
        <f>23977</f>
        <v>23977</v>
      </c>
      <c r="U140" s="65" t="str">
        <f t="shared" si="4"/>
        <v>－</v>
      </c>
      <c r="V140" s="65">
        <f>250244360</f>
        <v>250244360</v>
      </c>
      <c r="W140" s="65" t="str">
        <f t="shared" si="5"/>
        <v>－</v>
      </c>
      <c r="X140" s="69">
        <f>23</f>
        <v>23</v>
      </c>
    </row>
    <row r="141" spans="1:24">
      <c r="A141" s="60" t="s">
        <v>871</v>
      </c>
      <c r="B141" s="60" t="s">
        <v>462</v>
      </c>
      <c r="C141" s="60" t="s">
        <v>463</v>
      </c>
      <c r="D141" s="60" t="s">
        <v>464</v>
      </c>
      <c r="E141" s="61" t="s">
        <v>46</v>
      </c>
      <c r="F141" s="62" t="s">
        <v>46</v>
      </c>
      <c r="G141" s="63" t="s">
        <v>46</v>
      </c>
      <c r="H141" s="64"/>
      <c r="I141" s="64" t="s">
        <v>47</v>
      </c>
      <c r="J141" s="65">
        <v>1</v>
      </c>
      <c r="K141" s="66">
        <f>21100</f>
        <v>21100</v>
      </c>
      <c r="L141" s="67" t="s">
        <v>853</v>
      </c>
      <c r="M141" s="66">
        <f>23780</f>
        <v>23780</v>
      </c>
      <c r="N141" s="67" t="s">
        <v>50</v>
      </c>
      <c r="O141" s="66">
        <f>21100</f>
        <v>21100</v>
      </c>
      <c r="P141" s="67" t="s">
        <v>853</v>
      </c>
      <c r="Q141" s="66">
        <f>23210</f>
        <v>23210</v>
      </c>
      <c r="R141" s="67" t="s">
        <v>872</v>
      </c>
      <c r="S141" s="68">
        <f>22611.3</f>
        <v>22611.3</v>
      </c>
      <c r="T141" s="65">
        <f>6311</f>
        <v>6311</v>
      </c>
      <c r="U141" s="65" t="str">
        <f t="shared" si="4"/>
        <v>－</v>
      </c>
      <c r="V141" s="65">
        <f>144092820</f>
        <v>144092820</v>
      </c>
      <c r="W141" s="65" t="str">
        <f t="shared" si="5"/>
        <v>－</v>
      </c>
      <c r="X141" s="69">
        <f>23</f>
        <v>23</v>
      </c>
    </row>
    <row r="142" spans="1:24">
      <c r="A142" s="60" t="s">
        <v>871</v>
      </c>
      <c r="B142" s="60" t="s">
        <v>465</v>
      </c>
      <c r="C142" s="60" t="s">
        <v>466</v>
      </c>
      <c r="D142" s="60" t="s">
        <v>467</v>
      </c>
      <c r="E142" s="61" t="s">
        <v>46</v>
      </c>
      <c r="F142" s="62" t="s">
        <v>46</v>
      </c>
      <c r="G142" s="63" t="s">
        <v>46</v>
      </c>
      <c r="H142" s="64"/>
      <c r="I142" s="64" t="s">
        <v>47</v>
      </c>
      <c r="J142" s="65">
        <v>1</v>
      </c>
      <c r="K142" s="66">
        <f>26040</f>
        <v>26040</v>
      </c>
      <c r="L142" s="67" t="s">
        <v>853</v>
      </c>
      <c r="M142" s="66">
        <f>28760</f>
        <v>28760</v>
      </c>
      <c r="N142" s="67" t="s">
        <v>872</v>
      </c>
      <c r="O142" s="66">
        <f>26040</f>
        <v>26040</v>
      </c>
      <c r="P142" s="67" t="s">
        <v>853</v>
      </c>
      <c r="Q142" s="66">
        <f>28180</f>
        <v>28180</v>
      </c>
      <c r="R142" s="67" t="s">
        <v>872</v>
      </c>
      <c r="S142" s="68">
        <f>27776.96</f>
        <v>27776.959999999999</v>
      </c>
      <c r="T142" s="65">
        <f>3143</f>
        <v>3143</v>
      </c>
      <c r="U142" s="65" t="str">
        <f t="shared" si="4"/>
        <v>－</v>
      </c>
      <c r="V142" s="65">
        <f>87448010</f>
        <v>87448010</v>
      </c>
      <c r="W142" s="65" t="str">
        <f t="shared" si="5"/>
        <v>－</v>
      </c>
      <c r="X142" s="69">
        <f>23</f>
        <v>23</v>
      </c>
    </row>
    <row r="143" spans="1:24">
      <c r="A143" s="60" t="s">
        <v>871</v>
      </c>
      <c r="B143" s="60" t="s">
        <v>468</v>
      </c>
      <c r="C143" s="60" t="s">
        <v>469</v>
      </c>
      <c r="D143" s="60" t="s">
        <v>470</v>
      </c>
      <c r="E143" s="61" t="s">
        <v>46</v>
      </c>
      <c r="F143" s="62" t="s">
        <v>46</v>
      </c>
      <c r="G143" s="63" t="s">
        <v>46</v>
      </c>
      <c r="H143" s="64"/>
      <c r="I143" s="64" t="s">
        <v>47</v>
      </c>
      <c r="J143" s="65">
        <v>1</v>
      </c>
      <c r="K143" s="66">
        <f>24010</f>
        <v>24010</v>
      </c>
      <c r="L143" s="67" t="s">
        <v>853</v>
      </c>
      <c r="M143" s="66">
        <f>25900</f>
        <v>25900</v>
      </c>
      <c r="N143" s="67" t="s">
        <v>100</v>
      </c>
      <c r="O143" s="66">
        <f>23450</f>
        <v>23450</v>
      </c>
      <c r="P143" s="67" t="s">
        <v>48</v>
      </c>
      <c r="Q143" s="66">
        <f>25060</f>
        <v>25060</v>
      </c>
      <c r="R143" s="67" t="s">
        <v>872</v>
      </c>
      <c r="S143" s="68">
        <f>24838.7</f>
        <v>24838.7</v>
      </c>
      <c r="T143" s="65">
        <f>6783</f>
        <v>6783</v>
      </c>
      <c r="U143" s="65" t="str">
        <f t="shared" si="4"/>
        <v>－</v>
      </c>
      <c r="V143" s="65">
        <f>169421600</f>
        <v>169421600</v>
      </c>
      <c r="W143" s="65" t="str">
        <f t="shared" si="5"/>
        <v>－</v>
      </c>
      <c r="X143" s="69">
        <f>23</f>
        <v>23</v>
      </c>
    </row>
    <row r="144" spans="1:24">
      <c r="A144" s="60" t="s">
        <v>871</v>
      </c>
      <c r="B144" s="60" t="s">
        <v>471</v>
      </c>
      <c r="C144" s="60" t="s">
        <v>472</v>
      </c>
      <c r="D144" s="60" t="s">
        <v>473</v>
      </c>
      <c r="E144" s="61" t="s">
        <v>46</v>
      </c>
      <c r="F144" s="62" t="s">
        <v>46</v>
      </c>
      <c r="G144" s="63" t="s">
        <v>46</v>
      </c>
      <c r="H144" s="64"/>
      <c r="I144" s="64" t="s">
        <v>47</v>
      </c>
      <c r="J144" s="65">
        <v>1</v>
      </c>
      <c r="K144" s="66">
        <f>20480</f>
        <v>20480</v>
      </c>
      <c r="L144" s="67" t="s">
        <v>853</v>
      </c>
      <c r="M144" s="66">
        <f>22760</f>
        <v>22760</v>
      </c>
      <c r="N144" s="67" t="s">
        <v>872</v>
      </c>
      <c r="O144" s="66">
        <f>20420</f>
        <v>20420</v>
      </c>
      <c r="P144" s="67" t="s">
        <v>857</v>
      </c>
      <c r="Q144" s="66">
        <f>22650</f>
        <v>22650</v>
      </c>
      <c r="R144" s="67" t="s">
        <v>872</v>
      </c>
      <c r="S144" s="68">
        <f>21624.78</f>
        <v>21624.78</v>
      </c>
      <c r="T144" s="65">
        <f>4816</f>
        <v>4816</v>
      </c>
      <c r="U144" s="65" t="str">
        <f t="shared" si="4"/>
        <v>－</v>
      </c>
      <c r="V144" s="65">
        <f>104370640</f>
        <v>104370640</v>
      </c>
      <c r="W144" s="65" t="str">
        <f t="shared" si="5"/>
        <v>－</v>
      </c>
      <c r="X144" s="69">
        <f>23</f>
        <v>23</v>
      </c>
    </row>
    <row r="145" spans="1:24">
      <c r="A145" s="60" t="s">
        <v>871</v>
      </c>
      <c r="B145" s="60" t="s">
        <v>474</v>
      </c>
      <c r="C145" s="60" t="s">
        <v>475</v>
      </c>
      <c r="D145" s="60" t="s">
        <v>476</v>
      </c>
      <c r="E145" s="61" t="s">
        <v>46</v>
      </c>
      <c r="F145" s="62" t="s">
        <v>46</v>
      </c>
      <c r="G145" s="63" t="s">
        <v>46</v>
      </c>
      <c r="H145" s="64"/>
      <c r="I145" s="64" t="s">
        <v>47</v>
      </c>
      <c r="J145" s="65">
        <v>1</v>
      </c>
      <c r="K145" s="66">
        <f>14730</f>
        <v>14730</v>
      </c>
      <c r="L145" s="67" t="s">
        <v>853</v>
      </c>
      <c r="M145" s="66">
        <f>16480</f>
        <v>16480</v>
      </c>
      <c r="N145" s="67" t="s">
        <v>132</v>
      </c>
      <c r="O145" s="66">
        <f>14570</f>
        <v>14570</v>
      </c>
      <c r="P145" s="67" t="s">
        <v>853</v>
      </c>
      <c r="Q145" s="66">
        <f>16210</f>
        <v>16210</v>
      </c>
      <c r="R145" s="67" t="s">
        <v>872</v>
      </c>
      <c r="S145" s="68">
        <f>15713.48</f>
        <v>15713.48</v>
      </c>
      <c r="T145" s="65">
        <f>12327</f>
        <v>12327</v>
      </c>
      <c r="U145" s="65" t="str">
        <f t="shared" si="4"/>
        <v>－</v>
      </c>
      <c r="V145" s="65">
        <f>192672830</f>
        <v>192672830</v>
      </c>
      <c r="W145" s="65" t="str">
        <f t="shared" si="5"/>
        <v>－</v>
      </c>
      <c r="X145" s="69">
        <f>23</f>
        <v>23</v>
      </c>
    </row>
    <row r="146" spans="1:24">
      <c r="A146" s="60" t="s">
        <v>871</v>
      </c>
      <c r="B146" s="60" t="s">
        <v>477</v>
      </c>
      <c r="C146" s="60" t="s">
        <v>478</v>
      </c>
      <c r="D146" s="60" t="s">
        <v>479</v>
      </c>
      <c r="E146" s="61" t="s">
        <v>46</v>
      </c>
      <c r="F146" s="62" t="s">
        <v>46</v>
      </c>
      <c r="G146" s="63" t="s">
        <v>46</v>
      </c>
      <c r="H146" s="64"/>
      <c r="I146" s="64" t="s">
        <v>47</v>
      </c>
      <c r="J146" s="65">
        <v>1</v>
      </c>
      <c r="K146" s="66">
        <f>39550</f>
        <v>39550</v>
      </c>
      <c r="L146" s="67" t="s">
        <v>853</v>
      </c>
      <c r="M146" s="66">
        <f>44250</f>
        <v>44250</v>
      </c>
      <c r="N146" s="67" t="s">
        <v>131</v>
      </c>
      <c r="O146" s="66">
        <f>39000</f>
        <v>39000</v>
      </c>
      <c r="P146" s="67" t="s">
        <v>48</v>
      </c>
      <c r="Q146" s="66">
        <f>41600</f>
        <v>41600</v>
      </c>
      <c r="R146" s="67" t="s">
        <v>872</v>
      </c>
      <c r="S146" s="68">
        <f>40660.87</f>
        <v>40660.870000000003</v>
      </c>
      <c r="T146" s="65">
        <f>2909</f>
        <v>2909</v>
      </c>
      <c r="U146" s="65" t="str">
        <f t="shared" si="4"/>
        <v>－</v>
      </c>
      <c r="V146" s="65">
        <f>117657900</f>
        <v>117657900</v>
      </c>
      <c r="W146" s="65" t="str">
        <f t="shared" si="5"/>
        <v>－</v>
      </c>
      <c r="X146" s="69">
        <f>23</f>
        <v>23</v>
      </c>
    </row>
    <row r="147" spans="1:24">
      <c r="A147" s="60" t="s">
        <v>871</v>
      </c>
      <c r="B147" s="60" t="s">
        <v>480</v>
      </c>
      <c r="C147" s="60" t="s">
        <v>481</v>
      </c>
      <c r="D147" s="60" t="s">
        <v>482</v>
      </c>
      <c r="E147" s="61" t="s">
        <v>46</v>
      </c>
      <c r="F147" s="62" t="s">
        <v>46</v>
      </c>
      <c r="G147" s="63" t="s">
        <v>46</v>
      </c>
      <c r="H147" s="64"/>
      <c r="I147" s="64" t="s">
        <v>47</v>
      </c>
      <c r="J147" s="65">
        <v>1</v>
      </c>
      <c r="K147" s="66">
        <f>27280</f>
        <v>27280</v>
      </c>
      <c r="L147" s="67" t="s">
        <v>853</v>
      </c>
      <c r="M147" s="66">
        <f>28270</f>
        <v>28270</v>
      </c>
      <c r="N147" s="67" t="s">
        <v>873</v>
      </c>
      <c r="O147" s="66">
        <f>26170</f>
        <v>26170</v>
      </c>
      <c r="P147" s="67" t="s">
        <v>875</v>
      </c>
      <c r="Q147" s="66">
        <f>27810</f>
        <v>27810</v>
      </c>
      <c r="R147" s="67" t="s">
        <v>872</v>
      </c>
      <c r="S147" s="68">
        <f>27370.43</f>
        <v>27370.43</v>
      </c>
      <c r="T147" s="65">
        <f>9070</f>
        <v>9070</v>
      </c>
      <c r="U147" s="65" t="str">
        <f t="shared" si="4"/>
        <v>－</v>
      </c>
      <c r="V147" s="65">
        <f>246566620</f>
        <v>246566620</v>
      </c>
      <c r="W147" s="65" t="str">
        <f t="shared" si="5"/>
        <v>－</v>
      </c>
      <c r="X147" s="69">
        <f>23</f>
        <v>23</v>
      </c>
    </row>
    <row r="148" spans="1:24">
      <c r="A148" s="60" t="s">
        <v>871</v>
      </c>
      <c r="B148" s="60" t="s">
        <v>483</v>
      </c>
      <c r="C148" s="60" t="s">
        <v>484</v>
      </c>
      <c r="D148" s="60" t="s">
        <v>485</v>
      </c>
      <c r="E148" s="61" t="s">
        <v>46</v>
      </c>
      <c r="F148" s="62" t="s">
        <v>46</v>
      </c>
      <c r="G148" s="63" t="s">
        <v>46</v>
      </c>
      <c r="H148" s="64"/>
      <c r="I148" s="64" t="s">
        <v>47</v>
      </c>
      <c r="J148" s="65">
        <v>1</v>
      </c>
      <c r="K148" s="66">
        <f>30800</f>
        <v>30800</v>
      </c>
      <c r="L148" s="67" t="s">
        <v>853</v>
      </c>
      <c r="M148" s="66">
        <f>31900</f>
        <v>31900</v>
      </c>
      <c r="N148" s="67" t="s">
        <v>100</v>
      </c>
      <c r="O148" s="66">
        <f>29460</f>
        <v>29460</v>
      </c>
      <c r="P148" s="67" t="s">
        <v>84</v>
      </c>
      <c r="Q148" s="66">
        <f>30850</f>
        <v>30850</v>
      </c>
      <c r="R148" s="67" t="s">
        <v>872</v>
      </c>
      <c r="S148" s="68">
        <f>30759.13</f>
        <v>30759.13</v>
      </c>
      <c r="T148" s="65">
        <f>4785</f>
        <v>4785</v>
      </c>
      <c r="U148" s="65" t="str">
        <f t="shared" si="4"/>
        <v>－</v>
      </c>
      <c r="V148" s="65">
        <f>147067220</f>
        <v>147067220</v>
      </c>
      <c r="W148" s="65" t="str">
        <f t="shared" si="5"/>
        <v>－</v>
      </c>
      <c r="X148" s="69">
        <f>23</f>
        <v>23</v>
      </c>
    </row>
    <row r="149" spans="1:24">
      <c r="A149" s="60" t="s">
        <v>871</v>
      </c>
      <c r="B149" s="60" t="s">
        <v>486</v>
      </c>
      <c r="C149" s="60" t="s">
        <v>487</v>
      </c>
      <c r="D149" s="60" t="s">
        <v>488</v>
      </c>
      <c r="E149" s="61" t="s">
        <v>46</v>
      </c>
      <c r="F149" s="62" t="s">
        <v>46</v>
      </c>
      <c r="G149" s="63" t="s">
        <v>46</v>
      </c>
      <c r="H149" s="64"/>
      <c r="I149" s="64" t="s">
        <v>47</v>
      </c>
      <c r="J149" s="65">
        <v>1</v>
      </c>
      <c r="K149" s="66">
        <f>6190</f>
        <v>6190</v>
      </c>
      <c r="L149" s="67" t="s">
        <v>853</v>
      </c>
      <c r="M149" s="66">
        <f>7110</f>
        <v>7110</v>
      </c>
      <c r="N149" s="67" t="s">
        <v>50</v>
      </c>
      <c r="O149" s="66">
        <f>6150</f>
        <v>6150</v>
      </c>
      <c r="P149" s="67" t="s">
        <v>48</v>
      </c>
      <c r="Q149" s="66">
        <f>6920</f>
        <v>6920</v>
      </c>
      <c r="R149" s="67" t="s">
        <v>872</v>
      </c>
      <c r="S149" s="68">
        <f>6700.87</f>
        <v>6700.87</v>
      </c>
      <c r="T149" s="65">
        <f>24589</f>
        <v>24589</v>
      </c>
      <c r="U149" s="65" t="str">
        <f t="shared" si="4"/>
        <v>－</v>
      </c>
      <c r="V149" s="65">
        <f>164600570</f>
        <v>164600570</v>
      </c>
      <c r="W149" s="65" t="str">
        <f t="shared" si="5"/>
        <v>－</v>
      </c>
      <c r="X149" s="69">
        <f>23</f>
        <v>23</v>
      </c>
    </row>
    <row r="150" spans="1:24">
      <c r="A150" s="60" t="s">
        <v>871</v>
      </c>
      <c r="B150" s="60" t="s">
        <v>489</v>
      </c>
      <c r="C150" s="60" t="s">
        <v>490</v>
      </c>
      <c r="D150" s="60" t="s">
        <v>491</v>
      </c>
      <c r="E150" s="61" t="s">
        <v>46</v>
      </c>
      <c r="F150" s="62" t="s">
        <v>46</v>
      </c>
      <c r="G150" s="63" t="s">
        <v>46</v>
      </c>
      <c r="H150" s="64"/>
      <c r="I150" s="64" t="s">
        <v>47</v>
      </c>
      <c r="J150" s="65">
        <v>1</v>
      </c>
      <c r="K150" s="66">
        <f>15490</f>
        <v>15490</v>
      </c>
      <c r="L150" s="67" t="s">
        <v>853</v>
      </c>
      <c r="M150" s="66">
        <f>16450</f>
        <v>16450</v>
      </c>
      <c r="N150" s="67" t="s">
        <v>132</v>
      </c>
      <c r="O150" s="66">
        <f>15030</f>
        <v>15030</v>
      </c>
      <c r="P150" s="67" t="s">
        <v>857</v>
      </c>
      <c r="Q150" s="66">
        <f>15300</f>
        <v>15300</v>
      </c>
      <c r="R150" s="67" t="s">
        <v>872</v>
      </c>
      <c r="S150" s="68">
        <f>15632.17</f>
        <v>15632.17</v>
      </c>
      <c r="T150" s="65">
        <f>47169</f>
        <v>47169</v>
      </c>
      <c r="U150" s="65">
        <f>1</f>
        <v>1</v>
      </c>
      <c r="V150" s="65">
        <f>738178405</f>
        <v>738178405</v>
      </c>
      <c r="W150" s="65">
        <f>15605</f>
        <v>15605</v>
      </c>
      <c r="X150" s="69">
        <f>23</f>
        <v>23</v>
      </c>
    </row>
    <row r="151" spans="1:24">
      <c r="A151" s="60" t="s">
        <v>871</v>
      </c>
      <c r="B151" s="60" t="s">
        <v>492</v>
      </c>
      <c r="C151" s="60" t="s">
        <v>493</v>
      </c>
      <c r="D151" s="60" t="s">
        <v>494</v>
      </c>
      <c r="E151" s="61" t="s">
        <v>46</v>
      </c>
      <c r="F151" s="62" t="s">
        <v>46</v>
      </c>
      <c r="G151" s="63" t="s">
        <v>46</v>
      </c>
      <c r="H151" s="64"/>
      <c r="I151" s="64" t="s">
        <v>47</v>
      </c>
      <c r="J151" s="65">
        <v>1</v>
      </c>
      <c r="K151" s="66">
        <f>37300</f>
        <v>37300</v>
      </c>
      <c r="L151" s="67" t="s">
        <v>853</v>
      </c>
      <c r="M151" s="66">
        <f>40900</f>
        <v>40900</v>
      </c>
      <c r="N151" s="67" t="s">
        <v>50</v>
      </c>
      <c r="O151" s="66">
        <f>37300</f>
        <v>37300</v>
      </c>
      <c r="P151" s="67" t="s">
        <v>853</v>
      </c>
      <c r="Q151" s="66">
        <f>40000</f>
        <v>40000</v>
      </c>
      <c r="R151" s="67" t="s">
        <v>872</v>
      </c>
      <c r="S151" s="68">
        <f>39369.57</f>
        <v>39369.57</v>
      </c>
      <c r="T151" s="65">
        <f>7054</f>
        <v>7054</v>
      </c>
      <c r="U151" s="65" t="str">
        <f>"－"</f>
        <v>－</v>
      </c>
      <c r="V151" s="65">
        <f>278876700</f>
        <v>278876700</v>
      </c>
      <c r="W151" s="65" t="str">
        <f>"－"</f>
        <v>－</v>
      </c>
      <c r="X151" s="69">
        <f>23</f>
        <v>23</v>
      </c>
    </row>
    <row r="152" spans="1:24">
      <c r="A152" s="60" t="s">
        <v>871</v>
      </c>
      <c r="B152" s="60" t="s">
        <v>495</v>
      </c>
      <c r="C152" s="60" t="s">
        <v>496</v>
      </c>
      <c r="D152" s="60" t="s">
        <v>497</v>
      </c>
      <c r="E152" s="61" t="s">
        <v>46</v>
      </c>
      <c r="F152" s="62" t="s">
        <v>46</v>
      </c>
      <c r="G152" s="63" t="s">
        <v>46</v>
      </c>
      <c r="H152" s="64"/>
      <c r="I152" s="64" t="s">
        <v>47</v>
      </c>
      <c r="J152" s="65">
        <v>1</v>
      </c>
      <c r="K152" s="66">
        <f>23730</f>
        <v>23730</v>
      </c>
      <c r="L152" s="67" t="s">
        <v>853</v>
      </c>
      <c r="M152" s="66">
        <f>25190</f>
        <v>25190</v>
      </c>
      <c r="N152" s="67" t="s">
        <v>132</v>
      </c>
      <c r="O152" s="66">
        <f>23310</f>
        <v>23310</v>
      </c>
      <c r="P152" s="67" t="s">
        <v>131</v>
      </c>
      <c r="Q152" s="66">
        <f>24500</f>
        <v>24500</v>
      </c>
      <c r="R152" s="67" t="s">
        <v>872</v>
      </c>
      <c r="S152" s="68">
        <f>24208.18</f>
        <v>24208.18</v>
      </c>
      <c r="T152" s="65">
        <f>404</f>
        <v>404</v>
      </c>
      <c r="U152" s="65" t="str">
        <f>"－"</f>
        <v>－</v>
      </c>
      <c r="V152" s="65">
        <f>9750740</f>
        <v>9750740</v>
      </c>
      <c r="W152" s="65" t="str">
        <f>"－"</f>
        <v>－</v>
      </c>
      <c r="X152" s="69">
        <f>22</f>
        <v>22</v>
      </c>
    </row>
    <row r="153" spans="1:24">
      <c r="A153" s="60" t="s">
        <v>871</v>
      </c>
      <c r="B153" s="60" t="s">
        <v>498</v>
      </c>
      <c r="C153" s="60" t="s">
        <v>499</v>
      </c>
      <c r="D153" s="60" t="s">
        <v>500</v>
      </c>
      <c r="E153" s="61" t="s">
        <v>46</v>
      </c>
      <c r="F153" s="62" t="s">
        <v>46</v>
      </c>
      <c r="G153" s="63" t="s">
        <v>46</v>
      </c>
      <c r="H153" s="64"/>
      <c r="I153" s="64" t="s">
        <v>47</v>
      </c>
      <c r="J153" s="65">
        <v>1</v>
      </c>
      <c r="K153" s="66">
        <f>7450</f>
        <v>7450</v>
      </c>
      <c r="L153" s="67" t="s">
        <v>853</v>
      </c>
      <c r="M153" s="66">
        <f>8870</f>
        <v>8870</v>
      </c>
      <c r="N153" s="67" t="s">
        <v>132</v>
      </c>
      <c r="O153" s="66">
        <f>7450</f>
        <v>7450</v>
      </c>
      <c r="P153" s="67" t="s">
        <v>853</v>
      </c>
      <c r="Q153" s="66">
        <f>8200</f>
        <v>8200</v>
      </c>
      <c r="R153" s="67" t="s">
        <v>872</v>
      </c>
      <c r="S153" s="68">
        <f>8089.13</f>
        <v>8089.13</v>
      </c>
      <c r="T153" s="65">
        <f>102495</f>
        <v>102495</v>
      </c>
      <c r="U153" s="65">
        <f>14</f>
        <v>14</v>
      </c>
      <c r="V153" s="65">
        <f>846412560</f>
        <v>846412560</v>
      </c>
      <c r="W153" s="65">
        <f>121520</f>
        <v>121520</v>
      </c>
      <c r="X153" s="69">
        <f>23</f>
        <v>23</v>
      </c>
    </row>
    <row r="154" spans="1:24">
      <c r="A154" s="60" t="s">
        <v>871</v>
      </c>
      <c r="B154" s="60" t="s">
        <v>501</v>
      </c>
      <c r="C154" s="60" t="s">
        <v>502</v>
      </c>
      <c r="D154" s="60" t="s">
        <v>503</v>
      </c>
      <c r="E154" s="61" t="s">
        <v>46</v>
      </c>
      <c r="F154" s="62" t="s">
        <v>46</v>
      </c>
      <c r="G154" s="63" t="s">
        <v>46</v>
      </c>
      <c r="H154" s="64"/>
      <c r="I154" s="64" t="s">
        <v>47</v>
      </c>
      <c r="J154" s="65">
        <v>1</v>
      </c>
      <c r="K154" s="66">
        <f>12650</f>
        <v>12650</v>
      </c>
      <c r="L154" s="67" t="s">
        <v>853</v>
      </c>
      <c r="M154" s="66">
        <f>13910</f>
        <v>13910</v>
      </c>
      <c r="N154" s="67" t="s">
        <v>613</v>
      </c>
      <c r="O154" s="66">
        <f>12560</f>
        <v>12560</v>
      </c>
      <c r="P154" s="67" t="s">
        <v>853</v>
      </c>
      <c r="Q154" s="66">
        <f>13240</f>
        <v>13240</v>
      </c>
      <c r="R154" s="67" t="s">
        <v>872</v>
      </c>
      <c r="S154" s="68">
        <f>13247.83</f>
        <v>13247.83</v>
      </c>
      <c r="T154" s="65">
        <f>8016</f>
        <v>8016</v>
      </c>
      <c r="U154" s="65" t="str">
        <f>"－"</f>
        <v>－</v>
      </c>
      <c r="V154" s="65">
        <f>107444130</f>
        <v>107444130</v>
      </c>
      <c r="W154" s="65" t="str">
        <f>"－"</f>
        <v>－</v>
      </c>
      <c r="X154" s="69">
        <f>23</f>
        <v>23</v>
      </c>
    </row>
    <row r="155" spans="1:24">
      <c r="A155" s="60" t="s">
        <v>871</v>
      </c>
      <c r="B155" s="60" t="s">
        <v>504</v>
      </c>
      <c r="C155" s="60" t="s">
        <v>505</v>
      </c>
      <c r="D155" s="60" t="s">
        <v>506</v>
      </c>
      <c r="E155" s="61" t="s">
        <v>46</v>
      </c>
      <c r="F155" s="62" t="s">
        <v>46</v>
      </c>
      <c r="G155" s="63" t="s">
        <v>46</v>
      </c>
      <c r="H155" s="64"/>
      <c r="I155" s="64" t="s">
        <v>47</v>
      </c>
      <c r="J155" s="65">
        <v>1</v>
      </c>
      <c r="K155" s="66">
        <f>28880</f>
        <v>28880</v>
      </c>
      <c r="L155" s="67" t="s">
        <v>853</v>
      </c>
      <c r="M155" s="66">
        <f>31700</f>
        <v>31700</v>
      </c>
      <c r="N155" s="67" t="s">
        <v>132</v>
      </c>
      <c r="O155" s="66">
        <f>28670</f>
        <v>28670</v>
      </c>
      <c r="P155" s="67" t="s">
        <v>853</v>
      </c>
      <c r="Q155" s="66">
        <f>30400</f>
        <v>30400</v>
      </c>
      <c r="R155" s="67" t="s">
        <v>872</v>
      </c>
      <c r="S155" s="68">
        <f>29945.65</f>
        <v>29945.65</v>
      </c>
      <c r="T155" s="65">
        <f>2168</f>
        <v>2168</v>
      </c>
      <c r="U155" s="65" t="str">
        <f>"－"</f>
        <v>－</v>
      </c>
      <c r="V155" s="65">
        <f>65715910</f>
        <v>65715910</v>
      </c>
      <c r="W155" s="65" t="str">
        <f>"－"</f>
        <v>－</v>
      </c>
      <c r="X155" s="69">
        <f>23</f>
        <v>23</v>
      </c>
    </row>
    <row r="156" spans="1:24">
      <c r="A156" s="60" t="s">
        <v>871</v>
      </c>
      <c r="B156" s="60" t="s">
        <v>507</v>
      </c>
      <c r="C156" s="60" t="s">
        <v>508</v>
      </c>
      <c r="D156" s="60" t="s">
        <v>509</v>
      </c>
      <c r="E156" s="61" t="s">
        <v>46</v>
      </c>
      <c r="F156" s="62" t="s">
        <v>46</v>
      </c>
      <c r="G156" s="63" t="s">
        <v>46</v>
      </c>
      <c r="H156" s="64"/>
      <c r="I156" s="64" t="s">
        <v>47</v>
      </c>
      <c r="J156" s="65">
        <v>10</v>
      </c>
      <c r="K156" s="66">
        <f>1010</f>
        <v>1010</v>
      </c>
      <c r="L156" s="67" t="s">
        <v>853</v>
      </c>
      <c r="M156" s="66">
        <f>1125</f>
        <v>1125</v>
      </c>
      <c r="N156" s="67" t="s">
        <v>874</v>
      </c>
      <c r="O156" s="66">
        <f>1002</f>
        <v>1002</v>
      </c>
      <c r="P156" s="67" t="s">
        <v>857</v>
      </c>
      <c r="Q156" s="66">
        <f>1092</f>
        <v>1092</v>
      </c>
      <c r="R156" s="67" t="s">
        <v>872</v>
      </c>
      <c r="S156" s="68">
        <f>1064.91</f>
        <v>1064.9100000000001</v>
      </c>
      <c r="T156" s="65">
        <f>419430</f>
        <v>419430</v>
      </c>
      <c r="U156" s="65">
        <f>93010</f>
        <v>93010</v>
      </c>
      <c r="V156" s="65">
        <f>451722050</f>
        <v>451722050</v>
      </c>
      <c r="W156" s="65">
        <f>100544010</f>
        <v>100544010</v>
      </c>
      <c r="X156" s="69">
        <f>23</f>
        <v>23</v>
      </c>
    </row>
    <row r="157" spans="1:24">
      <c r="A157" s="60" t="s">
        <v>871</v>
      </c>
      <c r="B157" s="60" t="s">
        <v>510</v>
      </c>
      <c r="C157" s="60" t="s">
        <v>511</v>
      </c>
      <c r="D157" s="60" t="s">
        <v>512</v>
      </c>
      <c r="E157" s="61" t="s">
        <v>46</v>
      </c>
      <c r="F157" s="62" t="s">
        <v>46</v>
      </c>
      <c r="G157" s="63" t="s">
        <v>46</v>
      </c>
      <c r="H157" s="64"/>
      <c r="I157" s="64" t="s">
        <v>47</v>
      </c>
      <c r="J157" s="65">
        <v>10</v>
      </c>
      <c r="K157" s="66">
        <f>2339</f>
        <v>2339</v>
      </c>
      <c r="L157" s="67" t="s">
        <v>853</v>
      </c>
      <c r="M157" s="66">
        <f>2444</f>
        <v>2444</v>
      </c>
      <c r="N157" s="67" t="s">
        <v>100</v>
      </c>
      <c r="O157" s="66">
        <f>2307</f>
        <v>2307</v>
      </c>
      <c r="P157" s="67" t="s">
        <v>48</v>
      </c>
      <c r="Q157" s="66">
        <f>2425</f>
        <v>2425</v>
      </c>
      <c r="R157" s="67" t="s">
        <v>872</v>
      </c>
      <c r="S157" s="68">
        <f>2377.55</f>
        <v>2377.5500000000002</v>
      </c>
      <c r="T157" s="65">
        <f>4050</f>
        <v>4050</v>
      </c>
      <c r="U157" s="65" t="str">
        <f>"－"</f>
        <v>－</v>
      </c>
      <c r="V157" s="65">
        <f>9784580</f>
        <v>9784580</v>
      </c>
      <c r="W157" s="65" t="str">
        <f>"－"</f>
        <v>－</v>
      </c>
      <c r="X157" s="69">
        <f>11</f>
        <v>11</v>
      </c>
    </row>
    <row r="158" spans="1:24">
      <c r="A158" s="60" t="s">
        <v>871</v>
      </c>
      <c r="B158" s="60" t="s">
        <v>513</v>
      </c>
      <c r="C158" s="60" t="s">
        <v>514</v>
      </c>
      <c r="D158" s="60" t="s">
        <v>515</v>
      </c>
      <c r="E158" s="61" t="s">
        <v>46</v>
      </c>
      <c r="F158" s="62" t="s">
        <v>46</v>
      </c>
      <c r="G158" s="63" t="s">
        <v>46</v>
      </c>
      <c r="H158" s="64"/>
      <c r="I158" s="64" t="s">
        <v>47</v>
      </c>
      <c r="J158" s="65">
        <v>10</v>
      </c>
      <c r="K158" s="66">
        <f>2403</f>
        <v>2403</v>
      </c>
      <c r="L158" s="67" t="s">
        <v>853</v>
      </c>
      <c r="M158" s="66">
        <f>2530</f>
        <v>2530</v>
      </c>
      <c r="N158" s="67" t="s">
        <v>100</v>
      </c>
      <c r="O158" s="66">
        <f>2344</f>
        <v>2344</v>
      </c>
      <c r="P158" s="67" t="s">
        <v>84</v>
      </c>
      <c r="Q158" s="66">
        <f>2493</f>
        <v>2493</v>
      </c>
      <c r="R158" s="67" t="s">
        <v>872</v>
      </c>
      <c r="S158" s="68">
        <f>2447.04</f>
        <v>2447.04</v>
      </c>
      <c r="T158" s="65">
        <f>52060</f>
        <v>52060</v>
      </c>
      <c r="U158" s="65" t="str">
        <f>"－"</f>
        <v>－</v>
      </c>
      <c r="V158" s="65">
        <f>126695310</f>
        <v>126695310</v>
      </c>
      <c r="W158" s="65" t="str">
        <f>"－"</f>
        <v>－</v>
      </c>
      <c r="X158" s="69">
        <f>23</f>
        <v>23</v>
      </c>
    </row>
    <row r="159" spans="1:24">
      <c r="A159" s="60" t="s">
        <v>871</v>
      </c>
      <c r="B159" s="60" t="s">
        <v>516</v>
      </c>
      <c r="C159" s="60" t="s">
        <v>517</v>
      </c>
      <c r="D159" s="60" t="s">
        <v>518</v>
      </c>
      <c r="E159" s="61" t="s">
        <v>46</v>
      </c>
      <c r="F159" s="62" t="s">
        <v>46</v>
      </c>
      <c r="G159" s="63" t="s">
        <v>46</v>
      </c>
      <c r="H159" s="64"/>
      <c r="I159" s="64" t="s">
        <v>47</v>
      </c>
      <c r="J159" s="65">
        <v>10</v>
      </c>
      <c r="K159" s="66">
        <f>1444</f>
        <v>1444</v>
      </c>
      <c r="L159" s="67" t="s">
        <v>853</v>
      </c>
      <c r="M159" s="66">
        <f>1529</f>
        <v>1529</v>
      </c>
      <c r="N159" s="67" t="s">
        <v>613</v>
      </c>
      <c r="O159" s="66">
        <f>1414</f>
        <v>1414</v>
      </c>
      <c r="P159" s="67" t="s">
        <v>84</v>
      </c>
      <c r="Q159" s="66">
        <f>1516</f>
        <v>1516</v>
      </c>
      <c r="R159" s="67" t="s">
        <v>873</v>
      </c>
      <c r="S159" s="68">
        <f>1479.95</f>
        <v>1479.95</v>
      </c>
      <c r="T159" s="65">
        <f>2740</f>
        <v>2740</v>
      </c>
      <c r="U159" s="65" t="str">
        <f>"－"</f>
        <v>－</v>
      </c>
      <c r="V159" s="65">
        <f>4012750</f>
        <v>4012750</v>
      </c>
      <c r="W159" s="65" t="str">
        <f>"－"</f>
        <v>－</v>
      </c>
      <c r="X159" s="69">
        <f>20</f>
        <v>20</v>
      </c>
    </row>
    <row r="160" spans="1:24">
      <c r="A160" s="60" t="s">
        <v>871</v>
      </c>
      <c r="B160" s="60" t="s">
        <v>519</v>
      </c>
      <c r="C160" s="60" t="s">
        <v>520</v>
      </c>
      <c r="D160" s="60" t="s">
        <v>521</v>
      </c>
      <c r="E160" s="61" t="s">
        <v>46</v>
      </c>
      <c r="F160" s="62" t="s">
        <v>46</v>
      </c>
      <c r="G160" s="63" t="s">
        <v>46</v>
      </c>
      <c r="H160" s="64"/>
      <c r="I160" s="64" t="s">
        <v>47</v>
      </c>
      <c r="J160" s="65">
        <v>1</v>
      </c>
      <c r="K160" s="66">
        <f>2922</f>
        <v>2922</v>
      </c>
      <c r="L160" s="67" t="s">
        <v>853</v>
      </c>
      <c r="M160" s="66">
        <f>3145</f>
        <v>3145</v>
      </c>
      <c r="N160" s="67" t="s">
        <v>872</v>
      </c>
      <c r="O160" s="66">
        <f>2879</f>
        <v>2879</v>
      </c>
      <c r="P160" s="67" t="s">
        <v>84</v>
      </c>
      <c r="Q160" s="66">
        <f>3140</f>
        <v>3140</v>
      </c>
      <c r="R160" s="67" t="s">
        <v>872</v>
      </c>
      <c r="S160" s="68">
        <f>3036.13</f>
        <v>3036.13</v>
      </c>
      <c r="T160" s="65">
        <f>2368799</f>
        <v>2368799</v>
      </c>
      <c r="U160" s="65">
        <f>22</f>
        <v>22</v>
      </c>
      <c r="V160" s="65">
        <f>7139140711</f>
        <v>7139140711</v>
      </c>
      <c r="W160" s="65">
        <f>67040</f>
        <v>67040</v>
      </c>
      <c r="X160" s="69">
        <f>23</f>
        <v>23</v>
      </c>
    </row>
    <row r="161" spans="1:24">
      <c r="A161" s="60" t="s">
        <v>871</v>
      </c>
      <c r="B161" s="60" t="s">
        <v>522</v>
      </c>
      <c r="C161" s="60" t="s">
        <v>523</v>
      </c>
      <c r="D161" s="60" t="s">
        <v>524</v>
      </c>
      <c r="E161" s="61" t="s">
        <v>46</v>
      </c>
      <c r="F161" s="62" t="s">
        <v>46</v>
      </c>
      <c r="G161" s="63" t="s">
        <v>46</v>
      </c>
      <c r="H161" s="64"/>
      <c r="I161" s="64" t="s">
        <v>47</v>
      </c>
      <c r="J161" s="65">
        <v>1</v>
      </c>
      <c r="K161" s="66">
        <f>2549</f>
        <v>2549</v>
      </c>
      <c r="L161" s="67" t="s">
        <v>853</v>
      </c>
      <c r="M161" s="66">
        <f>2594</f>
        <v>2594</v>
      </c>
      <c r="N161" s="67" t="s">
        <v>872</v>
      </c>
      <c r="O161" s="66">
        <f>2546</f>
        <v>2546</v>
      </c>
      <c r="P161" s="67" t="s">
        <v>48</v>
      </c>
      <c r="Q161" s="66">
        <f>2594</f>
        <v>2594</v>
      </c>
      <c r="R161" s="67" t="s">
        <v>872</v>
      </c>
      <c r="S161" s="68">
        <f>2567.74</f>
        <v>2567.7399999999998</v>
      </c>
      <c r="T161" s="65">
        <f>515730</f>
        <v>515730</v>
      </c>
      <c r="U161" s="65">
        <f>9</f>
        <v>9</v>
      </c>
      <c r="V161" s="65">
        <f>1323372797</f>
        <v>1323372797</v>
      </c>
      <c r="W161" s="65">
        <f>23122</f>
        <v>23122</v>
      </c>
      <c r="X161" s="69">
        <f>23</f>
        <v>23</v>
      </c>
    </row>
    <row r="162" spans="1:24">
      <c r="A162" s="60" t="s">
        <v>871</v>
      </c>
      <c r="B162" s="60" t="s">
        <v>525</v>
      </c>
      <c r="C162" s="60" t="s">
        <v>526</v>
      </c>
      <c r="D162" s="60" t="s">
        <v>527</v>
      </c>
      <c r="E162" s="61" t="s">
        <v>46</v>
      </c>
      <c r="F162" s="62" t="s">
        <v>46</v>
      </c>
      <c r="G162" s="63" t="s">
        <v>46</v>
      </c>
      <c r="H162" s="64"/>
      <c r="I162" s="64" t="s">
        <v>47</v>
      </c>
      <c r="J162" s="65">
        <v>1</v>
      </c>
      <c r="K162" s="66">
        <f>2627</f>
        <v>2627</v>
      </c>
      <c r="L162" s="67" t="s">
        <v>853</v>
      </c>
      <c r="M162" s="66">
        <f>2820</f>
        <v>2820</v>
      </c>
      <c r="N162" s="67" t="s">
        <v>872</v>
      </c>
      <c r="O162" s="66">
        <f>2600</f>
        <v>2600</v>
      </c>
      <c r="P162" s="67" t="s">
        <v>96</v>
      </c>
      <c r="Q162" s="66">
        <f>2817</f>
        <v>2817</v>
      </c>
      <c r="R162" s="67" t="s">
        <v>872</v>
      </c>
      <c r="S162" s="68">
        <f>2727.13</f>
        <v>2727.13</v>
      </c>
      <c r="T162" s="65">
        <f>288269</f>
        <v>288269</v>
      </c>
      <c r="U162" s="65">
        <f>218011</f>
        <v>218011</v>
      </c>
      <c r="V162" s="65">
        <f>792177433</f>
        <v>792177433</v>
      </c>
      <c r="W162" s="65">
        <f>600738115</f>
        <v>600738115</v>
      </c>
      <c r="X162" s="69">
        <f>23</f>
        <v>23</v>
      </c>
    </row>
    <row r="163" spans="1:24">
      <c r="A163" s="60" t="s">
        <v>871</v>
      </c>
      <c r="B163" s="60" t="s">
        <v>528</v>
      </c>
      <c r="C163" s="60" t="s">
        <v>529</v>
      </c>
      <c r="D163" s="60" t="s">
        <v>530</v>
      </c>
      <c r="E163" s="61" t="s">
        <v>46</v>
      </c>
      <c r="F163" s="62" t="s">
        <v>46</v>
      </c>
      <c r="G163" s="63" t="s">
        <v>46</v>
      </c>
      <c r="H163" s="64"/>
      <c r="I163" s="64" t="s">
        <v>47</v>
      </c>
      <c r="J163" s="65">
        <v>1</v>
      </c>
      <c r="K163" s="66">
        <f>2321</f>
        <v>2321</v>
      </c>
      <c r="L163" s="67" t="s">
        <v>853</v>
      </c>
      <c r="M163" s="66">
        <f>2414</f>
        <v>2414</v>
      </c>
      <c r="N163" s="67" t="s">
        <v>131</v>
      </c>
      <c r="O163" s="66">
        <f>2268</f>
        <v>2268</v>
      </c>
      <c r="P163" s="67" t="s">
        <v>176</v>
      </c>
      <c r="Q163" s="66">
        <f>2357</f>
        <v>2357</v>
      </c>
      <c r="R163" s="67" t="s">
        <v>872</v>
      </c>
      <c r="S163" s="68">
        <f>2345.39</f>
        <v>2345.39</v>
      </c>
      <c r="T163" s="65">
        <f>165954</f>
        <v>165954</v>
      </c>
      <c r="U163" s="65" t="str">
        <f>"－"</f>
        <v>－</v>
      </c>
      <c r="V163" s="65">
        <f>389462143</f>
        <v>389462143</v>
      </c>
      <c r="W163" s="65" t="str">
        <f>"－"</f>
        <v>－</v>
      </c>
      <c r="X163" s="69">
        <f>23</f>
        <v>23</v>
      </c>
    </row>
    <row r="164" spans="1:24">
      <c r="A164" s="60" t="s">
        <v>871</v>
      </c>
      <c r="B164" s="60" t="s">
        <v>531</v>
      </c>
      <c r="C164" s="60" t="s">
        <v>532</v>
      </c>
      <c r="D164" s="60" t="s">
        <v>533</v>
      </c>
      <c r="E164" s="61" t="s">
        <v>46</v>
      </c>
      <c r="F164" s="62" t="s">
        <v>46</v>
      </c>
      <c r="G164" s="63" t="s">
        <v>46</v>
      </c>
      <c r="H164" s="64"/>
      <c r="I164" s="64" t="s">
        <v>47</v>
      </c>
      <c r="J164" s="65">
        <v>1</v>
      </c>
      <c r="K164" s="66">
        <f>1991</f>
        <v>1991</v>
      </c>
      <c r="L164" s="67" t="s">
        <v>853</v>
      </c>
      <c r="M164" s="66">
        <f>2200</f>
        <v>2200</v>
      </c>
      <c r="N164" s="67" t="s">
        <v>872</v>
      </c>
      <c r="O164" s="66">
        <f>1990</f>
        <v>1990</v>
      </c>
      <c r="P164" s="67" t="s">
        <v>853</v>
      </c>
      <c r="Q164" s="66">
        <f>2200</f>
        <v>2200</v>
      </c>
      <c r="R164" s="67" t="s">
        <v>872</v>
      </c>
      <c r="S164" s="68">
        <f>2104.65</f>
        <v>2104.65</v>
      </c>
      <c r="T164" s="65">
        <f>548317</f>
        <v>548317</v>
      </c>
      <c r="U164" s="65" t="str">
        <f>"－"</f>
        <v>－</v>
      </c>
      <c r="V164" s="65">
        <f>1152734082</f>
        <v>1152734082</v>
      </c>
      <c r="W164" s="65" t="str">
        <f>"－"</f>
        <v>－</v>
      </c>
      <c r="X164" s="69">
        <f>23</f>
        <v>23</v>
      </c>
    </row>
    <row r="165" spans="1:24">
      <c r="A165" s="60" t="s">
        <v>871</v>
      </c>
      <c r="B165" s="60" t="s">
        <v>534</v>
      </c>
      <c r="C165" s="60" t="s">
        <v>535</v>
      </c>
      <c r="D165" s="60" t="s">
        <v>536</v>
      </c>
      <c r="E165" s="61" t="s">
        <v>46</v>
      </c>
      <c r="F165" s="62" t="s">
        <v>46</v>
      </c>
      <c r="G165" s="63" t="s">
        <v>46</v>
      </c>
      <c r="H165" s="64"/>
      <c r="I165" s="64" t="s">
        <v>47</v>
      </c>
      <c r="J165" s="65">
        <v>1</v>
      </c>
      <c r="K165" s="66">
        <f>10910</f>
        <v>10910</v>
      </c>
      <c r="L165" s="67" t="s">
        <v>853</v>
      </c>
      <c r="M165" s="66">
        <f>11770</f>
        <v>11770</v>
      </c>
      <c r="N165" s="67" t="s">
        <v>872</v>
      </c>
      <c r="O165" s="66">
        <f>10870</f>
        <v>10870</v>
      </c>
      <c r="P165" s="67" t="s">
        <v>84</v>
      </c>
      <c r="Q165" s="66">
        <f>11720</f>
        <v>11720</v>
      </c>
      <c r="R165" s="67" t="s">
        <v>872</v>
      </c>
      <c r="S165" s="68">
        <f>11279.57</f>
        <v>11279.57</v>
      </c>
      <c r="T165" s="65">
        <f>34685</f>
        <v>34685</v>
      </c>
      <c r="U165" s="65" t="str">
        <f>"－"</f>
        <v>－</v>
      </c>
      <c r="V165" s="65">
        <f>393145610</f>
        <v>393145610</v>
      </c>
      <c r="W165" s="65" t="str">
        <f>"－"</f>
        <v>－</v>
      </c>
      <c r="X165" s="69">
        <f>23</f>
        <v>23</v>
      </c>
    </row>
    <row r="166" spans="1:24">
      <c r="A166" s="60" t="s">
        <v>871</v>
      </c>
      <c r="B166" s="60" t="s">
        <v>537</v>
      </c>
      <c r="C166" s="60" t="s">
        <v>538</v>
      </c>
      <c r="D166" s="60" t="s">
        <v>539</v>
      </c>
      <c r="E166" s="61" t="s">
        <v>46</v>
      </c>
      <c r="F166" s="62" t="s">
        <v>46</v>
      </c>
      <c r="G166" s="63" t="s">
        <v>46</v>
      </c>
      <c r="H166" s="64" t="s">
        <v>878</v>
      </c>
      <c r="I166" s="64"/>
      <c r="J166" s="65">
        <v>100</v>
      </c>
      <c r="K166" s="66">
        <f>129</f>
        <v>129</v>
      </c>
      <c r="L166" s="67" t="s">
        <v>853</v>
      </c>
      <c r="M166" s="66">
        <f>143</f>
        <v>143</v>
      </c>
      <c r="N166" s="67" t="s">
        <v>100</v>
      </c>
      <c r="O166" s="66">
        <f>127</f>
        <v>127</v>
      </c>
      <c r="P166" s="67" t="s">
        <v>853</v>
      </c>
      <c r="Q166" s="66">
        <f>141</f>
        <v>141</v>
      </c>
      <c r="R166" s="67" t="s">
        <v>872</v>
      </c>
      <c r="S166" s="68">
        <f>136</f>
        <v>136</v>
      </c>
      <c r="T166" s="65">
        <f>353000</f>
        <v>353000</v>
      </c>
      <c r="U166" s="65" t="str">
        <f>"－"</f>
        <v>－</v>
      </c>
      <c r="V166" s="65">
        <f>48486700</f>
        <v>48486700</v>
      </c>
      <c r="W166" s="65" t="str">
        <f>"－"</f>
        <v>－</v>
      </c>
      <c r="X166" s="69">
        <f>23</f>
        <v>23</v>
      </c>
    </row>
    <row r="167" spans="1:24">
      <c r="A167" s="60" t="s">
        <v>871</v>
      </c>
      <c r="B167" s="60" t="s">
        <v>541</v>
      </c>
      <c r="C167" s="60" t="s">
        <v>542</v>
      </c>
      <c r="D167" s="60" t="s">
        <v>543</v>
      </c>
      <c r="E167" s="61" t="s">
        <v>46</v>
      </c>
      <c r="F167" s="62" t="s">
        <v>46</v>
      </c>
      <c r="G167" s="63" t="s">
        <v>46</v>
      </c>
      <c r="H167" s="64"/>
      <c r="I167" s="64" t="s">
        <v>47</v>
      </c>
      <c r="J167" s="65">
        <v>1</v>
      </c>
      <c r="K167" s="66">
        <f>1267</f>
        <v>1267</v>
      </c>
      <c r="L167" s="67" t="s">
        <v>853</v>
      </c>
      <c r="M167" s="66">
        <f>1405</f>
        <v>1405</v>
      </c>
      <c r="N167" s="67" t="s">
        <v>96</v>
      </c>
      <c r="O167" s="66">
        <f>1197</f>
        <v>1197</v>
      </c>
      <c r="P167" s="67" t="s">
        <v>856</v>
      </c>
      <c r="Q167" s="66">
        <f>1295</f>
        <v>1295</v>
      </c>
      <c r="R167" s="67" t="s">
        <v>872</v>
      </c>
      <c r="S167" s="68">
        <f>1297.35</f>
        <v>1297.3499999999999</v>
      </c>
      <c r="T167" s="65">
        <f>60154587</f>
        <v>60154587</v>
      </c>
      <c r="U167" s="65">
        <f>15967</f>
        <v>15967</v>
      </c>
      <c r="V167" s="65">
        <f>78287423503</f>
        <v>78287423503</v>
      </c>
      <c r="W167" s="65">
        <f>20122077</f>
        <v>20122077</v>
      </c>
      <c r="X167" s="69">
        <f>23</f>
        <v>23</v>
      </c>
    </row>
    <row r="168" spans="1:24">
      <c r="A168" s="60" t="s">
        <v>871</v>
      </c>
      <c r="B168" s="60" t="s">
        <v>544</v>
      </c>
      <c r="C168" s="60" t="s">
        <v>545</v>
      </c>
      <c r="D168" s="60" t="s">
        <v>546</v>
      </c>
      <c r="E168" s="61" t="s">
        <v>46</v>
      </c>
      <c r="F168" s="62" t="s">
        <v>46</v>
      </c>
      <c r="G168" s="63" t="s">
        <v>46</v>
      </c>
      <c r="H168" s="64"/>
      <c r="I168" s="64" t="s">
        <v>47</v>
      </c>
      <c r="J168" s="65">
        <v>1</v>
      </c>
      <c r="K168" s="66">
        <f>17950</f>
        <v>17950</v>
      </c>
      <c r="L168" s="67" t="s">
        <v>853</v>
      </c>
      <c r="M168" s="66">
        <f>18400</f>
        <v>18400</v>
      </c>
      <c r="N168" s="67" t="s">
        <v>176</v>
      </c>
      <c r="O168" s="66">
        <f>17600</f>
        <v>17600</v>
      </c>
      <c r="P168" s="67" t="s">
        <v>96</v>
      </c>
      <c r="Q168" s="66">
        <f>17710</f>
        <v>17710</v>
      </c>
      <c r="R168" s="67" t="s">
        <v>872</v>
      </c>
      <c r="S168" s="68">
        <f>17915.22</f>
        <v>17915.22</v>
      </c>
      <c r="T168" s="65">
        <f>11405</f>
        <v>11405</v>
      </c>
      <c r="U168" s="65" t="str">
        <f t="shared" ref="U168:U173" si="6">"－"</f>
        <v>－</v>
      </c>
      <c r="V168" s="65">
        <f>204096680</f>
        <v>204096680</v>
      </c>
      <c r="W168" s="65" t="str">
        <f t="shared" ref="W168:W173" si="7">"－"</f>
        <v>－</v>
      </c>
      <c r="X168" s="69">
        <f>23</f>
        <v>23</v>
      </c>
    </row>
    <row r="169" spans="1:24">
      <c r="A169" s="60" t="s">
        <v>871</v>
      </c>
      <c r="B169" s="60" t="s">
        <v>547</v>
      </c>
      <c r="C169" s="60" t="s">
        <v>548</v>
      </c>
      <c r="D169" s="60" t="s">
        <v>549</v>
      </c>
      <c r="E169" s="61" t="s">
        <v>46</v>
      </c>
      <c r="F169" s="62" t="s">
        <v>46</v>
      </c>
      <c r="G169" s="63" t="s">
        <v>46</v>
      </c>
      <c r="H169" s="64"/>
      <c r="I169" s="64" t="s">
        <v>47</v>
      </c>
      <c r="J169" s="65">
        <v>10</v>
      </c>
      <c r="K169" s="66">
        <f>2695</f>
        <v>2695</v>
      </c>
      <c r="L169" s="67" t="s">
        <v>853</v>
      </c>
      <c r="M169" s="66">
        <f>2714</f>
        <v>2714</v>
      </c>
      <c r="N169" s="67" t="s">
        <v>100</v>
      </c>
      <c r="O169" s="66">
        <f>2460</f>
        <v>2460</v>
      </c>
      <c r="P169" s="67" t="s">
        <v>872</v>
      </c>
      <c r="Q169" s="66">
        <f>2468</f>
        <v>2468</v>
      </c>
      <c r="R169" s="67" t="s">
        <v>872</v>
      </c>
      <c r="S169" s="68">
        <f>2608.52</f>
        <v>2608.52</v>
      </c>
      <c r="T169" s="65">
        <f>75660</f>
        <v>75660</v>
      </c>
      <c r="U169" s="65" t="str">
        <f t="shared" si="6"/>
        <v>－</v>
      </c>
      <c r="V169" s="65">
        <f>197257950</f>
        <v>197257950</v>
      </c>
      <c r="W169" s="65" t="str">
        <f t="shared" si="7"/>
        <v>－</v>
      </c>
      <c r="X169" s="69">
        <f>23</f>
        <v>23</v>
      </c>
    </row>
    <row r="170" spans="1:24">
      <c r="A170" s="60" t="s">
        <v>871</v>
      </c>
      <c r="B170" s="60" t="s">
        <v>550</v>
      </c>
      <c r="C170" s="60" t="s">
        <v>551</v>
      </c>
      <c r="D170" s="60" t="s">
        <v>552</v>
      </c>
      <c r="E170" s="61" t="s">
        <v>46</v>
      </c>
      <c r="F170" s="62" t="s">
        <v>46</v>
      </c>
      <c r="G170" s="63" t="s">
        <v>46</v>
      </c>
      <c r="H170" s="64"/>
      <c r="I170" s="64" t="s">
        <v>47</v>
      </c>
      <c r="J170" s="65">
        <v>1</v>
      </c>
      <c r="K170" s="66">
        <f>11850</f>
        <v>11850</v>
      </c>
      <c r="L170" s="67" t="s">
        <v>853</v>
      </c>
      <c r="M170" s="66">
        <f>12550</f>
        <v>12550</v>
      </c>
      <c r="N170" s="67" t="s">
        <v>855</v>
      </c>
      <c r="O170" s="66">
        <f>11110</f>
        <v>11110</v>
      </c>
      <c r="P170" s="67" t="s">
        <v>84</v>
      </c>
      <c r="Q170" s="66">
        <f>11960</f>
        <v>11960</v>
      </c>
      <c r="R170" s="67" t="s">
        <v>872</v>
      </c>
      <c r="S170" s="68">
        <f>11998.7</f>
        <v>11998.7</v>
      </c>
      <c r="T170" s="65">
        <f>9988</f>
        <v>9988</v>
      </c>
      <c r="U170" s="65" t="str">
        <f t="shared" si="6"/>
        <v>－</v>
      </c>
      <c r="V170" s="65">
        <f>119189120</f>
        <v>119189120</v>
      </c>
      <c r="W170" s="65" t="str">
        <f t="shared" si="7"/>
        <v>－</v>
      </c>
      <c r="X170" s="69">
        <f>23</f>
        <v>23</v>
      </c>
    </row>
    <row r="171" spans="1:24">
      <c r="A171" s="60" t="s">
        <v>871</v>
      </c>
      <c r="B171" s="60" t="s">
        <v>553</v>
      </c>
      <c r="C171" s="60" t="s">
        <v>554</v>
      </c>
      <c r="D171" s="60" t="s">
        <v>555</v>
      </c>
      <c r="E171" s="61" t="s">
        <v>46</v>
      </c>
      <c r="F171" s="62" t="s">
        <v>46</v>
      </c>
      <c r="G171" s="63" t="s">
        <v>46</v>
      </c>
      <c r="H171" s="64"/>
      <c r="I171" s="64" t="s">
        <v>47</v>
      </c>
      <c r="J171" s="65">
        <v>1</v>
      </c>
      <c r="K171" s="66">
        <f>23260</f>
        <v>23260</v>
      </c>
      <c r="L171" s="67" t="s">
        <v>853</v>
      </c>
      <c r="M171" s="66">
        <f>28220</f>
        <v>28220</v>
      </c>
      <c r="N171" s="67" t="s">
        <v>50</v>
      </c>
      <c r="O171" s="66">
        <f>23260</f>
        <v>23260</v>
      </c>
      <c r="P171" s="67" t="s">
        <v>853</v>
      </c>
      <c r="Q171" s="66">
        <f>27240</f>
        <v>27240</v>
      </c>
      <c r="R171" s="67" t="s">
        <v>872</v>
      </c>
      <c r="S171" s="68">
        <f>25274.76</f>
        <v>25274.76</v>
      </c>
      <c r="T171" s="65">
        <f>1536</f>
        <v>1536</v>
      </c>
      <c r="U171" s="65" t="str">
        <f t="shared" si="6"/>
        <v>－</v>
      </c>
      <c r="V171" s="65">
        <f>41225560</f>
        <v>41225560</v>
      </c>
      <c r="W171" s="65" t="str">
        <f t="shared" si="7"/>
        <v>－</v>
      </c>
      <c r="X171" s="69">
        <f>21</f>
        <v>21</v>
      </c>
    </row>
    <row r="172" spans="1:24">
      <c r="A172" s="60" t="s">
        <v>871</v>
      </c>
      <c r="B172" s="60" t="s">
        <v>556</v>
      </c>
      <c r="C172" s="60" t="s">
        <v>557</v>
      </c>
      <c r="D172" s="60" t="s">
        <v>558</v>
      </c>
      <c r="E172" s="61" t="s">
        <v>46</v>
      </c>
      <c r="F172" s="62" t="s">
        <v>46</v>
      </c>
      <c r="G172" s="63" t="s">
        <v>46</v>
      </c>
      <c r="H172" s="64"/>
      <c r="I172" s="64" t="s">
        <v>47</v>
      </c>
      <c r="J172" s="65">
        <v>1</v>
      </c>
      <c r="K172" s="66">
        <f>17190</f>
        <v>17190</v>
      </c>
      <c r="L172" s="67" t="s">
        <v>853</v>
      </c>
      <c r="M172" s="66">
        <f>17710</f>
        <v>17710</v>
      </c>
      <c r="N172" s="67" t="s">
        <v>50</v>
      </c>
      <c r="O172" s="66">
        <f>16100</f>
        <v>16100</v>
      </c>
      <c r="P172" s="67" t="s">
        <v>858</v>
      </c>
      <c r="Q172" s="66">
        <f>17230</f>
        <v>17230</v>
      </c>
      <c r="R172" s="67" t="s">
        <v>872</v>
      </c>
      <c r="S172" s="68">
        <f>17068.57</f>
        <v>17068.57</v>
      </c>
      <c r="T172" s="65">
        <f>385</f>
        <v>385</v>
      </c>
      <c r="U172" s="65" t="str">
        <f t="shared" si="6"/>
        <v>－</v>
      </c>
      <c r="V172" s="65">
        <f>6518890</f>
        <v>6518890</v>
      </c>
      <c r="W172" s="65" t="str">
        <f t="shared" si="7"/>
        <v>－</v>
      </c>
      <c r="X172" s="69">
        <f>14</f>
        <v>14</v>
      </c>
    </row>
    <row r="173" spans="1:24">
      <c r="A173" s="60" t="s">
        <v>871</v>
      </c>
      <c r="B173" s="60" t="s">
        <v>559</v>
      </c>
      <c r="C173" s="60" t="s">
        <v>560</v>
      </c>
      <c r="D173" s="60" t="s">
        <v>561</v>
      </c>
      <c r="E173" s="61" t="s">
        <v>46</v>
      </c>
      <c r="F173" s="62" t="s">
        <v>46</v>
      </c>
      <c r="G173" s="63" t="s">
        <v>46</v>
      </c>
      <c r="H173" s="64"/>
      <c r="I173" s="64" t="s">
        <v>47</v>
      </c>
      <c r="J173" s="65">
        <v>10</v>
      </c>
      <c r="K173" s="66">
        <f>50700</f>
        <v>50700</v>
      </c>
      <c r="L173" s="67" t="s">
        <v>853</v>
      </c>
      <c r="M173" s="66">
        <f>51800</f>
        <v>51800</v>
      </c>
      <c r="N173" s="67" t="s">
        <v>131</v>
      </c>
      <c r="O173" s="66">
        <f>50700</f>
        <v>50700</v>
      </c>
      <c r="P173" s="67" t="s">
        <v>853</v>
      </c>
      <c r="Q173" s="66">
        <f>51700</f>
        <v>51700</v>
      </c>
      <c r="R173" s="67" t="s">
        <v>872</v>
      </c>
      <c r="S173" s="68">
        <f>51326.09</f>
        <v>51326.09</v>
      </c>
      <c r="T173" s="65">
        <f>14370</f>
        <v>14370</v>
      </c>
      <c r="U173" s="65" t="str">
        <f t="shared" si="6"/>
        <v>－</v>
      </c>
      <c r="V173" s="65">
        <f>737904000</f>
        <v>737904000</v>
      </c>
      <c r="W173" s="65" t="str">
        <f t="shared" si="7"/>
        <v>－</v>
      </c>
      <c r="X173" s="69">
        <f>23</f>
        <v>23</v>
      </c>
    </row>
    <row r="174" spans="1:24">
      <c r="A174" s="60" t="s">
        <v>871</v>
      </c>
      <c r="B174" s="60" t="s">
        <v>562</v>
      </c>
      <c r="C174" s="60" t="s">
        <v>563</v>
      </c>
      <c r="D174" s="60" t="s">
        <v>564</v>
      </c>
      <c r="E174" s="61" t="s">
        <v>46</v>
      </c>
      <c r="F174" s="62" t="s">
        <v>46</v>
      </c>
      <c r="G174" s="63" t="s">
        <v>46</v>
      </c>
      <c r="H174" s="64"/>
      <c r="I174" s="64" t="s">
        <v>47</v>
      </c>
      <c r="J174" s="65">
        <v>100</v>
      </c>
      <c r="K174" s="66">
        <f>188</f>
        <v>188</v>
      </c>
      <c r="L174" s="67" t="s">
        <v>853</v>
      </c>
      <c r="M174" s="66">
        <f>207</f>
        <v>207</v>
      </c>
      <c r="N174" s="67" t="s">
        <v>131</v>
      </c>
      <c r="O174" s="66">
        <f>187</f>
        <v>187</v>
      </c>
      <c r="P174" s="67" t="s">
        <v>853</v>
      </c>
      <c r="Q174" s="66">
        <f>198</f>
        <v>198</v>
      </c>
      <c r="R174" s="67" t="s">
        <v>872</v>
      </c>
      <c r="S174" s="68">
        <f>198.43</f>
        <v>198.43</v>
      </c>
      <c r="T174" s="65">
        <f>15830200</f>
        <v>15830200</v>
      </c>
      <c r="U174" s="65">
        <f>26000</f>
        <v>26000</v>
      </c>
      <c r="V174" s="65">
        <f>3136920700</f>
        <v>3136920700</v>
      </c>
      <c r="W174" s="65">
        <f>5098300</f>
        <v>5098300</v>
      </c>
      <c r="X174" s="69">
        <f>23</f>
        <v>23</v>
      </c>
    </row>
    <row r="175" spans="1:24">
      <c r="A175" s="60" t="s">
        <v>871</v>
      </c>
      <c r="B175" s="60" t="s">
        <v>565</v>
      </c>
      <c r="C175" s="60" t="s">
        <v>566</v>
      </c>
      <c r="D175" s="60" t="s">
        <v>567</v>
      </c>
      <c r="E175" s="61" t="s">
        <v>46</v>
      </c>
      <c r="F175" s="62" t="s">
        <v>46</v>
      </c>
      <c r="G175" s="63" t="s">
        <v>46</v>
      </c>
      <c r="H175" s="64"/>
      <c r="I175" s="64" t="s">
        <v>47</v>
      </c>
      <c r="J175" s="65">
        <v>10</v>
      </c>
      <c r="K175" s="66">
        <f>29180</f>
        <v>29180</v>
      </c>
      <c r="L175" s="67" t="s">
        <v>853</v>
      </c>
      <c r="M175" s="66">
        <f>32350</f>
        <v>32350</v>
      </c>
      <c r="N175" s="67" t="s">
        <v>872</v>
      </c>
      <c r="O175" s="66">
        <f>29160</f>
        <v>29160</v>
      </c>
      <c r="P175" s="67" t="s">
        <v>84</v>
      </c>
      <c r="Q175" s="66">
        <f>32250</f>
        <v>32250</v>
      </c>
      <c r="R175" s="67" t="s">
        <v>872</v>
      </c>
      <c r="S175" s="68">
        <f>30920.43</f>
        <v>30920.43</v>
      </c>
      <c r="T175" s="65">
        <f>11950</f>
        <v>11950</v>
      </c>
      <c r="U175" s="65" t="str">
        <f>"－"</f>
        <v>－</v>
      </c>
      <c r="V175" s="65">
        <f>370700800</f>
        <v>370700800</v>
      </c>
      <c r="W175" s="65" t="str">
        <f>"－"</f>
        <v>－</v>
      </c>
      <c r="X175" s="69">
        <f>23</f>
        <v>23</v>
      </c>
    </row>
    <row r="176" spans="1:24">
      <c r="A176" s="60" t="s">
        <v>871</v>
      </c>
      <c r="B176" s="60" t="s">
        <v>568</v>
      </c>
      <c r="C176" s="60" t="s">
        <v>569</v>
      </c>
      <c r="D176" s="60" t="s">
        <v>570</v>
      </c>
      <c r="E176" s="61" t="s">
        <v>46</v>
      </c>
      <c r="F176" s="62" t="s">
        <v>46</v>
      </c>
      <c r="G176" s="63" t="s">
        <v>46</v>
      </c>
      <c r="H176" s="64"/>
      <c r="I176" s="64" t="s">
        <v>47</v>
      </c>
      <c r="J176" s="65">
        <v>10</v>
      </c>
      <c r="K176" s="66">
        <f>3025</f>
        <v>3025</v>
      </c>
      <c r="L176" s="67" t="s">
        <v>853</v>
      </c>
      <c r="M176" s="66">
        <f>3245</f>
        <v>3245</v>
      </c>
      <c r="N176" s="67" t="s">
        <v>872</v>
      </c>
      <c r="O176" s="66">
        <f>2987</f>
        <v>2987</v>
      </c>
      <c r="P176" s="67" t="s">
        <v>84</v>
      </c>
      <c r="Q176" s="66">
        <f>3235</f>
        <v>3235</v>
      </c>
      <c r="R176" s="67" t="s">
        <v>872</v>
      </c>
      <c r="S176" s="68">
        <f>3139.57</f>
        <v>3139.57</v>
      </c>
      <c r="T176" s="65">
        <f>396490</f>
        <v>396490</v>
      </c>
      <c r="U176" s="65">
        <f>314050</f>
        <v>314050</v>
      </c>
      <c r="V176" s="65">
        <f>1262940000</f>
        <v>1262940000</v>
      </c>
      <c r="W176" s="65">
        <f>1004720980</f>
        <v>1004720980</v>
      </c>
      <c r="X176" s="69">
        <f>23</f>
        <v>23</v>
      </c>
    </row>
    <row r="177" spans="1:24">
      <c r="A177" s="60" t="s">
        <v>871</v>
      </c>
      <c r="B177" s="60" t="s">
        <v>571</v>
      </c>
      <c r="C177" s="60" t="s">
        <v>572</v>
      </c>
      <c r="D177" s="60" t="s">
        <v>573</v>
      </c>
      <c r="E177" s="61" t="s">
        <v>46</v>
      </c>
      <c r="F177" s="62" t="s">
        <v>46</v>
      </c>
      <c r="G177" s="63" t="s">
        <v>46</v>
      </c>
      <c r="H177" s="64"/>
      <c r="I177" s="64" t="s">
        <v>47</v>
      </c>
      <c r="J177" s="65">
        <v>10</v>
      </c>
      <c r="K177" s="66">
        <f>1783</f>
        <v>1783</v>
      </c>
      <c r="L177" s="67" t="s">
        <v>853</v>
      </c>
      <c r="M177" s="66">
        <f>1870</f>
        <v>1870</v>
      </c>
      <c r="N177" s="67" t="s">
        <v>131</v>
      </c>
      <c r="O177" s="66">
        <f>1738</f>
        <v>1738</v>
      </c>
      <c r="P177" s="67" t="s">
        <v>176</v>
      </c>
      <c r="Q177" s="66">
        <f>1816</f>
        <v>1816</v>
      </c>
      <c r="R177" s="67" t="s">
        <v>872</v>
      </c>
      <c r="S177" s="68">
        <f>1809.83</f>
        <v>1809.83</v>
      </c>
      <c r="T177" s="65">
        <f>314900</f>
        <v>314900</v>
      </c>
      <c r="U177" s="65">
        <f>90</f>
        <v>90</v>
      </c>
      <c r="V177" s="65">
        <f>568424565</f>
        <v>568424565</v>
      </c>
      <c r="W177" s="65">
        <f>163795</f>
        <v>163795</v>
      </c>
      <c r="X177" s="69">
        <f>23</f>
        <v>23</v>
      </c>
    </row>
    <row r="178" spans="1:24">
      <c r="A178" s="60" t="s">
        <v>871</v>
      </c>
      <c r="B178" s="60" t="s">
        <v>574</v>
      </c>
      <c r="C178" s="60" t="s">
        <v>575</v>
      </c>
      <c r="D178" s="60" t="s">
        <v>576</v>
      </c>
      <c r="E178" s="61" t="s">
        <v>46</v>
      </c>
      <c r="F178" s="62" t="s">
        <v>46</v>
      </c>
      <c r="G178" s="63" t="s">
        <v>46</v>
      </c>
      <c r="H178" s="64"/>
      <c r="I178" s="64" t="s">
        <v>47</v>
      </c>
      <c r="J178" s="65">
        <v>100</v>
      </c>
      <c r="K178" s="66">
        <f>218</f>
        <v>218</v>
      </c>
      <c r="L178" s="67" t="s">
        <v>853</v>
      </c>
      <c r="M178" s="66">
        <f>228</f>
        <v>228</v>
      </c>
      <c r="N178" s="67" t="s">
        <v>131</v>
      </c>
      <c r="O178" s="66">
        <f>203</f>
        <v>203</v>
      </c>
      <c r="P178" s="67" t="s">
        <v>84</v>
      </c>
      <c r="Q178" s="66">
        <f>220</f>
        <v>220</v>
      </c>
      <c r="R178" s="67" t="s">
        <v>872</v>
      </c>
      <c r="S178" s="68">
        <f>218.48</f>
        <v>218.48</v>
      </c>
      <c r="T178" s="65">
        <f>648300</f>
        <v>648300</v>
      </c>
      <c r="U178" s="65" t="str">
        <f t="shared" ref="U178:U193" si="8">"－"</f>
        <v>－</v>
      </c>
      <c r="V178" s="65">
        <f>141402700</f>
        <v>141402700</v>
      </c>
      <c r="W178" s="65" t="str">
        <f t="shared" ref="W178:W193" si="9">"－"</f>
        <v>－</v>
      </c>
      <c r="X178" s="69">
        <f>23</f>
        <v>23</v>
      </c>
    </row>
    <row r="179" spans="1:24">
      <c r="A179" s="60" t="s">
        <v>871</v>
      </c>
      <c r="B179" s="60" t="s">
        <v>577</v>
      </c>
      <c r="C179" s="60" t="s">
        <v>578</v>
      </c>
      <c r="D179" s="60" t="s">
        <v>579</v>
      </c>
      <c r="E179" s="61" t="s">
        <v>46</v>
      </c>
      <c r="F179" s="62" t="s">
        <v>46</v>
      </c>
      <c r="G179" s="63" t="s">
        <v>46</v>
      </c>
      <c r="H179" s="64"/>
      <c r="I179" s="64" t="s">
        <v>47</v>
      </c>
      <c r="J179" s="65">
        <v>10</v>
      </c>
      <c r="K179" s="66">
        <f>974</f>
        <v>974</v>
      </c>
      <c r="L179" s="67" t="s">
        <v>853</v>
      </c>
      <c r="M179" s="66">
        <f>986</f>
        <v>986</v>
      </c>
      <c r="N179" s="67" t="s">
        <v>100</v>
      </c>
      <c r="O179" s="66">
        <f>952</f>
        <v>952</v>
      </c>
      <c r="P179" s="67" t="s">
        <v>856</v>
      </c>
      <c r="Q179" s="66">
        <f>964</f>
        <v>964</v>
      </c>
      <c r="R179" s="67" t="s">
        <v>872</v>
      </c>
      <c r="S179" s="68">
        <f>964.58</f>
        <v>964.58</v>
      </c>
      <c r="T179" s="65">
        <f>1690</f>
        <v>1690</v>
      </c>
      <c r="U179" s="65" t="str">
        <f t="shared" si="8"/>
        <v>－</v>
      </c>
      <c r="V179" s="65">
        <f>1632720</f>
        <v>1632720</v>
      </c>
      <c r="W179" s="65" t="str">
        <f t="shared" si="9"/>
        <v>－</v>
      </c>
      <c r="X179" s="69">
        <f>12</f>
        <v>12</v>
      </c>
    </row>
    <row r="180" spans="1:24">
      <c r="A180" s="60" t="s">
        <v>871</v>
      </c>
      <c r="B180" s="60" t="s">
        <v>580</v>
      </c>
      <c r="C180" s="60" t="s">
        <v>581</v>
      </c>
      <c r="D180" s="60" t="s">
        <v>582</v>
      </c>
      <c r="E180" s="61" t="s">
        <v>46</v>
      </c>
      <c r="F180" s="62" t="s">
        <v>46</v>
      </c>
      <c r="G180" s="63" t="s">
        <v>46</v>
      </c>
      <c r="H180" s="64"/>
      <c r="I180" s="64" t="s">
        <v>47</v>
      </c>
      <c r="J180" s="65">
        <v>10</v>
      </c>
      <c r="K180" s="66">
        <f>282</f>
        <v>282</v>
      </c>
      <c r="L180" s="67" t="s">
        <v>853</v>
      </c>
      <c r="M180" s="66">
        <f>307</f>
        <v>307</v>
      </c>
      <c r="N180" s="67" t="s">
        <v>96</v>
      </c>
      <c r="O180" s="66">
        <f>266</f>
        <v>266</v>
      </c>
      <c r="P180" s="67" t="s">
        <v>856</v>
      </c>
      <c r="Q180" s="66">
        <f>288</f>
        <v>288</v>
      </c>
      <c r="R180" s="67" t="s">
        <v>872</v>
      </c>
      <c r="S180" s="68">
        <f>286.04</f>
        <v>286.04000000000002</v>
      </c>
      <c r="T180" s="65">
        <f>64400</f>
        <v>64400</v>
      </c>
      <c r="U180" s="65" t="str">
        <f t="shared" si="8"/>
        <v>－</v>
      </c>
      <c r="V180" s="65">
        <f>18764260</f>
        <v>18764260</v>
      </c>
      <c r="W180" s="65" t="str">
        <f t="shared" si="9"/>
        <v>－</v>
      </c>
      <c r="X180" s="69">
        <f>23</f>
        <v>23</v>
      </c>
    </row>
    <row r="181" spans="1:24">
      <c r="A181" s="60" t="s">
        <v>871</v>
      </c>
      <c r="B181" s="60" t="s">
        <v>583</v>
      </c>
      <c r="C181" s="60" t="s">
        <v>584</v>
      </c>
      <c r="D181" s="60" t="s">
        <v>585</v>
      </c>
      <c r="E181" s="61" t="s">
        <v>46</v>
      </c>
      <c r="F181" s="62" t="s">
        <v>46</v>
      </c>
      <c r="G181" s="63" t="s">
        <v>46</v>
      </c>
      <c r="H181" s="64"/>
      <c r="I181" s="64" t="s">
        <v>47</v>
      </c>
      <c r="J181" s="65">
        <v>10</v>
      </c>
      <c r="K181" s="66">
        <f>1539</f>
        <v>1539</v>
      </c>
      <c r="L181" s="67" t="s">
        <v>853</v>
      </c>
      <c r="M181" s="66">
        <f>1773</f>
        <v>1773</v>
      </c>
      <c r="N181" s="67" t="s">
        <v>853</v>
      </c>
      <c r="O181" s="66">
        <f>1484</f>
        <v>1484</v>
      </c>
      <c r="P181" s="67" t="s">
        <v>84</v>
      </c>
      <c r="Q181" s="66">
        <f>1598</f>
        <v>1598</v>
      </c>
      <c r="R181" s="67" t="s">
        <v>872</v>
      </c>
      <c r="S181" s="68">
        <f>1565</f>
        <v>1565</v>
      </c>
      <c r="T181" s="65">
        <f>8560</f>
        <v>8560</v>
      </c>
      <c r="U181" s="65" t="str">
        <f t="shared" si="8"/>
        <v>－</v>
      </c>
      <c r="V181" s="65">
        <f>13511980</f>
        <v>13511980</v>
      </c>
      <c r="W181" s="65" t="str">
        <f t="shared" si="9"/>
        <v>－</v>
      </c>
      <c r="X181" s="69">
        <f>21</f>
        <v>21</v>
      </c>
    </row>
    <row r="182" spans="1:24">
      <c r="A182" s="60" t="s">
        <v>871</v>
      </c>
      <c r="B182" s="60" t="s">
        <v>586</v>
      </c>
      <c r="C182" s="60" t="s">
        <v>587</v>
      </c>
      <c r="D182" s="60" t="s">
        <v>588</v>
      </c>
      <c r="E182" s="61" t="s">
        <v>46</v>
      </c>
      <c r="F182" s="62" t="s">
        <v>46</v>
      </c>
      <c r="G182" s="63" t="s">
        <v>46</v>
      </c>
      <c r="H182" s="64"/>
      <c r="I182" s="64" t="s">
        <v>47</v>
      </c>
      <c r="J182" s="65">
        <v>10</v>
      </c>
      <c r="K182" s="66">
        <f>563</f>
        <v>563</v>
      </c>
      <c r="L182" s="67" t="s">
        <v>853</v>
      </c>
      <c r="M182" s="66">
        <f>590</f>
        <v>590</v>
      </c>
      <c r="N182" s="67" t="s">
        <v>96</v>
      </c>
      <c r="O182" s="66">
        <f>541</f>
        <v>541</v>
      </c>
      <c r="P182" s="67" t="s">
        <v>50</v>
      </c>
      <c r="Q182" s="66">
        <f>551</f>
        <v>551</v>
      </c>
      <c r="R182" s="67" t="s">
        <v>872</v>
      </c>
      <c r="S182" s="68">
        <f>559.3</f>
        <v>559.29999999999995</v>
      </c>
      <c r="T182" s="65">
        <f>90430</f>
        <v>90430</v>
      </c>
      <c r="U182" s="65" t="str">
        <f t="shared" si="8"/>
        <v>－</v>
      </c>
      <c r="V182" s="65">
        <f>50838020</f>
        <v>50838020</v>
      </c>
      <c r="W182" s="65" t="str">
        <f t="shared" si="9"/>
        <v>－</v>
      </c>
      <c r="X182" s="69">
        <f>23</f>
        <v>23</v>
      </c>
    </row>
    <row r="183" spans="1:24">
      <c r="A183" s="60" t="s">
        <v>871</v>
      </c>
      <c r="B183" s="60" t="s">
        <v>589</v>
      </c>
      <c r="C183" s="60" t="s">
        <v>590</v>
      </c>
      <c r="D183" s="60" t="s">
        <v>591</v>
      </c>
      <c r="E183" s="61" t="s">
        <v>46</v>
      </c>
      <c r="F183" s="62" t="s">
        <v>46</v>
      </c>
      <c r="G183" s="63" t="s">
        <v>46</v>
      </c>
      <c r="H183" s="64"/>
      <c r="I183" s="64" t="s">
        <v>47</v>
      </c>
      <c r="J183" s="65">
        <v>10</v>
      </c>
      <c r="K183" s="66">
        <f>404</f>
        <v>404</v>
      </c>
      <c r="L183" s="67" t="s">
        <v>853</v>
      </c>
      <c r="M183" s="66">
        <f>423</f>
        <v>423</v>
      </c>
      <c r="N183" s="67" t="s">
        <v>96</v>
      </c>
      <c r="O183" s="66">
        <f>394</f>
        <v>394</v>
      </c>
      <c r="P183" s="67" t="s">
        <v>857</v>
      </c>
      <c r="Q183" s="66">
        <f>402</f>
        <v>402</v>
      </c>
      <c r="R183" s="67" t="s">
        <v>872</v>
      </c>
      <c r="S183" s="68">
        <f>409.52</f>
        <v>409.52</v>
      </c>
      <c r="T183" s="65">
        <f>368600</f>
        <v>368600</v>
      </c>
      <c r="U183" s="65" t="str">
        <f t="shared" si="8"/>
        <v>－</v>
      </c>
      <c r="V183" s="65">
        <f>150314490</f>
        <v>150314490</v>
      </c>
      <c r="W183" s="65" t="str">
        <f t="shared" si="9"/>
        <v>－</v>
      </c>
      <c r="X183" s="69">
        <f>23</f>
        <v>23</v>
      </c>
    </row>
    <row r="184" spans="1:24">
      <c r="A184" s="60" t="s">
        <v>871</v>
      </c>
      <c r="B184" s="60" t="s">
        <v>592</v>
      </c>
      <c r="C184" s="60" t="s">
        <v>593</v>
      </c>
      <c r="D184" s="60" t="s">
        <v>594</v>
      </c>
      <c r="E184" s="61" t="s">
        <v>46</v>
      </c>
      <c r="F184" s="62" t="s">
        <v>46</v>
      </c>
      <c r="G184" s="63" t="s">
        <v>46</v>
      </c>
      <c r="H184" s="64"/>
      <c r="I184" s="64" t="s">
        <v>47</v>
      </c>
      <c r="J184" s="65">
        <v>100</v>
      </c>
      <c r="K184" s="66">
        <f>2</f>
        <v>2</v>
      </c>
      <c r="L184" s="67" t="s">
        <v>853</v>
      </c>
      <c r="M184" s="66">
        <f>2</f>
        <v>2</v>
      </c>
      <c r="N184" s="67" t="s">
        <v>853</v>
      </c>
      <c r="O184" s="66">
        <f>1</f>
        <v>1</v>
      </c>
      <c r="P184" s="67" t="s">
        <v>853</v>
      </c>
      <c r="Q184" s="66">
        <f>1</f>
        <v>1</v>
      </c>
      <c r="R184" s="67" t="s">
        <v>872</v>
      </c>
      <c r="S184" s="68">
        <f>1.65</f>
        <v>1.65</v>
      </c>
      <c r="T184" s="65">
        <f>149223000</f>
        <v>149223000</v>
      </c>
      <c r="U184" s="65" t="str">
        <f t="shared" si="8"/>
        <v>－</v>
      </c>
      <c r="V184" s="65">
        <f>244778600</f>
        <v>244778600</v>
      </c>
      <c r="W184" s="65" t="str">
        <f t="shared" si="9"/>
        <v>－</v>
      </c>
      <c r="X184" s="69">
        <f>23</f>
        <v>23</v>
      </c>
    </row>
    <row r="185" spans="1:24">
      <c r="A185" s="60" t="s">
        <v>871</v>
      </c>
      <c r="B185" s="60" t="s">
        <v>595</v>
      </c>
      <c r="C185" s="60" t="s">
        <v>596</v>
      </c>
      <c r="D185" s="60" t="s">
        <v>597</v>
      </c>
      <c r="E185" s="61" t="s">
        <v>46</v>
      </c>
      <c r="F185" s="62" t="s">
        <v>46</v>
      </c>
      <c r="G185" s="63" t="s">
        <v>46</v>
      </c>
      <c r="H185" s="64"/>
      <c r="I185" s="64" t="s">
        <v>47</v>
      </c>
      <c r="J185" s="65">
        <v>10</v>
      </c>
      <c r="K185" s="66">
        <f>587</f>
        <v>587</v>
      </c>
      <c r="L185" s="67" t="s">
        <v>853</v>
      </c>
      <c r="M185" s="66">
        <f>653</f>
        <v>653</v>
      </c>
      <c r="N185" s="67" t="s">
        <v>96</v>
      </c>
      <c r="O185" s="66">
        <f>562</f>
        <v>562</v>
      </c>
      <c r="P185" s="67" t="s">
        <v>858</v>
      </c>
      <c r="Q185" s="66">
        <f>609</f>
        <v>609</v>
      </c>
      <c r="R185" s="67" t="s">
        <v>872</v>
      </c>
      <c r="S185" s="68">
        <f>606.22</f>
        <v>606.22</v>
      </c>
      <c r="T185" s="65">
        <f>1305920</f>
        <v>1305920</v>
      </c>
      <c r="U185" s="65" t="str">
        <f t="shared" si="8"/>
        <v>－</v>
      </c>
      <c r="V185" s="65">
        <f>797233580</f>
        <v>797233580</v>
      </c>
      <c r="W185" s="65" t="str">
        <f t="shared" si="9"/>
        <v>－</v>
      </c>
      <c r="X185" s="69">
        <f>23</f>
        <v>23</v>
      </c>
    </row>
    <row r="186" spans="1:24">
      <c r="A186" s="60" t="s">
        <v>871</v>
      </c>
      <c r="B186" s="60" t="s">
        <v>598</v>
      </c>
      <c r="C186" s="60" t="s">
        <v>599</v>
      </c>
      <c r="D186" s="60" t="s">
        <v>600</v>
      </c>
      <c r="E186" s="61" t="s">
        <v>46</v>
      </c>
      <c r="F186" s="62" t="s">
        <v>46</v>
      </c>
      <c r="G186" s="63" t="s">
        <v>46</v>
      </c>
      <c r="H186" s="64"/>
      <c r="I186" s="64" t="s">
        <v>47</v>
      </c>
      <c r="J186" s="65">
        <v>1</v>
      </c>
      <c r="K186" s="66">
        <f>2540</f>
        <v>2540</v>
      </c>
      <c r="L186" s="67" t="s">
        <v>853</v>
      </c>
      <c r="M186" s="66">
        <f>2945</f>
        <v>2945</v>
      </c>
      <c r="N186" s="67" t="s">
        <v>69</v>
      </c>
      <c r="O186" s="66">
        <f>2513</f>
        <v>2513</v>
      </c>
      <c r="P186" s="67" t="s">
        <v>856</v>
      </c>
      <c r="Q186" s="66">
        <f>2742</f>
        <v>2742</v>
      </c>
      <c r="R186" s="67" t="s">
        <v>872</v>
      </c>
      <c r="S186" s="68">
        <f>2724.41</f>
        <v>2724.41</v>
      </c>
      <c r="T186" s="65">
        <f>7417</f>
        <v>7417</v>
      </c>
      <c r="U186" s="65" t="str">
        <f t="shared" si="8"/>
        <v>－</v>
      </c>
      <c r="V186" s="65">
        <f>20158937</f>
        <v>20158937</v>
      </c>
      <c r="W186" s="65" t="str">
        <f t="shared" si="9"/>
        <v>－</v>
      </c>
      <c r="X186" s="69">
        <f>22</f>
        <v>22</v>
      </c>
    </row>
    <row r="187" spans="1:24">
      <c r="A187" s="60" t="s">
        <v>871</v>
      </c>
      <c r="B187" s="60" t="s">
        <v>601</v>
      </c>
      <c r="C187" s="60" t="s">
        <v>602</v>
      </c>
      <c r="D187" s="60" t="s">
        <v>603</v>
      </c>
      <c r="E187" s="61" t="s">
        <v>46</v>
      </c>
      <c r="F187" s="62" t="s">
        <v>46</v>
      </c>
      <c r="G187" s="63" t="s">
        <v>46</v>
      </c>
      <c r="H187" s="64"/>
      <c r="I187" s="64" t="s">
        <v>47</v>
      </c>
      <c r="J187" s="65">
        <v>100</v>
      </c>
      <c r="K187" s="66">
        <f>338</f>
        <v>338</v>
      </c>
      <c r="L187" s="67" t="s">
        <v>853</v>
      </c>
      <c r="M187" s="66">
        <f>408</f>
        <v>408</v>
      </c>
      <c r="N187" s="67" t="s">
        <v>96</v>
      </c>
      <c r="O187" s="66">
        <f>322</f>
        <v>322</v>
      </c>
      <c r="P187" s="67" t="s">
        <v>857</v>
      </c>
      <c r="Q187" s="66">
        <f>350</f>
        <v>350</v>
      </c>
      <c r="R187" s="67" t="s">
        <v>872</v>
      </c>
      <c r="S187" s="68">
        <f>342.45</f>
        <v>342.45</v>
      </c>
      <c r="T187" s="65">
        <f>33600</f>
        <v>33600</v>
      </c>
      <c r="U187" s="65" t="str">
        <f t="shared" si="8"/>
        <v>－</v>
      </c>
      <c r="V187" s="65">
        <f>11883600</f>
        <v>11883600</v>
      </c>
      <c r="W187" s="65" t="str">
        <f t="shared" si="9"/>
        <v>－</v>
      </c>
      <c r="X187" s="69">
        <f>22</f>
        <v>22</v>
      </c>
    </row>
    <row r="188" spans="1:24">
      <c r="A188" s="60" t="s">
        <v>871</v>
      </c>
      <c r="B188" s="60" t="s">
        <v>604</v>
      </c>
      <c r="C188" s="60" t="s">
        <v>605</v>
      </c>
      <c r="D188" s="60" t="s">
        <v>606</v>
      </c>
      <c r="E188" s="61" t="s">
        <v>46</v>
      </c>
      <c r="F188" s="62" t="s">
        <v>46</v>
      </c>
      <c r="G188" s="63" t="s">
        <v>46</v>
      </c>
      <c r="H188" s="64"/>
      <c r="I188" s="64" t="s">
        <v>47</v>
      </c>
      <c r="J188" s="65">
        <v>10</v>
      </c>
      <c r="K188" s="66">
        <f>4000</f>
        <v>4000</v>
      </c>
      <c r="L188" s="67" t="s">
        <v>853</v>
      </c>
      <c r="M188" s="66">
        <f>4095</f>
        <v>4095</v>
      </c>
      <c r="N188" s="67" t="s">
        <v>69</v>
      </c>
      <c r="O188" s="66">
        <f>3740</f>
        <v>3740</v>
      </c>
      <c r="P188" s="67" t="s">
        <v>84</v>
      </c>
      <c r="Q188" s="66">
        <f>3935</f>
        <v>3935</v>
      </c>
      <c r="R188" s="67" t="s">
        <v>872</v>
      </c>
      <c r="S188" s="68">
        <f>3950</f>
        <v>3950</v>
      </c>
      <c r="T188" s="65">
        <f>58810</f>
        <v>58810</v>
      </c>
      <c r="U188" s="65" t="str">
        <f t="shared" si="8"/>
        <v>－</v>
      </c>
      <c r="V188" s="65">
        <f>231693750</f>
        <v>231693750</v>
      </c>
      <c r="W188" s="65" t="str">
        <f t="shared" si="9"/>
        <v>－</v>
      </c>
      <c r="X188" s="69">
        <f>23</f>
        <v>23</v>
      </c>
    </row>
    <row r="189" spans="1:24">
      <c r="A189" s="60" t="s">
        <v>871</v>
      </c>
      <c r="B189" s="60" t="s">
        <v>607</v>
      </c>
      <c r="C189" s="60" t="s">
        <v>608</v>
      </c>
      <c r="D189" s="60" t="s">
        <v>609</v>
      </c>
      <c r="E189" s="61" t="s">
        <v>46</v>
      </c>
      <c r="F189" s="62" t="s">
        <v>46</v>
      </c>
      <c r="G189" s="63" t="s">
        <v>46</v>
      </c>
      <c r="H189" s="64"/>
      <c r="I189" s="64" t="s">
        <v>47</v>
      </c>
      <c r="J189" s="65">
        <v>10</v>
      </c>
      <c r="K189" s="66">
        <f>1885</f>
        <v>1885</v>
      </c>
      <c r="L189" s="67" t="s">
        <v>853</v>
      </c>
      <c r="M189" s="66">
        <f>2029</f>
        <v>2029</v>
      </c>
      <c r="N189" s="67" t="s">
        <v>854</v>
      </c>
      <c r="O189" s="66">
        <f>1650</f>
        <v>1650</v>
      </c>
      <c r="P189" s="67" t="s">
        <v>131</v>
      </c>
      <c r="Q189" s="66">
        <f>1678</f>
        <v>1678</v>
      </c>
      <c r="R189" s="67" t="s">
        <v>872</v>
      </c>
      <c r="S189" s="68">
        <f>1768.65</f>
        <v>1768.65</v>
      </c>
      <c r="T189" s="65">
        <f>84500</f>
        <v>84500</v>
      </c>
      <c r="U189" s="65" t="str">
        <f t="shared" si="8"/>
        <v>－</v>
      </c>
      <c r="V189" s="65">
        <f>153233330</f>
        <v>153233330</v>
      </c>
      <c r="W189" s="65" t="str">
        <f t="shared" si="9"/>
        <v>－</v>
      </c>
      <c r="X189" s="69">
        <f>23</f>
        <v>23</v>
      </c>
    </row>
    <row r="190" spans="1:24">
      <c r="A190" s="60" t="s">
        <v>871</v>
      </c>
      <c r="B190" s="60" t="s">
        <v>610</v>
      </c>
      <c r="C190" s="60" t="s">
        <v>611</v>
      </c>
      <c r="D190" s="60" t="s">
        <v>612</v>
      </c>
      <c r="E190" s="61" t="s">
        <v>46</v>
      </c>
      <c r="F190" s="62" t="s">
        <v>46</v>
      </c>
      <c r="G190" s="63" t="s">
        <v>46</v>
      </c>
      <c r="H190" s="64"/>
      <c r="I190" s="64" t="s">
        <v>47</v>
      </c>
      <c r="J190" s="65">
        <v>100</v>
      </c>
      <c r="K190" s="66">
        <f>78</f>
        <v>78</v>
      </c>
      <c r="L190" s="67" t="s">
        <v>853</v>
      </c>
      <c r="M190" s="66">
        <f>80</f>
        <v>80</v>
      </c>
      <c r="N190" s="67" t="s">
        <v>853</v>
      </c>
      <c r="O190" s="66">
        <f>74</f>
        <v>74</v>
      </c>
      <c r="P190" s="67" t="s">
        <v>240</v>
      </c>
      <c r="Q190" s="66">
        <f>74</f>
        <v>74</v>
      </c>
      <c r="R190" s="67" t="s">
        <v>872</v>
      </c>
      <c r="S190" s="68">
        <f>77.3</f>
        <v>77.3</v>
      </c>
      <c r="T190" s="65">
        <f>5522300</f>
        <v>5522300</v>
      </c>
      <c r="U190" s="65" t="str">
        <f t="shared" si="8"/>
        <v>－</v>
      </c>
      <c r="V190" s="65">
        <f>426398900</f>
        <v>426398900</v>
      </c>
      <c r="W190" s="65" t="str">
        <f t="shared" si="9"/>
        <v>－</v>
      </c>
      <c r="X190" s="69">
        <f>23</f>
        <v>23</v>
      </c>
    </row>
    <row r="191" spans="1:24">
      <c r="A191" s="60" t="s">
        <v>871</v>
      </c>
      <c r="B191" s="60" t="s">
        <v>614</v>
      </c>
      <c r="C191" s="60" t="s">
        <v>615</v>
      </c>
      <c r="D191" s="60" t="s">
        <v>616</v>
      </c>
      <c r="E191" s="61" t="s">
        <v>46</v>
      </c>
      <c r="F191" s="62" t="s">
        <v>46</v>
      </c>
      <c r="G191" s="63" t="s">
        <v>46</v>
      </c>
      <c r="H191" s="64"/>
      <c r="I191" s="64" t="s">
        <v>47</v>
      </c>
      <c r="J191" s="65">
        <v>100</v>
      </c>
      <c r="K191" s="66">
        <f>101</f>
        <v>101</v>
      </c>
      <c r="L191" s="67" t="s">
        <v>853</v>
      </c>
      <c r="M191" s="66">
        <f>105</f>
        <v>105</v>
      </c>
      <c r="N191" s="67" t="s">
        <v>96</v>
      </c>
      <c r="O191" s="66">
        <f>98</f>
        <v>98</v>
      </c>
      <c r="P191" s="67" t="s">
        <v>857</v>
      </c>
      <c r="Q191" s="66">
        <f>102</f>
        <v>102</v>
      </c>
      <c r="R191" s="67" t="s">
        <v>872</v>
      </c>
      <c r="S191" s="68">
        <f>101.78</f>
        <v>101.78</v>
      </c>
      <c r="T191" s="65">
        <f>2121100</f>
        <v>2121100</v>
      </c>
      <c r="U191" s="65" t="str">
        <f t="shared" si="8"/>
        <v>－</v>
      </c>
      <c r="V191" s="65">
        <f>215842000</f>
        <v>215842000</v>
      </c>
      <c r="W191" s="65" t="str">
        <f t="shared" si="9"/>
        <v>－</v>
      </c>
      <c r="X191" s="69">
        <f>23</f>
        <v>23</v>
      </c>
    </row>
    <row r="192" spans="1:24">
      <c r="A192" s="60" t="s">
        <v>871</v>
      </c>
      <c r="B192" s="60" t="s">
        <v>617</v>
      </c>
      <c r="C192" s="60" t="s">
        <v>618</v>
      </c>
      <c r="D192" s="60" t="s">
        <v>619</v>
      </c>
      <c r="E192" s="61" t="s">
        <v>46</v>
      </c>
      <c r="F192" s="62" t="s">
        <v>46</v>
      </c>
      <c r="G192" s="63" t="s">
        <v>46</v>
      </c>
      <c r="H192" s="64"/>
      <c r="I192" s="64" t="s">
        <v>47</v>
      </c>
      <c r="J192" s="65">
        <v>10</v>
      </c>
      <c r="K192" s="66">
        <f>2600</f>
        <v>2600</v>
      </c>
      <c r="L192" s="67" t="s">
        <v>853</v>
      </c>
      <c r="M192" s="66">
        <f>2743</f>
        <v>2743</v>
      </c>
      <c r="N192" s="67" t="s">
        <v>96</v>
      </c>
      <c r="O192" s="66">
        <f>2548</f>
        <v>2548</v>
      </c>
      <c r="P192" s="67" t="s">
        <v>857</v>
      </c>
      <c r="Q192" s="66">
        <f>2623</f>
        <v>2623</v>
      </c>
      <c r="R192" s="67" t="s">
        <v>872</v>
      </c>
      <c r="S192" s="68">
        <f>2658.26</f>
        <v>2658.26</v>
      </c>
      <c r="T192" s="65">
        <f>26300</f>
        <v>26300</v>
      </c>
      <c r="U192" s="65" t="str">
        <f t="shared" si="8"/>
        <v>－</v>
      </c>
      <c r="V192" s="65">
        <f>69896280</f>
        <v>69896280</v>
      </c>
      <c r="W192" s="65" t="str">
        <f t="shared" si="9"/>
        <v>－</v>
      </c>
      <c r="X192" s="69">
        <f>23</f>
        <v>23</v>
      </c>
    </row>
    <row r="193" spans="1:24">
      <c r="A193" s="60" t="s">
        <v>871</v>
      </c>
      <c r="B193" s="60" t="s">
        <v>620</v>
      </c>
      <c r="C193" s="60" t="s">
        <v>621</v>
      </c>
      <c r="D193" s="60" t="s">
        <v>622</v>
      </c>
      <c r="E193" s="61" t="s">
        <v>46</v>
      </c>
      <c r="F193" s="62" t="s">
        <v>46</v>
      </c>
      <c r="G193" s="63" t="s">
        <v>46</v>
      </c>
      <c r="H193" s="64"/>
      <c r="I193" s="64" t="s">
        <v>47</v>
      </c>
      <c r="J193" s="65">
        <v>10</v>
      </c>
      <c r="K193" s="66">
        <f>1683</f>
        <v>1683</v>
      </c>
      <c r="L193" s="67" t="s">
        <v>853</v>
      </c>
      <c r="M193" s="66">
        <f>1830</f>
        <v>1830</v>
      </c>
      <c r="N193" s="67" t="s">
        <v>874</v>
      </c>
      <c r="O193" s="66">
        <f>1678</f>
        <v>1678</v>
      </c>
      <c r="P193" s="67" t="s">
        <v>857</v>
      </c>
      <c r="Q193" s="66">
        <f>1804</f>
        <v>1804</v>
      </c>
      <c r="R193" s="67" t="s">
        <v>872</v>
      </c>
      <c r="S193" s="68">
        <f>1763.26</f>
        <v>1763.26</v>
      </c>
      <c r="T193" s="65">
        <f>65650</f>
        <v>65650</v>
      </c>
      <c r="U193" s="65" t="str">
        <f t="shared" si="8"/>
        <v>－</v>
      </c>
      <c r="V193" s="65">
        <f>116476410</f>
        <v>116476410</v>
      </c>
      <c r="W193" s="65" t="str">
        <f t="shared" si="9"/>
        <v>－</v>
      </c>
      <c r="X193" s="69">
        <f>23</f>
        <v>23</v>
      </c>
    </row>
    <row r="194" spans="1:24">
      <c r="A194" s="60" t="s">
        <v>871</v>
      </c>
      <c r="B194" s="60" t="s">
        <v>623</v>
      </c>
      <c r="C194" s="60" t="s">
        <v>624</v>
      </c>
      <c r="D194" s="60" t="s">
        <v>625</v>
      </c>
      <c r="E194" s="61" t="s">
        <v>46</v>
      </c>
      <c r="F194" s="62" t="s">
        <v>46</v>
      </c>
      <c r="G194" s="63" t="s">
        <v>46</v>
      </c>
      <c r="H194" s="64"/>
      <c r="I194" s="64" t="s">
        <v>47</v>
      </c>
      <c r="J194" s="65">
        <v>10</v>
      </c>
      <c r="K194" s="66">
        <f>154</f>
        <v>154</v>
      </c>
      <c r="L194" s="67" t="s">
        <v>853</v>
      </c>
      <c r="M194" s="66">
        <f>172</f>
        <v>172</v>
      </c>
      <c r="N194" s="67" t="s">
        <v>96</v>
      </c>
      <c r="O194" s="66">
        <f>147</f>
        <v>147</v>
      </c>
      <c r="P194" s="67" t="s">
        <v>858</v>
      </c>
      <c r="Q194" s="66">
        <f>159</f>
        <v>159</v>
      </c>
      <c r="R194" s="67" t="s">
        <v>872</v>
      </c>
      <c r="S194" s="68">
        <f>159.17</f>
        <v>159.16999999999999</v>
      </c>
      <c r="T194" s="65">
        <f>225456360</f>
        <v>225456360</v>
      </c>
      <c r="U194" s="65">
        <f>225840</f>
        <v>225840</v>
      </c>
      <c r="V194" s="65">
        <f>35920148833</f>
        <v>35920148833</v>
      </c>
      <c r="W194" s="65">
        <f>35924263</f>
        <v>35924263</v>
      </c>
      <c r="X194" s="69">
        <f>23</f>
        <v>23</v>
      </c>
    </row>
    <row r="195" spans="1:24">
      <c r="A195" s="60" t="s">
        <v>871</v>
      </c>
      <c r="B195" s="60" t="s">
        <v>626</v>
      </c>
      <c r="C195" s="60" t="s">
        <v>627</v>
      </c>
      <c r="D195" s="60" t="s">
        <v>628</v>
      </c>
      <c r="E195" s="61" t="s">
        <v>46</v>
      </c>
      <c r="F195" s="62" t="s">
        <v>46</v>
      </c>
      <c r="G195" s="63" t="s">
        <v>46</v>
      </c>
      <c r="H195" s="64"/>
      <c r="I195" s="64" t="s">
        <v>629</v>
      </c>
      <c r="J195" s="65">
        <v>1</v>
      </c>
      <c r="K195" s="66">
        <f>11960</f>
        <v>11960</v>
      </c>
      <c r="L195" s="67" t="s">
        <v>853</v>
      </c>
      <c r="M195" s="66">
        <f>12700</f>
        <v>12700</v>
      </c>
      <c r="N195" s="67" t="s">
        <v>96</v>
      </c>
      <c r="O195" s="66">
        <f>11000</f>
        <v>11000</v>
      </c>
      <c r="P195" s="67" t="s">
        <v>176</v>
      </c>
      <c r="Q195" s="66">
        <f>11920</f>
        <v>11920</v>
      </c>
      <c r="R195" s="67" t="s">
        <v>872</v>
      </c>
      <c r="S195" s="68">
        <f>11960.87</f>
        <v>11960.87</v>
      </c>
      <c r="T195" s="65">
        <f>13368</f>
        <v>13368</v>
      </c>
      <c r="U195" s="65" t="str">
        <f>"－"</f>
        <v>－</v>
      </c>
      <c r="V195" s="65">
        <f>161194280</f>
        <v>161194280</v>
      </c>
      <c r="W195" s="65" t="str">
        <f>"－"</f>
        <v>－</v>
      </c>
      <c r="X195" s="69">
        <f>23</f>
        <v>23</v>
      </c>
    </row>
    <row r="196" spans="1:24">
      <c r="A196" s="60" t="s">
        <v>871</v>
      </c>
      <c r="B196" s="60" t="s">
        <v>630</v>
      </c>
      <c r="C196" s="60" t="s">
        <v>631</v>
      </c>
      <c r="D196" s="60" t="s">
        <v>632</v>
      </c>
      <c r="E196" s="61" t="s">
        <v>46</v>
      </c>
      <c r="F196" s="62" t="s">
        <v>46</v>
      </c>
      <c r="G196" s="63" t="s">
        <v>46</v>
      </c>
      <c r="H196" s="64"/>
      <c r="I196" s="64" t="s">
        <v>629</v>
      </c>
      <c r="J196" s="65">
        <v>1</v>
      </c>
      <c r="K196" s="66">
        <f>5080</f>
        <v>5080</v>
      </c>
      <c r="L196" s="67" t="s">
        <v>853</v>
      </c>
      <c r="M196" s="66">
        <f>5550</f>
        <v>5550</v>
      </c>
      <c r="N196" s="67" t="s">
        <v>176</v>
      </c>
      <c r="O196" s="66">
        <f>5050</f>
        <v>5050</v>
      </c>
      <c r="P196" s="67" t="s">
        <v>48</v>
      </c>
      <c r="Q196" s="66">
        <f>5370</f>
        <v>5370</v>
      </c>
      <c r="R196" s="67" t="s">
        <v>872</v>
      </c>
      <c r="S196" s="68">
        <f>5232.17</f>
        <v>5232.17</v>
      </c>
      <c r="T196" s="65">
        <f>4156</f>
        <v>4156</v>
      </c>
      <c r="U196" s="65" t="str">
        <f>"－"</f>
        <v>－</v>
      </c>
      <c r="V196" s="65">
        <f>21973820</f>
        <v>21973820</v>
      </c>
      <c r="W196" s="65" t="str">
        <f>"－"</f>
        <v>－</v>
      </c>
      <c r="X196" s="69">
        <f>23</f>
        <v>23</v>
      </c>
    </row>
    <row r="197" spans="1:24">
      <c r="A197" s="60" t="s">
        <v>871</v>
      </c>
      <c r="B197" s="60" t="s">
        <v>633</v>
      </c>
      <c r="C197" s="60" t="s">
        <v>634</v>
      </c>
      <c r="D197" s="60" t="s">
        <v>635</v>
      </c>
      <c r="E197" s="61" t="s">
        <v>46</v>
      </c>
      <c r="F197" s="62" t="s">
        <v>46</v>
      </c>
      <c r="G197" s="63" t="s">
        <v>46</v>
      </c>
      <c r="H197" s="64"/>
      <c r="I197" s="64" t="s">
        <v>629</v>
      </c>
      <c r="J197" s="65">
        <v>1</v>
      </c>
      <c r="K197" s="66">
        <f>18420</f>
        <v>18420</v>
      </c>
      <c r="L197" s="67" t="s">
        <v>853</v>
      </c>
      <c r="M197" s="66">
        <f>19150</f>
        <v>19150</v>
      </c>
      <c r="N197" s="67" t="s">
        <v>872</v>
      </c>
      <c r="O197" s="66">
        <f>17200</f>
        <v>17200</v>
      </c>
      <c r="P197" s="67" t="s">
        <v>856</v>
      </c>
      <c r="Q197" s="66">
        <f>18990</f>
        <v>18990</v>
      </c>
      <c r="R197" s="67" t="s">
        <v>872</v>
      </c>
      <c r="S197" s="68">
        <f>18250.87</f>
        <v>18250.87</v>
      </c>
      <c r="T197" s="65">
        <f>1672</f>
        <v>1672</v>
      </c>
      <c r="U197" s="65" t="str">
        <f>"－"</f>
        <v>－</v>
      </c>
      <c r="V197" s="65">
        <f>30531890</f>
        <v>30531890</v>
      </c>
      <c r="W197" s="65" t="str">
        <f>"－"</f>
        <v>－</v>
      </c>
      <c r="X197" s="69">
        <f>23</f>
        <v>23</v>
      </c>
    </row>
    <row r="198" spans="1:24">
      <c r="A198" s="60" t="s">
        <v>871</v>
      </c>
      <c r="B198" s="60" t="s">
        <v>636</v>
      </c>
      <c r="C198" s="60" t="s">
        <v>637</v>
      </c>
      <c r="D198" s="60" t="s">
        <v>638</v>
      </c>
      <c r="E198" s="61" t="s">
        <v>46</v>
      </c>
      <c r="F198" s="62" t="s">
        <v>46</v>
      </c>
      <c r="G198" s="63" t="s">
        <v>46</v>
      </c>
      <c r="H198" s="64"/>
      <c r="I198" s="64" t="s">
        <v>629</v>
      </c>
      <c r="J198" s="65">
        <v>1</v>
      </c>
      <c r="K198" s="66">
        <f>6080</f>
        <v>6080</v>
      </c>
      <c r="L198" s="67" t="s">
        <v>853</v>
      </c>
      <c r="M198" s="66">
        <f>6140</f>
        <v>6140</v>
      </c>
      <c r="N198" s="67" t="s">
        <v>859</v>
      </c>
      <c r="O198" s="66">
        <f>5920</f>
        <v>5920</v>
      </c>
      <c r="P198" s="67" t="s">
        <v>857</v>
      </c>
      <c r="Q198" s="66">
        <f>6020</f>
        <v>6020</v>
      </c>
      <c r="R198" s="67" t="s">
        <v>872</v>
      </c>
      <c r="S198" s="68">
        <f>6020</f>
        <v>6020</v>
      </c>
      <c r="T198" s="65">
        <f>9046</f>
        <v>9046</v>
      </c>
      <c r="U198" s="65" t="str">
        <f>"－"</f>
        <v>－</v>
      </c>
      <c r="V198" s="65">
        <f>54518230</f>
        <v>54518230</v>
      </c>
      <c r="W198" s="65" t="str">
        <f>"－"</f>
        <v>－</v>
      </c>
      <c r="X198" s="69">
        <f>23</f>
        <v>23</v>
      </c>
    </row>
    <row r="199" spans="1:24">
      <c r="A199" s="60" t="s">
        <v>871</v>
      </c>
      <c r="B199" s="60" t="s">
        <v>639</v>
      </c>
      <c r="C199" s="60" t="s">
        <v>640</v>
      </c>
      <c r="D199" s="60" t="s">
        <v>641</v>
      </c>
      <c r="E199" s="61" t="s">
        <v>46</v>
      </c>
      <c r="F199" s="62" t="s">
        <v>46</v>
      </c>
      <c r="G199" s="63" t="s">
        <v>46</v>
      </c>
      <c r="H199" s="64"/>
      <c r="I199" s="64" t="s">
        <v>629</v>
      </c>
      <c r="J199" s="65">
        <v>1</v>
      </c>
      <c r="K199" s="66">
        <f>367</f>
        <v>367</v>
      </c>
      <c r="L199" s="67" t="s">
        <v>853</v>
      </c>
      <c r="M199" s="66">
        <f>373</f>
        <v>373</v>
      </c>
      <c r="N199" s="67" t="s">
        <v>853</v>
      </c>
      <c r="O199" s="66">
        <f>268</f>
        <v>268</v>
      </c>
      <c r="P199" s="67" t="s">
        <v>50</v>
      </c>
      <c r="Q199" s="66">
        <f>287</f>
        <v>287</v>
      </c>
      <c r="R199" s="67" t="s">
        <v>872</v>
      </c>
      <c r="S199" s="68">
        <f>325.48</f>
        <v>325.48</v>
      </c>
      <c r="T199" s="65">
        <f>42430129</f>
        <v>42430129</v>
      </c>
      <c r="U199" s="65">
        <f>13208</f>
        <v>13208</v>
      </c>
      <c r="V199" s="65">
        <f>13840825843</f>
        <v>13840825843</v>
      </c>
      <c r="W199" s="65">
        <f>3750899</f>
        <v>3750899</v>
      </c>
      <c r="X199" s="69">
        <f>23</f>
        <v>23</v>
      </c>
    </row>
    <row r="200" spans="1:24">
      <c r="A200" s="60" t="s">
        <v>871</v>
      </c>
      <c r="B200" s="60" t="s">
        <v>642</v>
      </c>
      <c r="C200" s="60" t="s">
        <v>643</v>
      </c>
      <c r="D200" s="60" t="s">
        <v>644</v>
      </c>
      <c r="E200" s="61" t="s">
        <v>46</v>
      </c>
      <c r="F200" s="62" t="s">
        <v>46</v>
      </c>
      <c r="G200" s="63" t="s">
        <v>46</v>
      </c>
      <c r="H200" s="64"/>
      <c r="I200" s="64" t="s">
        <v>629</v>
      </c>
      <c r="J200" s="65">
        <v>1</v>
      </c>
      <c r="K200" s="66">
        <f>15880</f>
        <v>15880</v>
      </c>
      <c r="L200" s="67" t="s">
        <v>853</v>
      </c>
      <c r="M200" s="66">
        <f>16760</f>
        <v>16760</v>
      </c>
      <c r="N200" s="67" t="s">
        <v>100</v>
      </c>
      <c r="O200" s="66">
        <f>15180</f>
        <v>15180</v>
      </c>
      <c r="P200" s="67" t="s">
        <v>84</v>
      </c>
      <c r="Q200" s="66">
        <f>15850</f>
        <v>15850</v>
      </c>
      <c r="R200" s="67" t="s">
        <v>872</v>
      </c>
      <c r="S200" s="68">
        <f>16066.96</f>
        <v>16066.96</v>
      </c>
      <c r="T200" s="65">
        <f>52741</f>
        <v>52741</v>
      </c>
      <c r="U200" s="65">
        <f>10</f>
        <v>10</v>
      </c>
      <c r="V200" s="65">
        <f>844262750</f>
        <v>844262750</v>
      </c>
      <c r="W200" s="65">
        <f>159930</f>
        <v>159930</v>
      </c>
      <c r="X200" s="69">
        <f>23</f>
        <v>23</v>
      </c>
    </row>
    <row r="201" spans="1:24">
      <c r="A201" s="60" t="s">
        <v>871</v>
      </c>
      <c r="B201" s="60" t="s">
        <v>645</v>
      </c>
      <c r="C201" s="60" t="s">
        <v>646</v>
      </c>
      <c r="D201" s="60" t="s">
        <v>647</v>
      </c>
      <c r="E201" s="61" t="s">
        <v>46</v>
      </c>
      <c r="F201" s="62" t="s">
        <v>46</v>
      </c>
      <c r="G201" s="63" t="s">
        <v>46</v>
      </c>
      <c r="H201" s="64"/>
      <c r="I201" s="64" t="s">
        <v>629</v>
      </c>
      <c r="J201" s="65">
        <v>1</v>
      </c>
      <c r="K201" s="66">
        <f>6000</f>
        <v>6000</v>
      </c>
      <c r="L201" s="67" t="s">
        <v>853</v>
      </c>
      <c r="M201" s="66">
        <f>6100</f>
        <v>6100</v>
      </c>
      <c r="N201" s="67" t="s">
        <v>84</v>
      </c>
      <c r="O201" s="66">
        <f>5750</f>
        <v>5750</v>
      </c>
      <c r="P201" s="67" t="s">
        <v>100</v>
      </c>
      <c r="Q201" s="66">
        <f>5890</f>
        <v>5890</v>
      </c>
      <c r="R201" s="67" t="s">
        <v>872</v>
      </c>
      <c r="S201" s="68">
        <f>5882.17</f>
        <v>5882.17</v>
      </c>
      <c r="T201" s="65">
        <f>14647</f>
        <v>14647</v>
      </c>
      <c r="U201" s="65" t="str">
        <f>"－"</f>
        <v>－</v>
      </c>
      <c r="V201" s="65">
        <f>86873170</f>
        <v>86873170</v>
      </c>
      <c r="W201" s="65" t="str">
        <f>"－"</f>
        <v>－</v>
      </c>
      <c r="X201" s="69">
        <f>23</f>
        <v>23</v>
      </c>
    </row>
    <row r="202" spans="1:24">
      <c r="A202" s="60" t="s">
        <v>871</v>
      </c>
      <c r="B202" s="60" t="s">
        <v>648</v>
      </c>
      <c r="C202" s="60" t="s">
        <v>649</v>
      </c>
      <c r="D202" s="60" t="s">
        <v>650</v>
      </c>
      <c r="E202" s="61" t="s">
        <v>46</v>
      </c>
      <c r="F202" s="62" t="s">
        <v>46</v>
      </c>
      <c r="G202" s="63" t="s">
        <v>46</v>
      </c>
      <c r="H202" s="64"/>
      <c r="I202" s="64" t="s">
        <v>629</v>
      </c>
      <c r="J202" s="65">
        <v>1</v>
      </c>
      <c r="K202" s="66">
        <f>454</f>
        <v>454</v>
      </c>
      <c r="L202" s="67" t="s">
        <v>853</v>
      </c>
      <c r="M202" s="66">
        <f>548</f>
        <v>548</v>
      </c>
      <c r="N202" s="67" t="s">
        <v>96</v>
      </c>
      <c r="O202" s="66">
        <f>419</f>
        <v>419</v>
      </c>
      <c r="P202" s="67" t="s">
        <v>858</v>
      </c>
      <c r="Q202" s="66">
        <f>480</f>
        <v>480</v>
      </c>
      <c r="R202" s="67" t="s">
        <v>872</v>
      </c>
      <c r="S202" s="68">
        <f>479.04</f>
        <v>479.04</v>
      </c>
      <c r="T202" s="65">
        <f>382865313</f>
        <v>382865313</v>
      </c>
      <c r="U202" s="65">
        <f>484886</f>
        <v>484886</v>
      </c>
      <c r="V202" s="65">
        <f>185025391589</f>
        <v>185025391589</v>
      </c>
      <c r="W202" s="65">
        <f>252998704</f>
        <v>252998704</v>
      </c>
      <c r="X202" s="69">
        <f>23</f>
        <v>23</v>
      </c>
    </row>
    <row r="203" spans="1:24">
      <c r="A203" s="60" t="s">
        <v>871</v>
      </c>
      <c r="B203" s="60" t="s">
        <v>651</v>
      </c>
      <c r="C203" s="60" t="s">
        <v>652</v>
      </c>
      <c r="D203" s="60" t="s">
        <v>653</v>
      </c>
      <c r="E203" s="61" t="s">
        <v>46</v>
      </c>
      <c r="F203" s="62" t="s">
        <v>46</v>
      </c>
      <c r="G203" s="63" t="s">
        <v>46</v>
      </c>
      <c r="H203" s="64"/>
      <c r="I203" s="64" t="s">
        <v>629</v>
      </c>
      <c r="J203" s="65">
        <v>1</v>
      </c>
      <c r="K203" s="66">
        <f>4090</f>
        <v>4090</v>
      </c>
      <c r="L203" s="67" t="s">
        <v>853</v>
      </c>
      <c r="M203" s="66">
        <f>4255</f>
        <v>4255</v>
      </c>
      <c r="N203" s="67" t="s">
        <v>858</v>
      </c>
      <c r="O203" s="66">
        <f>3650</f>
        <v>3650</v>
      </c>
      <c r="P203" s="67" t="s">
        <v>96</v>
      </c>
      <c r="Q203" s="66">
        <f>3845</f>
        <v>3845</v>
      </c>
      <c r="R203" s="67" t="s">
        <v>872</v>
      </c>
      <c r="S203" s="68">
        <f>3909.35</f>
        <v>3909.35</v>
      </c>
      <c r="T203" s="65">
        <f>615441</f>
        <v>615441</v>
      </c>
      <c r="U203" s="65" t="str">
        <f>"－"</f>
        <v>－</v>
      </c>
      <c r="V203" s="65">
        <f>2405348660</f>
        <v>2405348660</v>
      </c>
      <c r="W203" s="65" t="str">
        <f>"－"</f>
        <v>－</v>
      </c>
      <c r="X203" s="69">
        <f>23</f>
        <v>23</v>
      </c>
    </row>
    <row r="204" spans="1:24">
      <c r="A204" s="60" t="s">
        <v>871</v>
      </c>
      <c r="B204" s="60" t="s">
        <v>654</v>
      </c>
      <c r="C204" s="60" t="s">
        <v>655</v>
      </c>
      <c r="D204" s="60" t="s">
        <v>656</v>
      </c>
      <c r="E204" s="61" t="s">
        <v>46</v>
      </c>
      <c r="F204" s="62" t="s">
        <v>46</v>
      </c>
      <c r="G204" s="63" t="s">
        <v>46</v>
      </c>
      <c r="H204" s="64"/>
      <c r="I204" s="64" t="s">
        <v>629</v>
      </c>
      <c r="J204" s="65">
        <v>1</v>
      </c>
      <c r="K204" s="66">
        <f>25240</f>
        <v>25240</v>
      </c>
      <c r="L204" s="67" t="s">
        <v>853</v>
      </c>
      <c r="M204" s="66">
        <f>28700</f>
        <v>28700</v>
      </c>
      <c r="N204" s="67" t="s">
        <v>873</v>
      </c>
      <c r="O204" s="66">
        <f>24420</f>
        <v>24420</v>
      </c>
      <c r="P204" s="67" t="s">
        <v>84</v>
      </c>
      <c r="Q204" s="66">
        <f>28440</f>
        <v>28440</v>
      </c>
      <c r="R204" s="67" t="s">
        <v>872</v>
      </c>
      <c r="S204" s="68">
        <f>27096.09</f>
        <v>27096.09</v>
      </c>
      <c r="T204" s="65">
        <f>151292</f>
        <v>151292</v>
      </c>
      <c r="U204" s="65">
        <f>10</f>
        <v>10</v>
      </c>
      <c r="V204" s="65">
        <f>4075460390</f>
        <v>4075460390</v>
      </c>
      <c r="W204" s="65">
        <f>268500</f>
        <v>268500</v>
      </c>
      <c r="X204" s="69">
        <f>23</f>
        <v>23</v>
      </c>
    </row>
    <row r="205" spans="1:24">
      <c r="A205" s="60" t="s">
        <v>871</v>
      </c>
      <c r="B205" s="60" t="s">
        <v>657</v>
      </c>
      <c r="C205" s="60" t="s">
        <v>658</v>
      </c>
      <c r="D205" s="60" t="s">
        <v>659</v>
      </c>
      <c r="E205" s="61" t="s">
        <v>46</v>
      </c>
      <c r="F205" s="62" t="s">
        <v>46</v>
      </c>
      <c r="G205" s="63" t="s">
        <v>46</v>
      </c>
      <c r="H205" s="64"/>
      <c r="I205" s="64" t="s">
        <v>629</v>
      </c>
      <c r="J205" s="65">
        <v>1</v>
      </c>
      <c r="K205" s="66">
        <f>3340</f>
        <v>3340</v>
      </c>
      <c r="L205" s="67" t="s">
        <v>853</v>
      </c>
      <c r="M205" s="66">
        <f>3395</f>
        <v>3395</v>
      </c>
      <c r="N205" s="67" t="s">
        <v>84</v>
      </c>
      <c r="O205" s="66">
        <f>3125</f>
        <v>3125</v>
      </c>
      <c r="P205" s="67" t="s">
        <v>873</v>
      </c>
      <c r="Q205" s="66">
        <f>3140</f>
        <v>3140</v>
      </c>
      <c r="R205" s="67" t="s">
        <v>872</v>
      </c>
      <c r="S205" s="68">
        <f>3223.04</f>
        <v>3223.04</v>
      </c>
      <c r="T205" s="65">
        <f>303767</f>
        <v>303767</v>
      </c>
      <c r="U205" s="65" t="str">
        <f>"－"</f>
        <v>－</v>
      </c>
      <c r="V205" s="65">
        <f>982008855</f>
        <v>982008855</v>
      </c>
      <c r="W205" s="65" t="str">
        <f>"－"</f>
        <v>－</v>
      </c>
      <c r="X205" s="69">
        <f>23</f>
        <v>23</v>
      </c>
    </row>
    <row r="206" spans="1:24">
      <c r="A206" s="60" t="s">
        <v>871</v>
      </c>
      <c r="B206" s="60" t="s">
        <v>660</v>
      </c>
      <c r="C206" s="60" t="s">
        <v>661</v>
      </c>
      <c r="D206" s="60" t="s">
        <v>662</v>
      </c>
      <c r="E206" s="61" t="s">
        <v>46</v>
      </c>
      <c r="F206" s="62" t="s">
        <v>46</v>
      </c>
      <c r="G206" s="63" t="s">
        <v>46</v>
      </c>
      <c r="H206" s="64"/>
      <c r="I206" s="64" t="s">
        <v>629</v>
      </c>
      <c r="J206" s="65">
        <v>1</v>
      </c>
      <c r="K206" s="66">
        <f>13100</f>
        <v>13100</v>
      </c>
      <c r="L206" s="67" t="s">
        <v>853</v>
      </c>
      <c r="M206" s="66">
        <f>13500</f>
        <v>13500</v>
      </c>
      <c r="N206" s="67" t="s">
        <v>100</v>
      </c>
      <c r="O206" s="66">
        <f>11810</f>
        <v>11810</v>
      </c>
      <c r="P206" s="67" t="s">
        <v>859</v>
      </c>
      <c r="Q206" s="66">
        <f>13030</f>
        <v>13030</v>
      </c>
      <c r="R206" s="67" t="s">
        <v>872</v>
      </c>
      <c r="S206" s="68">
        <f>12813.04</f>
        <v>12813.04</v>
      </c>
      <c r="T206" s="65">
        <f>91081</f>
        <v>91081</v>
      </c>
      <c r="U206" s="65">
        <f>6060</f>
        <v>6060</v>
      </c>
      <c r="V206" s="65">
        <f>1166255630</f>
        <v>1166255630</v>
      </c>
      <c r="W206" s="65">
        <f>76335900</f>
        <v>76335900</v>
      </c>
      <c r="X206" s="69">
        <f>23</f>
        <v>23</v>
      </c>
    </row>
    <row r="207" spans="1:24">
      <c r="A207" s="60" t="s">
        <v>871</v>
      </c>
      <c r="B207" s="60" t="s">
        <v>663</v>
      </c>
      <c r="C207" s="60" t="s">
        <v>664</v>
      </c>
      <c r="D207" s="60" t="s">
        <v>665</v>
      </c>
      <c r="E207" s="61" t="s">
        <v>46</v>
      </c>
      <c r="F207" s="62" t="s">
        <v>46</v>
      </c>
      <c r="G207" s="63" t="s">
        <v>46</v>
      </c>
      <c r="H207" s="64"/>
      <c r="I207" s="64" t="s">
        <v>629</v>
      </c>
      <c r="J207" s="65">
        <v>1</v>
      </c>
      <c r="K207" s="66">
        <f>12420</f>
        <v>12420</v>
      </c>
      <c r="L207" s="67" t="s">
        <v>853</v>
      </c>
      <c r="M207" s="66">
        <f>13480</f>
        <v>13480</v>
      </c>
      <c r="N207" s="67" t="s">
        <v>872</v>
      </c>
      <c r="O207" s="66">
        <f>12300</f>
        <v>12300</v>
      </c>
      <c r="P207" s="67" t="s">
        <v>853</v>
      </c>
      <c r="Q207" s="66">
        <f>13400</f>
        <v>13400</v>
      </c>
      <c r="R207" s="67" t="s">
        <v>872</v>
      </c>
      <c r="S207" s="68">
        <f>13019.47</f>
        <v>13019.47</v>
      </c>
      <c r="T207" s="65">
        <f>1712</f>
        <v>1712</v>
      </c>
      <c r="U207" s="65" t="str">
        <f>"－"</f>
        <v>－</v>
      </c>
      <c r="V207" s="65">
        <f>22462460</f>
        <v>22462460</v>
      </c>
      <c r="W207" s="65" t="str">
        <f>"－"</f>
        <v>－</v>
      </c>
      <c r="X207" s="69">
        <f>19</f>
        <v>19</v>
      </c>
    </row>
    <row r="208" spans="1:24">
      <c r="A208" s="60" t="s">
        <v>871</v>
      </c>
      <c r="B208" s="60" t="s">
        <v>666</v>
      </c>
      <c r="C208" s="60" t="s">
        <v>667</v>
      </c>
      <c r="D208" s="60" t="s">
        <v>668</v>
      </c>
      <c r="E208" s="61" t="s">
        <v>46</v>
      </c>
      <c r="F208" s="62" t="s">
        <v>46</v>
      </c>
      <c r="G208" s="63" t="s">
        <v>46</v>
      </c>
      <c r="H208" s="64"/>
      <c r="I208" s="64" t="s">
        <v>629</v>
      </c>
      <c r="J208" s="65">
        <v>1</v>
      </c>
      <c r="K208" s="66">
        <f>15890</f>
        <v>15890</v>
      </c>
      <c r="L208" s="67" t="s">
        <v>853</v>
      </c>
      <c r="M208" s="66">
        <f>17900</f>
        <v>17900</v>
      </c>
      <c r="N208" s="67" t="s">
        <v>872</v>
      </c>
      <c r="O208" s="66">
        <f>15880</f>
        <v>15880</v>
      </c>
      <c r="P208" s="67" t="s">
        <v>853</v>
      </c>
      <c r="Q208" s="66">
        <f>17880</f>
        <v>17880</v>
      </c>
      <c r="R208" s="67" t="s">
        <v>872</v>
      </c>
      <c r="S208" s="68">
        <f>16886.09</f>
        <v>16886.09</v>
      </c>
      <c r="T208" s="65">
        <f>32869</f>
        <v>32869</v>
      </c>
      <c r="U208" s="65" t="str">
        <f>"－"</f>
        <v>－</v>
      </c>
      <c r="V208" s="65">
        <f>559144040</f>
        <v>559144040</v>
      </c>
      <c r="W208" s="65" t="str">
        <f>"－"</f>
        <v>－</v>
      </c>
      <c r="X208" s="69">
        <f>23</f>
        <v>23</v>
      </c>
    </row>
    <row r="209" spans="1:24">
      <c r="A209" s="60" t="s">
        <v>871</v>
      </c>
      <c r="B209" s="60" t="s">
        <v>669</v>
      </c>
      <c r="C209" s="60" t="s">
        <v>670</v>
      </c>
      <c r="D209" s="60" t="s">
        <v>671</v>
      </c>
      <c r="E209" s="61" t="s">
        <v>46</v>
      </c>
      <c r="F209" s="62" t="s">
        <v>46</v>
      </c>
      <c r="G209" s="63" t="s">
        <v>46</v>
      </c>
      <c r="H209" s="64"/>
      <c r="I209" s="64" t="s">
        <v>629</v>
      </c>
      <c r="J209" s="65">
        <v>1</v>
      </c>
      <c r="K209" s="66">
        <f>12540</f>
        <v>12540</v>
      </c>
      <c r="L209" s="67" t="s">
        <v>853</v>
      </c>
      <c r="M209" s="66">
        <f>13690</f>
        <v>13690</v>
      </c>
      <c r="N209" s="67" t="s">
        <v>872</v>
      </c>
      <c r="O209" s="66">
        <f>12480</f>
        <v>12480</v>
      </c>
      <c r="P209" s="67" t="s">
        <v>853</v>
      </c>
      <c r="Q209" s="66">
        <f>13690</f>
        <v>13690</v>
      </c>
      <c r="R209" s="67" t="s">
        <v>872</v>
      </c>
      <c r="S209" s="68">
        <f>12945.56</f>
        <v>12945.56</v>
      </c>
      <c r="T209" s="65">
        <f>933</f>
        <v>933</v>
      </c>
      <c r="U209" s="65" t="str">
        <f>"－"</f>
        <v>－</v>
      </c>
      <c r="V209" s="65">
        <f>12310040</f>
        <v>12310040</v>
      </c>
      <c r="W209" s="65" t="str">
        <f>"－"</f>
        <v>－</v>
      </c>
      <c r="X209" s="69">
        <f>18</f>
        <v>18</v>
      </c>
    </row>
    <row r="210" spans="1:24">
      <c r="A210" s="60" t="s">
        <v>871</v>
      </c>
      <c r="B210" s="60" t="s">
        <v>672</v>
      </c>
      <c r="C210" s="60" t="s">
        <v>673</v>
      </c>
      <c r="D210" s="60" t="s">
        <v>674</v>
      </c>
      <c r="E210" s="61" t="s">
        <v>46</v>
      </c>
      <c r="F210" s="62" t="s">
        <v>46</v>
      </c>
      <c r="G210" s="63" t="s">
        <v>46</v>
      </c>
      <c r="H210" s="64"/>
      <c r="I210" s="64" t="s">
        <v>629</v>
      </c>
      <c r="J210" s="65">
        <v>1</v>
      </c>
      <c r="K210" s="66">
        <f>12670</f>
        <v>12670</v>
      </c>
      <c r="L210" s="67" t="s">
        <v>853</v>
      </c>
      <c r="M210" s="66">
        <f>14450</f>
        <v>14450</v>
      </c>
      <c r="N210" s="67" t="s">
        <v>131</v>
      </c>
      <c r="O210" s="66">
        <f>12610</f>
        <v>12610</v>
      </c>
      <c r="P210" s="67" t="s">
        <v>613</v>
      </c>
      <c r="Q210" s="66">
        <f>13290</f>
        <v>13290</v>
      </c>
      <c r="R210" s="67" t="s">
        <v>872</v>
      </c>
      <c r="S210" s="68">
        <f>13411.3</f>
        <v>13411.3</v>
      </c>
      <c r="T210" s="65">
        <f>84288</f>
        <v>84288</v>
      </c>
      <c r="U210" s="65">
        <f>10</f>
        <v>10</v>
      </c>
      <c r="V210" s="65">
        <f>1131664955</f>
        <v>1131664955</v>
      </c>
      <c r="W210" s="65">
        <f>133745</f>
        <v>133745</v>
      </c>
      <c r="X210" s="69">
        <f>23</f>
        <v>23</v>
      </c>
    </row>
    <row r="211" spans="1:24">
      <c r="A211" s="60" t="s">
        <v>871</v>
      </c>
      <c r="B211" s="60" t="s">
        <v>675</v>
      </c>
      <c r="C211" s="60" t="s">
        <v>676</v>
      </c>
      <c r="D211" s="60" t="s">
        <v>677</v>
      </c>
      <c r="E211" s="61" t="s">
        <v>46</v>
      </c>
      <c r="F211" s="62" t="s">
        <v>46</v>
      </c>
      <c r="G211" s="63" t="s">
        <v>46</v>
      </c>
      <c r="H211" s="64"/>
      <c r="I211" s="64" t="s">
        <v>629</v>
      </c>
      <c r="J211" s="65">
        <v>1</v>
      </c>
      <c r="K211" s="66">
        <f>4585</f>
        <v>4585</v>
      </c>
      <c r="L211" s="67" t="s">
        <v>853</v>
      </c>
      <c r="M211" s="66">
        <f>4880</f>
        <v>4880</v>
      </c>
      <c r="N211" s="67" t="s">
        <v>613</v>
      </c>
      <c r="O211" s="66">
        <f>4440</f>
        <v>4440</v>
      </c>
      <c r="P211" s="67" t="s">
        <v>858</v>
      </c>
      <c r="Q211" s="66">
        <f>4735</f>
        <v>4735</v>
      </c>
      <c r="R211" s="67" t="s">
        <v>872</v>
      </c>
      <c r="S211" s="68">
        <f>4630.43</f>
        <v>4630.43</v>
      </c>
      <c r="T211" s="65">
        <f>8410</f>
        <v>8410</v>
      </c>
      <c r="U211" s="65" t="str">
        <f t="shared" ref="U211:U221" si="10">"－"</f>
        <v>－</v>
      </c>
      <c r="V211" s="65">
        <f>39116635</f>
        <v>39116635</v>
      </c>
      <c r="W211" s="65" t="str">
        <f t="shared" ref="W211:W221" si="11">"－"</f>
        <v>－</v>
      </c>
      <c r="X211" s="69">
        <f>23</f>
        <v>23</v>
      </c>
    </row>
    <row r="212" spans="1:24">
      <c r="A212" s="60" t="s">
        <v>871</v>
      </c>
      <c r="B212" s="60" t="s">
        <v>678</v>
      </c>
      <c r="C212" s="60" t="s">
        <v>679</v>
      </c>
      <c r="D212" s="60" t="s">
        <v>680</v>
      </c>
      <c r="E212" s="61" t="s">
        <v>46</v>
      </c>
      <c r="F212" s="62" t="s">
        <v>46</v>
      </c>
      <c r="G212" s="63" t="s">
        <v>46</v>
      </c>
      <c r="H212" s="64"/>
      <c r="I212" s="64" t="s">
        <v>629</v>
      </c>
      <c r="J212" s="65">
        <v>1</v>
      </c>
      <c r="K212" s="66">
        <f>10050</f>
        <v>10050</v>
      </c>
      <c r="L212" s="67" t="s">
        <v>853</v>
      </c>
      <c r="M212" s="66">
        <f>11500</f>
        <v>11500</v>
      </c>
      <c r="N212" s="67" t="s">
        <v>50</v>
      </c>
      <c r="O212" s="66">
        <f>10050</f>
        <v>10050</v>
      </c>
      <c r="P212" s="67" t="s">
        <v>853</v>
      </c>
      <c r="Q212" s="66">
        <f>11320</f>
        <v>11320</v>
      </c>
      <c r="R212" s="67" t="s">
        <v>872</v>
      </c>
      <c r="S212" s="68">
        <f>10933</f>
        <v>10933</v>
      </c>
      <c r="T212" s="65">
        <f>5527</f>
        <v>5527</v>
      </c>
      <c r="U212" s="65" t="str">
        <f t="shared" si="10"/>
        <v>－</v>
      </c>
      <c r="V212" s="65">
        <f>61823450</f>
        <v>61823450</v>
      </c>
      <c r="W212" s="65" t="str">
        <f t="shared" si="11"/>
        <v>－</v>
      </c>
      <c r="X212" s="69">
        <f>20</f>
        <v>20</v>
      </c>
    </row>
    <row r="213" spans="1:24">
      <c r="A213" s="60" t="s">
        <v>871</v>
      </c>
      <c r="B213" s="60" t="s">
        <v>681</v>
      </c>
      <c r="C213" s="60" t="s">
        <v>682</v>
      </c>
      <c r="D213" s="60" t="s">
        <v>683</v>
      </c>
      <c r="E213" s="61" t="s">
        <v>46</v>
      </c>
      <c r="F213" s="62" t="s">
        <v>46</v>
      </c>
      <c r="G213" s="63" t="s">
        <v>46</v>
      </c>
      <c r="H213" s="64"/>
      <c r="I213" s="64" t="s">
        <v>629</v>
      </c>
      <c r="J213" s="65">
        <v>1</v>
      </c>
      <c r="K213" s="66">
        <f>11620</f>
        <v>11620</v>
      </c>
      <c r="L213" s="67" t="s">
        <v>853</v>
      </c>
      <c r="M213" s="66">
        <f>12890</f>
        <v>12890</v>
      </c>
      <c r="N213" s="67" t="s">
        <v>874</v>
      </c>
      <c r="O213" s="66">
        <f>11610</f>
        <v>11610</v>
      </c>
      <c r="P213" s="67" t="s">
        <v>853</v>
      </c>
      <c r="Q213" s="66">
        <f>12700</f>
        <v>12700</v>
      </c>
      <c r="R213" s="67" t="s">
        <v>50</v>
      </c>
      <c r="S213" s="68">
        <f>12338.67</f>
        <v>12338.67</v>
      </c>
      <c r="T213" s="65">
        <f>952</f>
        <v>952</v>
      </c>
      <c r="U213" s="65" t="str">
        <f t="shared" si="10"/>
        <v>－</v>
      </c>
      <c r="V213" s="65">
        <f>11813220</f>
        <v>11813220</v>
      </c>
      <c r="W213" s="65" t="str">
        <f t="shared" si="11"/>
        <v>－</v>
      </c>
      <c r="X213" s="69">
        <f>15</f>
        <v>15</v>
      </c>
    </row>
    <row r="214" spans="1:24">
      <c r="A214" s="60" t="s">
        <v>871</v>
      </c>
      <c r="B214" s="60" t="s">
        <v>684</v>
      </c>
      <c r="C214" s="60" t="s">
        <v>685</v>
      </c>
      <c r="D214" s="60" t="s">
        <v>686</v>
      </c>
      <c r="E214" s="61" t="s">
        <v>46</v>
      </c>
      <c r="F214" s="62" t="s">
        <v>46</v>
      </c>
      <c r="G214" s="63" t="s">
        <v>46</v>
      </c>
      <c r="H214" s="64"/>
      <c r="I214" s="64" t="s">
        <v>629</v>
      </c>
      <c r="J214" s="65">
        <v>1</v>
      </c>
      <c r="K214" s="66">
        <f>12260</f>
        <v>12260</v>
      </c>
      <c r="L214" s="67" t="s">
        <v>857</v>
      </c>
      <c r="M214" s="66">
        <f>13930</f>
        <v>13930</v>
      </c>
      <c r="N214" s="67" t="s">
        <v>874</v>
      </c>
      <c r="O214" s="66">
        <f>12130</f>
        <v>12130</v>
      </c>
      <c r="P214" s="67" t="s">
        <v>857</v>
      </c>
      <c r="Q214" s="66">
        <f>13750</f>
        <v>13750</v>
      </c>
      <c r="R214" s="67" t="s">
        <v>872</v>
      </c>
      <c r="S214" s="68">
        <f>13406.25</f>
        <v>13406.25</v>
      </c>
      <c r="T214" s="65">
        <f>1765</f>
        <v>1765</v>
      </c>
      <c r="U214" s="65" t="str">
        <f t="shared" si="10"/>
        <v>－</v>
      </c>
      <c r="V214" s="65">
        <f>23567760</f>
        <v>23567760</v>
      </c>
      <c r="W214" s="65" t="str">
        <f t="shared" si="11"/>
        <v>－</v>
      </c>
      <c r="X214" s="69">
        <f>16</f>
        <v>16</v>
      </c>
    </row>
    <row r="215" spans="1:24">
      <c r="A215" s="60" t="s">
        <v>871</v>
      </c>
      <c r="B215" s="60" t="s">
        <v>687</v>
      </c>
      <c r="C215" s="60" t="s">
        <v>688</v>
      </c>
      <c r="D215" s="60" t="s">
        <v>689</v>
      </c>
      <c r="E215" s="61" t="s">
        <v>46</v>
      </c>
      <c r="F215" s="62" t="s">
        <v>46</v>
      </c>
      <c r="G215" s="63" t="s">
        <v>46</v>
      </c>
      <c r="H215" s="64"/>
      <c r="I215" s="64" t="s">
        <v>629</v>
      </c>
      <c r="J215" s="65">
        <v>1</v>
      </c>
      <c r="K215" s="66">
        <f>12560</f>
        <v>12560</v>
      </c>
      <c r="L215" s="67" t="s">
        <v>857</v>
      </c>
      <c r="M215" s="66">
        <f>13720</f>
        <v>13720</v>
      </c>
      <c r="N215" s="67" t="s">
        <v>872</v>
      </c>
      <c r="O215" s="66">
        <f>12350</f>
        <v>12350</v>
      </c>
      <c r="P215" s="67" t="s">
        <v>860</v>
      </c>
      <c r="Q215" s="66">
        <f>13720</f>
        <v>13720</v>
      </c>
      <c r="R215" s="67" t="s">
        <v>872</v>
      </c>
      <c r="S215" s="68">
        <f>12976.67</f>
        <v>12976.67</v>
      </c>
      <c r="T215" s="65">
        <f>1776</f>
        <v>1776</v>
      </c>
      <c r="U215" s="65" t="str">
        <f t="shared" si="10"/>
        <v>－</v>
      </c>
      <c r="V215" s="65">
        <f>23965080</f>
        <v>23965080</v>
      </c>
      <c r="W215" s="65" t="str">
        <f t="shared" si="11"/>
        <v>－</v>
      </c>
      <c r="X215" s="69">
        <f>12</f>
        <v>12</v>
      </c>
    </row>
    <row r="216" spans="1:24">
      <c r="A216" s="60" t="s">
        <v>871</v>
      </c>
      <c r="B216" s="60" t="s">
        <v>690</v>
      </c>
      <c r="C216" s="60" t="s">
        <v>691</v>
      </c>
      <c r="D216" s="60" t="s">
        <v>692</v>
      </c>
      <c r="E216" s="61" t="s">
        <v>46</v>
      </c>
      <c r="F216" s="62" t="s">
        <v>46</v>
      </c>
      <c r="G216" s="63" t="s">
        <v>46</v>
      </c>
      <c r="H216" s="64"/>
      <c r="I216" s="64" t="s">
        <v>629</v>
      </c>
      <c r="J216" s="65">
        <v>1</v>
      </c>
      <c r="K216" s="66">
        <f>12080</f>
        <v>12080</v>
      </c>
      <c r="L216" s="67" t="s">
        <v>853</v>
      </c>
      <c r="M216" s="66">
        <f>13160</f>
        <v>13160</v>
      </c>
      <c r="N216" s="67" t="s">
        <v>132</v>
      </c>
      <c r="O216" s="66">
        <f>12020</f>
        <v>12020</v>
      </c>
      <c r="P216" s="67" t="s">
        <v>84</v>
      </c>
      <c r="Q216" s="66">
        <f>12860</f>
        <v>12860</v>
      </c>
      <c r="R216" s="67" t="s">
        <v>872</v>
      </c>
      <c r="S216" s="68">
        <f>12671.74</f>
        <v>12671.74</v>
      </c>
      <c r="T216" s="65">
        <f>15043</f>
        <v>15043</v>
      </c>
      <c r="U216" s="65" t="str">
        <f t="shared" si="10"/>
        <v>－</v>
      </c>
      <c r="V216" s="65">
        <f>190657800</f>
        <v>190657800</v>
      </c>
      <c r="W216" s="65" t="str">
        <f t="shared" si="11"/>
        <v>－</v>
      </c>
      <c r="X216" s="69">
        <f>23</f>
        <v>23</v>
      </c>
    </row>
    <row r="217" spans="1:24">
      <c r="A217" s="60" t="s">
        <v>871</v>
      </c>
      <c r="B217" s="60" t="s">
        <v>693</v>
      </c>
      <c r="C217" s="60" t="s">
        <v>694</v>
      </c>
      <c r="D217" s="60" t="s">
        <v>695</v>
      </c>
      <c r="E217" s="61" t="s">
        <v>46</v>
      </c>
      <c r="F217" s="62" t="s">
        <v>46</v>
      </c>
      <c r="G217" s="63" t="s">
        <v>46</v>
      </c>
      <c r="H217" s="64"/>
      <c r="I217" s="64" t="s">
        <v>629</v>
      </c>
      <c r="J217" s="65">
        <v>1</v>
      </c>
      <c r="K217" s="66">
        <f>13760</f>
        <v>13760</v>
      </c>
      <c r="L217" s="67" t="s">
        <v>613</v>
      </c>
      <c r="M217" s="66">
        <f>13800</f>
        <v>13800</v>
      </c>
      <c r="N217" s="67" t="s">
        <v>132</v>
      </c>
      <c r="O217" s="66">
        <f>13370</f>
        <v>13370</v>
      </c>
      <c r="P217" s="67" t="s">
        <v>240</v>
      </c>
      <c r="Q217" s="66">
        <f>13370</f>
        <v>13370</v>
      </c>
      <c r="R217" s="67" t="s">
        <v>240</v>
      </c>
      <c r="S217" s="68">
        <f>13650</f>
        <v>13650</v>
      </c>
      <c r="T217" s="65">
        <f>801</f>
        <v>801</v>
      </c>
      <c r="U217" s="65" t="str">
        <f t="shared" si="10"/>
        <v>－</v>
      </c>
      <c r="V217" s="65">
        <f>11037560</f>
        <v>11037560</v>
      </c>
      <c r="W217" s="65" t="str">
        <f t="shared" si="11"/>
        <v>－</v>
      </c>
      <c r="X217" s="69">
        <f>3</f>
        <v>3</v>
      </c>
    </row>
    <row r="218" spans="1:24">
      <c r="A218" s="60" t="s">
        <v>871</v>
      </c>
      <c r="B218" s="60" t="s">
        <v>696</v>
      </c>
      <c r="C218" s="60" t="s">
        <v>697</v>
      </c>
      <c r="D218" s="60" t="s">
        <v>698</v>
      </c>
      <c r="E218" s="61" t="s">
        <v>46</v>
      </c>
      <c r="F218" s="62" t="s">
        <v>46</v>
      </c>
      <c r="G218" s="63" t="s">
        <v>46</v>
      </c>
      <c r="H218" s="64"/>
      <c r="I218" s="64" t="s">
        <v>629</v>
      </c>
      <c r="J218" s="65">
        <v>1</v>
      </c>
      <c r="K218" s="66">
        <f>12570</f>
        <v>12570</v>
      </c>
      <c r="L218" s="67" t="s">
        <v>69</v>
      </c>
      <c r="M218" s="66">
        <f>12810</f>
        <v>12810</v>
      </c>
      <c r="N218" s="67" t="s">
        <v>873</v>
      </c>
      <c r="O218" s="66">
        <f>12540</f>
        <v>12540</v>
      </c>
      <c r="P218" s="67" t="s">
        <v>176</v>
      </c>
      <c r="Q218" s="66">
        <f>12780</f>
        <v>12780</v>
      </c>
      <c r="R218" s="67" t="s">
        <v>873</v>
      </c>
      <c r="S218" s="68">
        <f>12622.5</f>
        <v>12622.5</v>
      </c>
      <c r="T218" s="65">
        <f>26</f>
        <v>26</v>
      </c>
      <c r="U218" s="65" t="str">
        <f t="shared" si="10"/>
        <v>－</v>
      </c>
      <c r="V218" s="65">
        <f>329880</f>
        <v>329880</v>
      </c>
      <c r="W218" s="65" t="str">
        <f t="shared" si="11"/>
        <v>－</v>
      </c>
      <c r="X218" s="69">
        <f>4</f>
        <v>4</v>
      </c>
    </row>
    <row r="219" spans="1:24">
      <c r="A219" s="60" t="s">
        <v>871</v>
      </c>
      <c r="B219" s="60" t="s">
        <v>699</v>
      </c>
      <c r="C219" s="60" t="s">
        <v>700</v>
      </c>
      <c r="D219" s="60" t="s">
        <v>701</v>
      </c>
      <c r="E219" s="61" t="s">
        <v>46</v>
      </c>
      <c r="F219" s="62" t="s">
        <v>46</v>
      </c>
      <c r="G219" s="63" t="s">
        <v>46</v>
      </c>
      <c r="H219" s="64"/>
      <c r="I219" s="64" t="s">
        <v>629</v>
      </c>
      <c r="J219" s="65">
        <v>1</v>
      </c>
      <c r="K219" s="66">
        <f>10220</f>
        <v>10220</v>
      </c>
      <c r="L219" s="67" t="s">
        <v>857</v>
      </c>
      <c r="M219" s="66">
        <f>10840</f>
        <v>10840</v>
      </c>
      <c r="N219" s="67" t="s">
        <v>873</v>
      </c>
      <c r="O219" s="66">
        <f>10000</f>
        <v>10000</v>
      </c>
      <c r="P219" s="67" t="s">
        <v>48</v>
      </c>
      <c r="Q219" s="66">
        <f>10630</f>
        <v>10630</v>
      </c>
      <c r="R219" s="67" t="s">
        <v>872</v>
      </c>
      <c r="S219" s="68">
        <f>10399.09</f>
        <v>10399.09</v>
      </c>
      <c r="T219" s="65">
        <f>31876</f>
        <v>31876</v>
      </c>
      <c r="U219" s="65" t="str">
        <f t="shared" si="10"/>
        <v>－</v>
      </c>
      <c r="V219" s="65">
        <f>335493600</f>
        <v>335493600</v>
      </c>
      <c r="W219" s="65" t="str">
        <f t="shared" si="11"/>
        <v>－</v>
      </c>
      <c r="X219" s="69">
        <f>22</f>
        <v>22</v>
      </c>
    </row>
    <row r="220" spans="1:24">
      <c r="A220" s="60" t="s">
        <v>871</v>
      </c>
      <c r="B220" s="60" t="s">
        <v>702</v>
      </c>
      <c r="C220" s="60" t="s">
        <v>703</v>
      </c>
      <c r="D220" s="60" t="s">
        <v>704</v>
      </c>
      <c r="E220" s="61" t="s">
        <v>46</v>
      </c>
      <c r="F220" s="62" t="s">
        <v>46</v>
      </c>
      <c r="G220" s="63" t="s">
        <v>46</v>
      </c>
      <c r="H220" s="64"/>
      <c r="I220" s="64" t="s">
        <v>629</v>
      </c>
      <c r="J220" s="65">
        <v>1</v>
      </c>
      <c r="K220" s="66">
        <f>10450</f>
        <v>10450</v>
      </c>
      <c r="L220" s="67" t="s">
        <v>853</v>
      </c>
      <c r="M220" s="66">
        <f>11190</f>
        <v>11190</v>
      </c>
      <c r="N220" s="67" t="s">
        <v>873</v>
      </c>
      <c r="O220" s="66">
        <f>10120</f>
        <v>10120</v>
      </c>
      <c r="P220" s="67" t="s">
        <v>84</v>
      </c>
      <c r="Q220" s="66">
        <f>11050</f>
        <v>11050</v>
      </c>
      <c r="R220" s="67" t="s">
        <v>872</v>
      </c>
      <c r="S220" s="68">
        <f>10656.52</f>
        <v>10656.52</v>
      </c>
      <c r="T220" s="65">
        <f>130762</f>
        <v>130762</v>
      </c>
      <c r="U220" s="65" t="str">
        <f t="shared" si="10"/>
        <v>－</v>
      </c>
      <c r="V220" s="65">
        <f>1418709780</f>
        <v>1418709780</v>
      </c>
      <c r="W220" s="65" t="str">
        <f t="shared" si="11"/>
        <v>－</v>
      </c>
      <c r="X220" s="69">
        <f>23</f>
        <v>23</v>
      </c>
    </row>
    <row r="221" spans="1:24">
      <c r="A221" s="60" t="s">
        <v>871</v>
      </c>
      <c r="B221" s="60" t="s">
        <v>705</v>
      </c>
      <c r="C221" s="60" t="s">
        <v>706</v>
      </c>
      <c r="D221" s="60" t="s">
        <v>707</v>
      </c>
      <c r="E221" s="61" t="s">
        <v>46</v>
      </c>
      <c r="F221" s="62" t="s">
        <v>46</v>
      </c>
      <c r="G221" s="63" t="s">
        <v>46</v>
      </c>
      <c r="H221" s="64"/>
      <c r="I221" s="64" t="s">
        <v>629</v>
      </c>
      <c r="J221" s="65">
        <v>1</v>
      </c>
      <c r="K221" s="66">
        <f>10380</f>
        <v>10380</v>
      </c>
      <c r="L221" s="67" t="s">
        <v>853</v>
      </c>
      <c r="M221" s="66">
        <f>11160</f>
        <v>11160</v>
      </c>
      <c r="N221" s="67" t="s">
        <v>50</v>
      </c>
      <c r="O221" s="66">
        <f>10350</f>
        <v>10350</v>
      </c>
      <c r="P221" s="67" t="s">
        <v>84</v>
      </c>
      <c r="Q221" s="66">
        <f>10960</f>
        <v>10960</v>
      </c>
      <c r="R221" s="67" t="s">
        <v>872</v>
      </c>
      <c r="S221" s="68">
        <f>10781.3</f>
        <v>10781.3</v>
      </c>
      <c r="T221" s="65">
        <f>56830</f>
        <v>56830</v>
      </c>
      <c r="U221" s="65" t="str">
        <f t="shared" si="10"/>
        <v>－</v>
      </c>
      <c r="V221" s="65">
        <f>608148710</f>
        <v>608148710</v>
      </c>
      <c r="W221" s="65" t="str">
        <f t="shared" si="11"/>
        <v>－</v>
      </c>
      <c r="X221" s="69">
        <f>23</f>
        <v>23</v>
      </c>
    </row>
    <row r="222" spans="1:24">
      <c r="A222" s="60" t="s">
        <v>871</v>
      </c>
      <c r="B222" s="60" t="s">
        <v>708</v>
      </c>
      <c r="C222" s="60" t="s">
        <v>709</v>
      </c>
      <c r="D222" s="60" t="s">
        <v>710</v>
      </c>
      <c r="E222" s="61" t="s">
        <v>46</v>
      </c>
      <c r="F222" s="62" t="s">
        <v>46</v>
      </c>
      <c r="G222" s="63" t="s">
        <v>46</v>
      </c>
      <c r="H222" s="64"/>
      <c r="I222" s="64" t="s">
        <v>47</v>
      </c>
      <c r="J222" s="65">
        <v>10</v>
      </c>
      <c r="K222" s="66">
        <f>990</f>
        <v>990</v>
      </c>
      <c r="L222" s="67" t="s">
        <v>853</v>
      </c>
      <c r="M222" s="66">
        <f>997</f>
        <v>997</v>
      </c>
      <c r="N222" s="67" t="s">
        <v>856</v>
      </c>
      <c r="O222" s="66">
        <f>987</f>
        <v>987</v>
      </c>
      <c r="P222" s="67" t="s">
        <v>853</v>
      </c>
      <c r="Q222" s="66">
        <f>992</f>
        <v>992</v>
      </c>
      <c r="R222" s="67" t="s">
        <v>872</v>
      </c>
      <c r="S222" s="68">
        <f>991.74</f>
        <v>991.74</v>
      </c>
      <c r="T222" s="65">
        <f>1599320</f>
        <v>1599320</v>
      </c>
      <c r="U222" s="65">
        <f>464590</f>
        <v>464590</v>
      </c>
      <c r="V222" s="65">
        <f>1587137567</f>
        <v>1587137567</v>
      </c>
      <c r="W222" s="65">
        <f>461097967</f>
        <v>461097967</v>
      </c>
      <c r="X222" s="69">
        <f>23</f>
        <v>23</v>
      </c>
    </row>
    <row r="223" spans="1:24">
      <c r="A223" s="60" t="s">
        <v>871</v>
      </c>
      <c r="B223" s="60" t="s">
        <v>711</v>
      </c>
      <c r="C223" s="60" t="s">
        <v>712</v>
      </c>
      <c r="D223" s="60" t="s">
        <v>713</v>
      </c>
      <c r="E223" s="61" t="s">
        <v>46</v>
      </c>
      <c r="F223" s="62" t="s">
        <v>46</v>
      </c>
      <c r="G223" s="63" t="s">
        <v>46</v>
      </c>
      <c r="H223" s="64"/>
      <c r="I223" s="64" t="s">
        <v>47</v>
      </c>
      <c r="J223" s="65">
        <v>10</v>
      </c>
      <c r="K223" s="66">
        <f>1002</f>
        <v>1002</v>
      </c>
      <c r="L223" s="67" t="s">
        <v>853</v>
      </c>
      <c r="M223" s="66">
        <f>1018</f>
        <v>1018</v>
      </c>
      <c r="N223" s="67" t="s">
        <v>857</v>
      </c>
      <c r="O223" s="66">
        <f>996</f>
        <v>996</v>
      </c>
      <c r="P223" s="67" t="s">
        <v>856</v>
      </c>
      <c r="Q223" s="66">
        <f>1009</f>
        <v>1009</v>
      </c>
      <c r="R223" s="67" t="s">
        <v>872</v>
      </c>
      <c r="S223" s="68">
        <f>1005.17</f>
        <v>1005.17</v>
      </c>
      <c r="T223" s="65">
        <f>1950150</f>
        <v>1950150</v>
      </c>
      <c r="U223" s="65" t="str">
        <f>"－"</f>
        <v>－</v>
      </c>
      <c r="V223" s="65">
        <f>1952907020</f>
        <v>1952907020</v>
      </c>
      <c r="W223" s="65" t="str">
        <f>"－"</f>
        <v>－</v>
      </c>
      <c r="X223" s="69">
        <f>23</f>
        <v>23</v>
      </c>
    </row>
    <row r="224" spans="1:24">
      <c r="A224" s="60" t="s">
        <v>871</v>
      </c>
      <c r="B224" s="60" t="s">
        <v>714</v>
      </c>
      <c r="C224" s="60" t="s">
        <v>715</v>
      </c>
      <c r="D224" s="60" t="s">
        <v>716</v>
      </c>
      <c r="E224" s="61" t="s">
        <v>46</v>
      </c>
      <c r="F224" s="62" t="s">
        <v>46</v>
      </c>
      <c r="G224" s="63" t="s">
        <v>46</v>
      </c>
      <c r="H224" s="64"/>
      <c r="I224" s="64" t="s">
        <v>47</v>
      </c>
      <c r="J224" s="65">
        <v>10</v>
      </c>
      <c r="K224" s="66">
        <f>1021</f>
        <v>1021</v>
      </c>
      <c r="L224" s="67" t="s">
        <v>853</v>
      </c>
      <c r="M224" s="66">
        <f>1034</f>
        <v>1034</v>
      </c>
      <c r="N224" s="67" t="s">
        <v>858</v>
      </c>
      <c r="O224" s="66">
        <f>1010</f>
        <v>1010</v>
      </c>
      <c r="P224" s="67" t="s">
        <v>613</v>
      </c>
      <c r="Q224" s="66">
        <f>1015</f>
        <v>1015</v>
      </c>
      <c r="R224" s="67" t="s">
        <v>872</v>
      </c>
      <c r="S224" s="68">
        <f>1019.61</f>
        <v>1019.61</v>
      </c>
      <c r="T224" s="65">
        <f>3254570</f>
        <v>3254570</v>
      </c>
      <c r="U224" s="65">
        <f>1089170</f>
        <v>1089170</v>
      </c>
      <c r="V224" s="65">
        <f>3320046308</f>
        <v>3320046308</v>
      </c>
      <c r="W224" s="65">
        <f>1112274008</f>
        <v>1112274008</v>
      </c>
      <c r="X224" s="69">
        <f>23</f>
        <v>23</v>
      </c>
    </row>
    <row r="225" spans="1:24">
      <c r="A225" s="60" t="s">
        <v>871</v>
      </c>
      <c r="B225" s="60" t="s">
        <v>717</v>
      </c>
      <c r="C225" s="60" t="s">
        <v>718</v>
      </c>
      <c r="D225" s="60" t="s">
        <v>719</v>
      </c>
      <c r="E225" s="61" t="s">
        <v>46</v>
      </c>
      <c r="F225" s="62" t="s">
        <v>46</v>
      </c>
      <c r="G225" s="63" t="s">
        <v>46</v>
      </c>
      <c r="H225" s="64"/>
      <c r="I225" s="64" t="s">
        <v>47</v>
      </c>
      <c r="J225" s="65">
        <v>10</v>
      </c>
      <c r="K225" s="66">
        <f>1313</f>
        <v>1313</v>
      </c>
      <c r="L225" s="67" t="s">
        <v>853</v>
      </c>
      <c r="M225" s="66">
        <f>1392</f>
        <v>1392</v>
      </c>
      <c r="N225" s="67" t="s">
        <v>872</v>
      </c>
      <c r="O225" s="66">
        <f>1286</f>
        <v>1286</v>
      </c>
      <c r="P225" s="67" t="s">
        <v>84</v>
      </c>
      <c r="Q225" s="66">
        <f>1387</f>
        <v>1387</v>
      </c>
      <c r="R225" s="67" t="s">
        <v>872</v>
      </c>
      <c r="S225" s="68">
        <f>1352.35</f>
        <v>1352.35</v>
      </c>
      <c r="T225" s="65">
        <f>535390</f>
        <v>535390</v>
      </c>
      <c r="U225" s="65">
        <f>131800</f>
        <v>131800</v>
      </c>
      <c r="V225" s="65">
        <f>724864499</f>
        <v>724864499</v>
      </c>
      <c r="W225" s="65">
        <f>177793709</f>
        <v>177793709</v>
      </c>
      <c r="X225" s="69">
        <f>23</f>
        <v>23</v>
      </c>
    </row>
    <row r="226" spans="1:24">
      <c r="A226" s="60" t="s">
        <v>871</v>
      </c>
      <c r="B226" s="60" t="s">
        <v>720</v>
      </c>
      <c r="C226" s="60" t="s">
        <v>721</v>
      </c>
      <c r="D226" s="60" t="s">
        <v>722</v>
      </c>
      <c r="E226" s="61" t="s">
        <v>46</v>
      </c>
      <c r="F226" s="62" t="s">
        <v>46</v>
      </c>
      <c r="G226" s="63" t="s">
        <v>46</v>
      </c>
      <c r="H226" s="64"/>
      <c r="I226" s="64" t="s">
        <v>47</v>
      </c>
      <c r="J226" s="65">
        <v>10</v>
      </c>
      <c r="K226" s="66">
        <f>1331</f>
        <v>1331</v>
      </c>
      <c r="L226" s="67" t="s">
        <v>853</v>
      </c>
      <c r="M226" s="66">
        <f>1375</f>
        <v>1375</v>
      </c>
      <c r="N226" s="67" t="s">
        <v>854</v>
      </c>
      <c r="O226" s="66">
        <f>1293</f>
        <v>1293</v>
      </c>
      <c r="P226" s="67" t="s">
        <v>84</v>
      </c>
      <c r="Q226" s="66">
        <f>1366</f>
        <v>1366</v>
      </c>
      <c r="R226" s="67" t="s">
        <v>872</v>
      </c>
      <c r="S226" s="68">
        <f>1347.65</f>
        <v>1347.65</v>
      </c>
      <c r="T226" s="65">
        <f>92170</f>
        <v>92170</v>
      </c>
      <c r="U226" s="65" t="str">
        <f>"－"</f>
        <v>－</v>
      </c>
      <c r="V226" s="65">
        <f>123884620</f>
        <v>123884620</v>
      </c>
      <c r="W226" s="65" t="str">
        <f>"－"</f>
        <v>－</v>
      </c>
      <c r="X226" s="69">
        <f>23</f>
        <v>23</v>
      </c>
    </row>
    <row r="227" spans="1:24">
      <c r="A227" s="60" t="s">
        <v>871</v>
      </c>
      <c r="B227" s="60" t="s">
        <v>723</v>
      </c>
      <c r="C227" s="60" t="s">
        <v>724</v>
      </c>
      <c r="D227" s="60" t="s">
        <v>725</v>
      </c>
      <c r="E227" s="61" t="s">
        <v>46</v>
      </c>
      <c r="F227" s="62" t="s">
        <v>46</v>
      </c>
      <c r="G227" s="63" t="s">
        <v>46</v>
      </c>
      <c r="H227" s="64"/>
      <c r="I227" s="64" t="s">
        <v>47</v>
      </c>
      <c r="J227" s="65">
        <v>10</v>
      </c>
      <c r="K227" s="66">
        <f>968</f>
        <v>968</v>
      </c>
      <c r="L227" s="67" t="s">
        <v>853</v>
      </c>
      <c r="M227" s="66">
        <f>1040</f>
        <v>1040</v>
      </c>
      <c r="N227" s="67" t="s">
        <v>872</v>
      </c>
      <c r="O227" s="66">
        <f>957</f>
        <v>957</v>
      </c>
      <c r="P227" s="67" t="s">
        <v>48</v>
      </c>
      <c r="Q227" s="66">
        <f>1040</f>
        <v>1040</v>
      </c>
      <c r="R227" s="67" t="s">
        <v>872</v>
      </c>
      <c r="S227" s="68">
        <f>998.39</f>
        <v>998.39</v>
      </c>
      <c r="T227" s="65">
        <f>651640</f>
        <v>651640</v>
      </c>
      <c r="U227" s="65">
        <f>161150</f>
        <v>161150</v>
      </c>
      <c r="V227" s="65">
        <f>645186956</f>
        <v>645186956</v>
      </c>
      <c r="W227" s="65">
        <f>156037656</f>
        <v>156037656</v>
      </c>
      <c r="X227" s="69">
        <f>23</f>
        <v>23</v>
      </c>
    </row>
    <row r="228" spans="1:24">
      <c r="A228" s="60" t="s">
        <v>871</v>
      </c>
      <c r="B228" s="60" t="s">
        <v>726</v>
      </c>
      <c r="C228" s="60" t="s">
        <v>727</v>
      </c>
      <c r="D228" s="60" t="s">
        <v>728</v>
      </c>
      <c r="E228" s="61" t="s">
        <v>46</v>
      </c>
      <c r="F228" s="62" t="s">
        <v>46</v>
      </c>
      <c r="G228" s="63" t="s">
        <v>46</v>
      </c>
      <c r="H228" s="64"/>
      <c r="I228" s="64" t="s">
        <v>47</v>
      </c>
      <c r="J228" s="65">
        <v>10</v>
      </c>
      <c r="K228" s="66">
        <f>939</f>
        <v>939</v>
      </c>
      <c r="L228" s="67" t="s">
        <v>853</v>
      </c>
      <c r="M228" s="66">
        <f>964</f>
        <v>964</v>
      </c>
      <c r="N228" s="67" t="s">
        <v>100</v>
      </c>
      <c r="O228" s="66">
        <f>861</f>
        <v>861</v>
      </c>
      <c r="P228" s="67" t="s">
        <v>859</v>
      </c>
      <c r="Q228" s="66">
        <f>919</f>
        <v>919</v>
      </c>
      <c r="R228" s="67" t="s">
        <v>872</v>
      </c>
      <c r="S228" s="68">
        <f>918</f>
        <v>918</v>
      </c>
      <c r="T228" s="65">
        <f>16596250</f>
        <v>16596250</v>
      </c>
      <c r="U228" s="65">
        <f>49150</f>
        <v>49150</v>
      </c>
      <c r="V228" s="65">
        <f>15264931666</f>
        <v>15264931666</v>
      </c>
      <c r="W228" s="65">
        <f>46173866</f>
        <v>46173866</v>
      </c>
      <c r="X228" s="69">
        <f>23</f>
        <v>23</v>
      </c>
    </row>
    <row r="229" spans="1:24">
      <c r="A229" s="60" t="s">
        <v>871</v>
      </c>
      <c r="B229" s="60" t="s">
        <v>729</v>
      </c>
      <c r="C229" s="60" t="s">
        <v>730</v>
      </c>
      <c r="D229" s="60" t="s">
        <v>731</v>
      </c>
      <c r="E229" s="61" t="s">
        <v>46</v>
      </c>
      <c r="F229" s="62" t="s">
        <v>46</v>
      </c>
      <c r="G229" s="63" t="s">
        <v>46</v>
      </c>
      <c r="H229" s="64"/>
      <c r="I229" s="64" t="s">
        <v>47</v>
      </c>
      <c r="J229" s="65">
        <v>10</v>
      </c>
      <c r="K229" s="66">
        <f>1149</f>
        <v>1149</v>
      </c>
      <c r="L229" s="67" t="s">
        <v>853</v>
      </c>
      <c r="M229" s="66">
        <f>1216</f>
        <v>1216</v>
      </c>
      <c r="N229" s="67" t="s">
        <v>872</v>
      </c>
      <c r="O229" s="66">
        <f>1077</f>
        <v>1077</v>
      </c>
      <c r="P229" s="67" t="s">
        <v>859</v>
      </c>
      <c r="Q229" s="66">
        <f>1196</f>
        <v>1196</v>
      </c>
      <c r="R229" s="67" t="s">
        <v>872</v>
      </c>
      <c r="S229" s="68">
        <f>1153.7</f>
        <v>1153.7</v>
      </c>
      <c r="T229" s="65">
        <f>346580</f>
        <v>346580</v>
      </c>
      <c r="U229" s="65">
        <f>22000</f>
        <v>22000</v>
      </c>
      <c r="V229" s="65">
        <f>390494720</f>
        <v>390494720</v>
      </c>
      <c r="W229" s="65">
        <f>24875180</f>
        <v>24875180</v>
      </c>
      <c r="X229" s="69">
        <f>23</f>
        <v>23</v>
      </c>
    </row>
    <row r="230" spans="1:24">
      <c r="A230" s="60" t="s">
        <v>871</v>
      </c>
      <c r="B230" s="60" t="s">
        <v>732</v>
      </c>
      <c r="C230" s="60" t="s">
        <v>733</v>
      </c>
      <c r="D230" s="60" t="s">
        <v>734</v>
      </c>
      <c r="E230" s="61" t="s">
        <v>46</v>
      </c>
      <c r="F230" s="62" t="s">
        <v>46</v>
      </c>
      <c r="G230" s="63" t="s">
        <v>46</v>
      </c>
      <c r="H230" s="64"/>
      <c r="I230" s="64" t="s">
        <v>47</v>
      </c>
      <c r="J230" s="65">
        <v>1</v>
      </c>
      <c r="K230" s="66">
        <f>1100</f>
        <v>1100</v>
      </c>
      <c r="L230" s="67" t="s">
        <v>853</v>
      </c>
      <c r="M230" s="66">
        <f>1154</f>
        <v>1154</v>
      </c>
      <c r="N230" s="67" t="s">
        <v>100</v>
      </c>
      <c r="O230" s="66">
        <f>1073</f>
        <v>1073</v>
      </c>
      <c r="P230" s="67" t="s">
        <v>84</v>
      </c>
      <c r="Q230" s="66">
        <f>1137</f>
        <v>1137</v>
      </c>
      <c r="R230" s="67" t="s">
        <v>872</v>
      </c>
      <c r="S230" s="68">
        <f>1117.57</f>
        <v>1117.57</v>
      </c>
      <c r="T230" s="65">
        <f>40924</f>
        <v>40924</v>
      </c>
      <c r="U230" s="65">
        <f>4</f>
        <v>4</v>
      </c>
      <c r="V230" s="65">
        <f>45642449</f>
        <v>45642449</v>
      </c>
      <c r="W230" s="65">
        <f>4525</f>
        <v>4525</v>
      </c>
      <c r="X230" s="69">
        <f>23</f>
        <v>23</v>
      </c>
    </row>
    <row r="231" spans="1:24">
      <c r="A231" s="60" t="s">
        <v>871</v>
      </c>
      <c r="B231" s="60" t="s">
        <v>735</v>
      </c>
      <c r="C231" s="60" t="s">
        <v>736</v>
      </c>
      <c r="D231" s="60" t="s">
        <v>737</v>
      </c>
      <c r="E231" s="61" t="s">
        <v>46</v>
      </c>
      <c r="F231" s="62" t="s">
        <v>46</v>
      </c>
      <c r="G231" s="63" t="s">
        <v>46</v>
      </c>
      <c r="H231" s="64"/>
      <c r="I231" s="64" t="s">
        <v>47</v>
      </c>
      <c r="J231" s="65">
        <v>10</v>
      </c>
      <c r="K231" s="66">
        <f>1013</f>
        <v>1013</v>
      </c>
      <c r="L231" s="67" t="s">
        <v>853</v>
      </c>
      <c r="M231" s="66">
        <f>1032</f>
        <v>1032</v>
      </c>
      <c r="N231" s="67" t="s">
        <v>858</v>
      </c>
      <c r="O231" s="66">
        <f>984</f>
        <v>984</v>
      </c>
      <c r="P231" s="67" t="s">
        <v>859</v>
      </c>
      <c r="Q231" s="66">
        <f>1002</f>
        <v>1002</v>
      </c>
      <c r="R231" s="67" t="s">
        <v>872</v>
      </c>
      <c r="S231" s="68">
        <f>1000.39</f>
        <v>1000.39</v>
      </c>
      <c r="T231" s="65">
        <f>212190</f>
        <v>212190</v>
      </c>
      <c r="U231" s="65">
        <f>22740</f>
        <v>22740</v>
      </c>
      <c r="V231" s="65">
        <f>211799433</f>
        <v>211799433</v>
      </c>
      <c r="W231" s="65">
        <f>22545573</f>
        <v>22545573</v>
      </c>
      <c r="X231" s="69">
        <f>23</f>
        <v>23</v>
      </c>
    </row>
    <row r="232" spans="1:24">
      <c r="A232" s="60" t="s">
        <v>871</v>
      </c>
      <c r="B232" s="60" t="s">
        <v>738</v>
      </c>
      <c r="C232" s="60" t="s">
        <v>739</v>
      </c>
      <c r="D232" s="60" t="s">
        <v>740</v>
      </c>
      <c r="E232" s="61" t="s">
        <v>46</v>
      </c>
      <c r="F232" s="62" t="s">
        <v>46</v>
      </c>
      <c r="G232" s="63" t="s">
        <v>46</v>
      </c>
      <c r="H232" s="64"/>
      <c r="I232" s="64" t="s">
        <v>47</v>
      </c>
      <c r="J232" s="65">
        <v>10</v>
      </c>
      <c r="K232" s="66">
        <f>1233</f>
        <v>1233</v>
      </c>
      <c r="L232" s="67" t="s">
        <v>853</v>
      </c>
      <c r="M232" s="66">
        <f>1285</f>
        <v>1285</v>
      </c>
      <c r="N232" s="67" t="s">
        <v>131</v>
      </c>
      <c r="O232" s="66">
        <f>1193</f>
        <v>1193</v>
      </c>
      <c r="P232" s="67" t="s">
        <v>176</v>
      </c>
      <c r="Q232" s="66">
        <f>1243</f>
        <v>1243</v>
      </c>
      <c r="R232" s="67" t="s">
        <v>872</v>
      </c>
      <c r="S232" s="68">
        <f>1244.17</f>
        <v>1244.17</v>
      </c>
      <c r="T232" s="65">
        <f>289130</f>
        <v>289130</v>
      </c>
      <c r="U232" s="65">
        <f>34090</f>
        <v>34090</v>
      </c>
      <c r="V232" s="65">
        <f>358354660</f>
        <v>358354660</v>
      </c>
      <c r="W232" s="65">
        <f>42092450</f>
        <v>42092450</v>
      </c>
      <c r="X232" s="69">
        <f>23</f>
        <v>23</v>
      </c>
    </row>
    <row r="233" spans="1:24">
      <c r="A233" s="60" t="s">
        <v>871</v>
      </c>
      <c r="B233" s="60" t="s">
        <v>741</v>
      </c>
      <c r="C233" s="60" t="s">
        <v>742</v>
      </c>
      <c r="D233" s="60" t="s">
        <v>743</v>
      </c>
      <c r="E233" s="61" t="s">
        <v>46</v>
      </c>
      <c r="F233" s="62" t="s">
        <v>46</v>
      </c>
      <c r="G233" s="63" t="s">
        <v>46</v>
      </c>
      <c r="H233" s="64"/>
      <c r="I233" s="64" t="s">
        <v>47</v>
      </c>
      <c r="J233" s="65">
        <v>10</v>
      </c>
      <c r="K233" s="66">
        <f>1336</f>
        <v>1336</v>
      </c>
      <c r="L233" s="67" t="s">
        <v>853</v>
      </c>
      <c r="M233" s="66">
        <f>1390</f>
        <v>1390</v>
      </c>
      <c r="N233" s="67" t="s">
        <v>100</v>
      </c>
      <c r="O233" s="66">
        <f>1299</f>
        <v>1299</v>
      </c>
      <c r="P233" s="67" t="s">
        <v>84</v>
      </c>
      <c r="Q233" s="66">
        <f>1379</f>
        <v>1379</v>
      </c>
      <c r="R233" s="67" t="s">
        <v>872</v>
      </c>
      <c r="S233" s="68">
        <f>1359.48</f>
        <v>1359.48</v>
      </c>
      <c r="T233" s="65">
        <f>17644170</f>
        <v>17644170</v>
      </c>
      <c r="U233" s="65">
        <f>5086120</f>
        <v>5086120</v>
      </c>
      <c r="V233" s="65">
        <f>23877343213</f>
        <v>23877343213</v>
      </c>
      <c r="W233" s="65">
        <f>6855556253</f>
        <v>6855556253</v>
      </c>
      <c r="X233" s="69">
        <f>23</f>
        <v>23</v>
      </c>
    </row>
    <row r="234" spans="1:24">
      <c r="A234" s="60" t="s">
        <v>871</v>
      </c>
      <c r="B234" s="60" t="s">
        <v>744</v>
      </c>
      <c r="C234" s="60" t="s">
        <v>745</v>
      </c>
      <c r="D234" s="60" t="s">
        <v>746</v>
      </c>
      <c r="E234" s="61" t="s">
        <v>46</v>
      </c>
      <c r="F234" s="62" t="s">
        <v>46</v>
      </c>
      <c r="G234" s="63" t="s">
        <v>46</v>
      </c>
      <c r="H234" s="64"/>
      <c r="I234" s="64" t="s">
        <v>47</v>
      </c>
      <c r="J234" s="65">
        <v>1</v>
      </c>
      <c r="K234" s="66">
        <f>3500</f>
        <v>3500</v>
      </c>
      <c r="L234" s="67" t="s">
        <v>853</v>
      </c>
      <c r="M234" s="66">
        <f>3620</f>
        <v>3620</v>
      </c>
      <c r="N234" s="67" t="s">
        <v>855</v>
      </c>
      <c r="O234" s="66">
        <f>3290</f>
        <v>3290</v>
      </c>
      <c r="P234" s="67" t="s">
        <v>84</v>
      </c>
      <c r="Q234" s="66">
        <f>3510</f>
        <v>3510</v>
      </c>
      <c r="R234" s="67" t="s">
        <v>872</v>
      </c>
      <c r="S234" s="68">
        <f>3468.48</f>
        <v>3468.48</v>
      </c>
      <c r="T234" s="65">
        <f>279728</f>
        <v>279728</v>
      </c>
      <c r="U234" s="65">
        <f>2</f>
        <v>2</v>
      </c>
      <c r="V234" s="65">
        <f>963061280</f>
        <v>963061280</v>
      </c>
      <c r="W234" s="65">
        <f>6950</f>
        <v>6950</v>
      </c>
      <c r="X234" s="69">
        <f>23</f>
        <v>23</v>
      </c>
    </row>
    <row r="235" spans="1:24">
      <c r="A235" s="60" t="s">
        <v>871</v>
      </c>
      <c r="B235" s="60" t="s">
        <v>747</v>
      </c>
      <c r="C235" s="60" t="s">
        <v>748</v>
      </c>
      <c r="D235" s="60" t="s">
        <v>749</v>
      </c>
      <c r="E235" s="61" t="s">
        <v>46</v>
      </c>
      <c r="F235" s="62" t="s">
        <v>46</v>
      </c>
      <c r="G235" s="63" t="s">
        <v>46</v>
      </c>
      <c r="H235" s="64"/>
      <c r="I235" s="64" t="s">
        <v>47</v>
      </c>
      <c r="J235" s="65">
        <v>10</v>
      </c>
      <c r="K235" s="66">
        <f>1778</f>
        <v>1778</v>
      </c>
      <c r="L235" s="67" t="s">
        <v>853</v>
      </c>
      <c r="M235" s="66">
        <f>1778</f>
        <v>1778</v>
      </c>
      <c r="N235" s="67" t="s">
        <v>853</v>
      </c>
      <c r="O235" s="66">
        <f>1662</f>
        <v>1662</v>
      </c>
      <c r="P235" s="67" t="s">
        <v>84</v>
      </c>
      <c r="Q235" s="66">
        <f>1730</f>
        <v>1730</v>
      </c>
      <c r="R235" s="67" t="s">
        <v>872</v>
      </c>
      <c r="S235" s="68">
        <f>1720.63</f>
        <v>1720.63</v>
      </c>
      <c r="T235" s="65">
        <f>6400</f>
        <v>6400</v>
      </c>
      <c r="U235" s="65" t="str">
        <f>"－"</f>
        <v>－</v>
      </c>
      <c r="V235" s="65">
        <f>10958250</f>
        <v>10958250</v>
      </c>
      <c r="W235" s="65" t="str">
        <f>"－"</f>
        <v>－</v>
      </c>
      <c r="X235" s="69">
        <f>19</f>
        <v>19</v>
      </c>
    </row>
    <row r="236" spans="1:24">
      <c r="A236" s="60" t="s">
        <v>871</v>
      </c>
      <c r="B236" s="60" t="s">
        <v>750</v>
      </c>
      <c r="C236" s="60" t="s">
        <v>751</v>
      </c>
      <c r="D236" s="60" t="s">
        <v>752</v>
      </c>
      <c r="E236" s="61" t="s">
        <v>46</v>
      </c>
      <c r="F236" s="62" t="s">
        <v>46</v>
      </c>
      <c r="G236" s="63" t="s">
        <v>46</v>
      </c>
      <c r="H236" s="64"/>
      <c r="I236" s="64" t="s">
        <v>47</v>
      </c>
      <c r="J236" s="65">
        <v>10</v>
      </c>
      <c r="K236" s="66">
        <f>1931</f>
        <v>1931</v>
      </c>
      <c r="L236" s="67" t="s">
        <v>857</v>
      </c>
      <c r="M236" s="66">
        <f>2034</f>
        <v>2034</v>
      </c>
      <c r="N236" s="67" t="s">
        <v>100</v>
      </c>
      <c r="O236" s="66">
        <f>1917</f>
        <v>1917</v>
      </c>
      <c r="P236" s="67" t="s">
        <v>96</v>
      </c>
      <c r="Q236" s="66">
        <f>2004</f>
        <v>2004</v>
      </c>
      <c r="R236" s="67" t="s">
        <v>872</v>
      </c>
      <c r="S236" s="68">
        <f>1983.27</f>
        <v>1983.27</v>
      </c>
      <c r="T236" s="65">
        <f>878630</f>
        <v>878630</v>
      </c>
      <c r="U236" s="65">
        <f>430000</f>
        <v>430000</v>
      </c>
      <c r="V236" s="65">
        <f>1762833760</f>
        <v>1762833760</v>
      </c>
      <c r="W236" s="65">
        <f>864300000</f>
        <v>864300000</v>
      </c>
      <c r="X236" s="69">
        <f>15</f>
        <v>15</v>
      </c>
    </row>
    <row r="237" spans="1:24">
      <c r="A237" s="60" t="s">
        <v>871</v>
      </c>
      <c r="B237" s="60" t="s">
        <v>753</v>
      </c>
      <c r="C237" s="60" t="s">
        <v>754</v>
      </c>
      <c r="D237" s="60" t="s">
        <v>755</v>
      </c>
      <c r="E237" s="61" t="s">
        <v>46</v>
      </c>
      <c r="F237" s="62" t="s">
        <v>46</v>
      </c>
      <c r="G237" s="63" t="s">
        <v>46</v>
      </c>
      <c r="H237" s="64"/>
      <c r="I237" s="64" t="s">
        <v>47</v>
      </c>
      <c r="J237" s="65">
        <v>1</v>
      </c>
      <c r="K237" s="66">
        <f>29770</f>
        <v>29770</v>
      </c>
      <c r="L237" s="67" t="s">
        <v>853</v>
      </c>
      <c r="M237" s="66">
        <f>30650</f>
        <v>30650</v>
      </c>
      <c r="N237" s="67" t="s">
        <v>100</v>
      </c>
      <c r="O237" s="66">
        <f>28530</f>
        <v>28530</v>
      </c>
      <c r="P237" s="67" t="s">
        <v>84</v>
      </c>
      <c r="Q237" s="66">
        <f>29600</f>
        <v>29600</v>
      </c>
      <c r="R237" s="67" t="s">
        <v>872</v>
      </c>
      <c r="S237" s="68">
        <f>29498.7</f>
        <v>29498.7</v>
      </c>
      <c r="T237" s="65">
        <f>75075</f>
        <v>75075</v>
      </c>
      <c r="U237" s="65">
        <f>65559</f>
        <v>65559</v>
      </c>
      <c r="V237" s="65">
        <f>2236611353</f>
        <v>2236611353</v>
      </c>
      <c r="W237" s="65">
        <f>1962607953</f>
        <v>1962607953</v>
      </c>
      <c r="X237" s="69">
        <f>23</f>
        <v>23</v>
      </c>
    </row>
    <row r="238" spans="1:24">
      <c r="A238" s="60" t="s">
        <v>871</v>
      </c>
      <c r="B238" s="60" t="s">
        <v>756</v>
      </c>
      <c r="C238" s="60" t="s">
        <v>757</v>
      </c>
      <c r="D238" s="60" t="s">
        <v>758</v>
      </c>
      <c r="E238" s="61" t="s">
        <v>46</v>
      </c>
      <c r="F238" s="62" t="s">
        <v>46</v>
      </c>
      <c r="G238" s="63" t="s">
        <v>46</v>
      </c>
      <c r="H238" s="64"/>
      <c r="I238" s="64" t="s">
        <v>47</v>
      </c>
      <c r="J238" s="65">
        <v>1</v>
      </c>
      <c r="K238" s="66">
        <f>17370</f>
        <v>17370</v>
      </c>
      <c r="L238" s="67" t="s">
        <v>853</v>
      </c>
      <c r="M238" s="66">
        <f>18280</f>
        <v>18280</v>
      </c>
      <c r="N238" s="67" t="s">
        <v>613</v>
      </c>
      <c r="O238" s="66">
        <f>17040</f>
        <v>17040</v>
      </c>
      <c r="P238" s="67" t="s">
        <v>84</v>
      </c>
      <c r="Q238" s="66">
        <f>17930</f>
        <v>17930</v>
      </c>
      <c r="R238" s="67" t="s">
        <v>872</v>
      </c>
      <c r="S238" s="68">
        <f>17729.05</f>
        <v>17729.05</v>
      </c>
      <c r="T238" s="65">
        <f>100418</f>
        <v>100418</v>
      </c>
      <c r="U238" s="65" t="str">
        <f>"－"</f>
        <v>－</v>
      </c>
      <c r="V238" s="65">
        <f>1784539600</f>
        <v>1784539600</v>
      </c>
      <c r="W238" s="65" t="str">
        <f>"－"</f>
        <v>－</v>
      </c>
      <c r="X238" s="69">
        <f>21</f>
        <v>21</v>
      </c>
    </row>
    <row r="239" spans="1:24">
      <c r="A239" s="60" t="s">
        <v>871</v>
      </c>
      <c r="B239" s="60" t="s">
        <v>759</v>
      </c>
      <c r="C239" s="60" t="s">
        <v>760</v>
      </c>
      <c r="D239" s="60" t="s">
        <v>761</v>
      </c>
      <c r="E239" s="61" t="s">
        <v>46</v>
      </c>
      <c r="F239" s="62" t="s">
        <v>46</v>
      </c>
      <c r="G239" s="63" t="s">
        <v>46</v>
      </c>
      <c r="H239" s="64"/>
      <c r="I239" s="64" t="s">
        <v>47</v>
      </c>
      <c r="J239" s="65">
        <v>10</v>
      </c>
      <c r="K239" s="66">
        <f>1156</f>
        <v>1156</v>
      </c>
      <c r="L239" s="67" t="s">
        <v>857</v>
      </c>
      <c r="M239" s="66">
        <f>1215</f>
        <v>1215</v>
      </c>
      <c r="N239" s="67" t="s">
        <v>872</v>
      </c>
      <c r="O239" s="66">
        <f>1127</f>
        <v>1127</v>
      </c>
      <c r="P239" s="67" t="s">
        <v>96</v>
      </c>
      <c r="Q239" s="66">
        <f>1204</f>
        <v>1204</v>
      </c>
      <c r="R239" s="67" t="s">
        <v>872</v>
      </c>
      <c r="S239" s="68">
        <f>1163.65</f>
        <v>1163.6500000000001</v>
      </c>
      <c r="T239" s="65">
        <f>1460</f>
        <v>1460</v>
      </c>
      <c r="U239" s="65" t="str">
        <f>"－"</f>
        <v>－</v>
      </c>
      <c r="V239" s="65">
        <f>1711050</f>
        <v>1711050</v>
      </c>
      <c r="W239" s="65" t="str">
        <f>"－"</f>
        <v>－</v>
      </c>
      <c r="X239" s="69">
        <f>17</f>
        <v>17</v>
      </c>
    </row>
    <row r="240" spans="1:24">
      <c r="A240" s="60" t="s">
        <v>871</v>
      </c>
      <c r="B240" s="60" t="s">
        <v>762</v>
      </c>
      <c r="C240" s="60" t="s">
        <v>763</v>
      </c>
      <c r="D240" s="60" t="s">
        <v>764</v>
      </c>
      <c r="E240" s="61" t="s">
        <v>46</v>
      </c>
      <c r="F240" s="62" t="s">
        <v>46</v>
      </c>
      <c r="G240" s="63" t="s">
        <v>46</v>
      </c>
      <c r="H240" s="64"/>
      <c r="I240" s="64" t="s">
        <v>47</v>
      </c>
      <c r="J240" s="65">
        <v>10</v>
      </c>
      <c r="K240" s="66">
        <f>1165</f>
        <v>1165</v>
      </c>
      <c r="L240" s="67" t="s">
        <v>853</v>
      </c>
      <c r="M240" s="66">
        <f>1209</f>
        <v>1209</v>
      </c>
      <c r="N240" s="67" t="s">
        <v>872</v>
      </c>
      <c r="O240" s="66">
        <f>1108</f>
        <v>1108</v>
      </c>
      <c r="P240" s="67" t="s">
        <v>859</v>
      </c>
      <c r="Q240" s="66">
        <f>1194</f>
        <v>1194</v>
      </c>
      <c r="R240" s="67" t="s">
        <v>872</v>
      </c>
      <c r="S240" s="68">
        <f>1155.39</f>
        <v>1155.3900000000001</v>
      </c>
      <c r="T240" s="65">
        <f>193440</f>
        <v>193440</v>
      </c>
      <c r="U240" s="65">
        <f>87000</f>
        <v>87000</v>
      </c>
      <c r="V240" s="65">
        <f>221128000</f>
        <v>221128000</v>
      </c>
      <c r="W240" s="65">
        <f>100163100</f>
        <v>100163100</v>
      </c>
      <c r="X240" s="69">
        <f>23</f>
        <v>23</v>
      </c>
    </row>
    <row r="241" spans="1:24">
      <c r="A241" s="60" t="s">
        <v>871</v>
      </c>
      <c r="B241" s="60" t="s">
        <v>765</v>
      </c>
      <c r="C241" s="60" t="s">
        <v>766</v>
      </c>
      <c r="D241" s="60" t="s">
        <v>767</v>
      </c>
      <c r="E241" s="61" t="s">
        <v>46</v>
      </c>
      <c r="F241" s="62" t="s">
        <v>46</v>
      </c>
      <c r="G241" s="63" t="s">
        <v>46</v>
      </c>
      <c r="H241" s="64"/>
      <c r="I241" s="64" t="s">
        <v>47</v>
      </c>
      <c r="J241" s="65">
        <v>1</v>
      </c>
      <c r="K241" s="66">
        <f>1037</f>
        <v>1037</v>
      </c>
      <c r="L241" s="67" t="s">
        <v>853</v>
      </c>
      <c r="M241" s="66">
        <f>1141</f>
        <v>1141</v>
      </c>
      <c r="N241" s="67" t="s">
        <v>50</v>
      </c>
      <c r="O241" s="66">
        <f>1036</f>
        <v>1036</v>
      </c>
      <c r="P241" s="67" t="s">
        <v>857</v>
      </c>
      <c r="Q241" s="66">
        <f>1120</f>
        <v>1120</v>
      </c>
      <c r="R241" s="67" t="s">
        <v>872</v>
      </c>
      <c r="S241" s="68">
        <f>1097.09</f>
        <v>1097.0899999999999</v>
      </c>
      <c r="T241" s="65">
        <f>176854</f>
        <v>176854</v>
      </c>
      <c r="U241" s="65">
        <f>1</f>
        <v>1</v>
      </c>
      <c r="V241" s="65">
        <f>195484579</f>
        <v>195484579</v>
      </c>
      <c r="W241" s="65">
        <f>1124</f>
        <v>1124</v>
      </c>
      <c r="X241" s="69">
        <f>23</f>
        <v>23</v>
      </c>
    </row>
    <row r="242" spans="1:24">
      <c r="A242" s="60" t="s">
        <v>871</v>
      </c>
      <c r="B242" s="60" t="s">
        <v>768</v>
      </c>
      <c r="C242" s="60" t="s">
        <v>769</v>
      </c>
      <c r="D242" s="60" t="s">
        <v>770</v>
      </c>
      <c r="E242" s="61" t="s">
        <v>46</v>
      </c>
      <c r="F242" s="62" t="s">
        <v>46</v>
      </c>
      <c r="G242" s="63" t="s">
        <v>46</v>
      </c>
      <c r="H242" s="64"/>
      <c r="I242" s="64" t="s">
        <v>47</v>
      </c>
      <c r="J242" s="65">
        <v>1</v>
      </c>
      <c r="K242" s="66">
        <f>13600</f>
        <v>13600</v>
      </c>
      <c r="L242" s="67" t="s">
        <v>853</v>
      </c>
      <c r="M242" s="66">
        <f>15550</f>
        <v>15550</v>
      </c>
      <c r="N242" s="67" t="s">
        <v>96</v>
      </c>
      <c r="O242" s="66">
        <f>13300</f>
        <v>13300</v>
      </c>
      <c r="P242" s="67" t="s">
        <v>856</v>
      </c>
      <c r="Q242" s="66">
        <f>13690</f>
        <v>13690</v>
      </c>
      <c r="R242" s="67" t="s">
        <v>872</v>
      </c>
      <c r="S242" s="68">
        <f>13792.17</f>
        <v>13792.17</v>
      </c>
      <c r="T242" s="65">
        <f>7953</f>
        <v>7953</v>
      </c>
      <c r="U242" s="65" t="str">
        <f>"－"</f>
        <v>－</v>
      </c>
      <c r="V242" s="65">
        <f>111003500</f>
        <v>111003500</v>
      </c>
      <c r="W242" s="65" t="str">
        <f>"－"</f>
        <v>－</v>
      </c>
      <c r="X242" s="69">
        <f>23</f>
        <v>23</v>
      </c>
    </row>
    <row r="243" spans="1:24">
      <c r="A243" s="60" t="s">
        <v>871</v>
      </c>
      <c r="B243" s="60" t="s">
        <v>771</v>
      </c>
      <c r="C243" s="60" t="s">
        <v>772</v>
      </c>
      <c r="D243" s="60" t="s">
        <v>773</v>
      </c>
      <c r="E243" s="61" t="s">
        <v>46</v>
      </c>
      <c r="F243" s="62" t="s">
        <v>46</v>
      </c>
      <c r="G243" s="63" t="s">
        <v>46</v>
      </c>
      <c r="H243" s="64"/>
      <c r="I243" s="64" t="s">
        <v>47</v>
      </c>
      <c r="J243" s="65">
        <v>1</v>
      </c>
      <c r="K243" s="66">
        <f>2076</f>
        <v>2076</v>
      </c>
      <c r="L243" s="67" t="s">
        <v>853</v>
      </c>
      <c r="M243" s="66">
        <f>2207</f>
        <v>2207</v>
      </c>
      <c r="N243" s="67" t="s">
        <v>872</v>
      </c>
      <c r="O243" s="66">
        <f>2002</f>
        <v>2002</v>
      </c>
      <c r="P243" s="67" t="s">
        <v>859</v>
      </c>
      <c r="Q243" s="66">
        <f>2170</f>
        <v>2170</v>
      </c>
      <c r="R243" s="67" t="s">
        <v>872</v>
      </c>
      <c r="S243" s="68">
        <f>2091.61</f>
        <v>2091.61</v>
      </c>
      <c r="T243" s="65">
        <f>130351</f>
        <v>130351</v>
      </c>
      <c r="U243" s="65" t="str">
        <f>"－"</f>
        <v>－</v>
      </c>
      <c r="V243" s="65">
        <f>277995198</f>
        <v>277995198</v>
      </c>
      <c r="W243" s="65" t="str">
        <f>"－"</f>
        <v>－</v>
      </c>
      <c r="X243" s="69">
        <f>23</f>
        <v>23</v>
      </c>
    </row>
    <row r="244" spans="1:24">
      <c r="A244" s="60" t="s">
        <v>871</v>
      </c>
      <c r="B244" s="60" t="s">
        <v>774</v>
      </c>
      <c r="C244" s="60" t="s">
        <v>775</v>
      </c>
      <c r="D244" s="60" t="s">
        <v>776</v>
      </c>
      <c r="E244" s="61" t="s">
        <v>46</v>
      </c>
      <c r="F244" s="62" t="s">
        <v>46</v>
      </c>
      <c r="G244" s="63" t="s">
        <v>46</v>
      </c>
      <c r="H244" s="64"/>
      <c r="I244" s="64" t="s">
        <v>47</v>
      </c>
      <c r="J244" s="65">
        <v>10</v>
      </c>
      <c r="K244" s="66">
        <f>1482</f>
        <v>1482</v>
      </c>
      <c r="L244" s="67" t="s">
        <v>853</v>
      </c>
      <c r="M244" s="66">
        <f>1628</f>
        <v>1628</v>
      </c>
      <c r="N244" s="67" t="s">
        <v>874</v>
      </c>
      <c r="O244" s="66">
        <f>1361</f>
        <v>1361</v>
      </c>
      <c r="P244" s="67" t="s">
        <v>855</v>
      </c>
      <c r="Q244" s="66">
        <f>1410</f>
        <v>1410</v>
      </c>
      <c r="R244" s="67" t="s">
        <v>872</v>
      </c>
      <c r="S244" s="68">
        <f>1419.57</f>
        <v>1419.57</v>
      </c>
      <c r="T244" s="65">
        <f>16470</f>
        <v>16470</v>
      </c>
      <c r="U244" s="65" t="str">
        <f>"－"</f>
        <v>－</v>
      </c>
      <c r="V244" s="65">
        <f>23987130</f>
        <v>23987130</v>
      </c>
      <c r="W244" s="65" t="str">
        <f>"－"</f>
        <v>－</v>
      </c>
      <c r="X244" s="69">
        <f>23</f>
        <v>23</v>
      </c>
    </row>
    <row r="245" spans="1:24">
      <c r="A245" s="60" t="s">
        <v>871</v>
      </c>
      <c r="B245" s="60" t="s">
        <v>777</v>
      </c>
      <c r="C245" s="60" t="s">
        <v>778</v>
      </c>
      <c r="D245" s="60" t="s">
        <v>779</v>
      </c>
      <c r="E245" s="61" t="s">
        <v>46</v>
      </c>
      <c r="F245" s="62" t="s">
        <v>46</v>
      </c>
      <c r="G245" s="63" t="s">
        <v>46</v>
      </c>
      <c r="H245" s="64"/>
      <c r="I245" s="64" t="s">
        <v>47</v>
      </c>
      <c r="J245" s="65">
        <v>10</v>
      </c>
      <c r="K245" s="66">
        <f>1020</f>
        <v>1020</v>
      </c>
      <c r="L245" s="67" t="s">
        <v>853</v>
      </c>
      <c r="M245" s="66">
        <f>1024</f>
        <v>1024</v>
      </c>
      <c r="N245" s="67" t="s">
        <v>857</v>
      </c>
      <c r="O245" s="66">
        <f>999</f>
        <v>999</v>
      </c>
      <c r="P245" s="67" t="s">
        <v>873</v>
      </c>
      <c r="Q245" s="66">
        <f>1002</f>
        <v>1002</v>
      </c>
      <c r="R245" s="67" t="s">
        <v>872</v>
      </c>
      <c r="S245" s="68">
        <f>1006</f>
        <v>1006</v>
      </c>
      <c r="T245" s="65">
        <f>433510</f>
        <v>433510</v>
      </c>
      <c r="U245" s="65">
        <f>104520</f>
        <v>104520</v>
      </c>
      <c r="V245" s="65">
        <f>435751730</f>
        <v>435751730</v>
      </c>
      <c r="W245" s="65">
        <f>105330030</f>
        <v>105330030</v>
      </c>
      <c r="X245" s="69">
        <f>22</f>
        <v>22</v>
      </c>
    </row>
    <row r="246" spans="1:24">
      <c r="A246" s="60" t="s">
        <v>871</v>
      </c>
      <c r="B246" s="60" t="s">
        <v>780</v>
      </c>
      <c r="C246" s="60" t="s">
        <v>781</v>
      </c>
      <c r="D246" s="60" t="s">
        <v>782</v>
      </c>
      <c r="E246" s="61" t="s">
        <v>46</v>
      </c>
      <c r="F246" s="62" t="s">
        <v>46</v>
      </c>
      <c r="G246" s="63" t="s">
        <v>46</v>
      </c>
      <c r="H246" s="64"/>
      <c r="I246" s="64" t="s">
        <v>47</v>
      </c>
      <c r="J246" s="65">
        <v>10</v>
      </c>
      <c r="K246" s="66">
        <f>1990</f>
        <v>1990</v>
      </c>
      <c r="L246" s="67" t="s">
        <v>853</v>
      </c>
      <c r="M246" s="66">
        <f>2096</f>
        <v>2096</v>
      </c>
      <c r="N246" s="67" t="s">
        <v>872</v>
      </c>
      <c r="O246" s="66">
        <f>1914</f>
        <v>1914</v>
      </c>
      <c r="P246" s="67" t="s">
        <v>859</v>
      </c>
      <c r="Q246" s="66">
        <f>2070</f>
        <v>2070</v>
      </c>
      <c r="R246" s="67" t="s">
        <v>872</v>
      </c>
      <c r="S246" s="68">
        <f>1992.87</f>
        <v>1992.87</v>
      </c>
      <c r="T246" s="65">
        <f>71650</f>
        <v>71650</v>
      </c>
      <c r="U246" s="65" t="str">
        <f>"－"</f>
        <v>－</v>
      </c>
      <c r="V246" s="65">
        <f>142633430</f>
        <v>142633430</v>
      </c>
      <c r="W246" s="65" t="str">
        <f>"－"</f>
        <v>－</v>
      </c>
      <c r="X246" s="69">
        <f>23</f>
        <v>23</v>
      </c>
    </row>
    <row r="247" spans="1:24">
      <c r="A247" s="60" t="s">
        <v>871</v>
      </c>
      <c r="B247" s="60" t="s">
        <v>783</v>
      </c>
      <c r="C247" s="60" t="s">
        <v>784</v>
      </c>
      <c r="D247" s="60" t="s">
        <v>785</v>
      </c>
      <c r="E247" s="61" t="s">
        <v>46</v>
      </c>
      <c r="F247" s="62" t="s">
        <v>46</v>
      </c>
      <c r="G247" s="63" t="s">
        <v>46</v>
      </c>
      <c r="H247" s="64"/>
      <c r="I247" s="64" t="s">
        <v>47</v>
      </c>
      <c r="J247" s="65">
        <v>10</v>
      </c>
      <c r="K247" s="66">
        <f>2002</f>
        <v>2002</v>
      </c>
      <c r="L247" s="67" t="s">
        <v>853</v>
      </c>
      <c r="M247" s="66">
        <f>2101</f>
        <v>2101</v>
      </c>
      <c r="N247" s="67" t="s">
        <v>872</v>
      </c>
      <c r="O247" s="66">
        <f>1912</f>
        <v>1912</v>
      </c>
      <c r="P247" s="67" t="s">
        <v>859</v>
      </c>
      <c r="Q247" s="66">
        <f>2071</f>
        <v>2071</v>
      </c>
      <c r="R247" s="67" t="s">
        <v>872</v>
      </c>
      <c r="S247" s="68">
        <f>2005.26</f>
        <v>2005.26</v>
      </c>
      <c r="T247" s="65">
        <f>667690</f>
        <v>667690</v>
      </c>
      <c r="U247" s="65">
        <f>371100</f>
        <v>371100</v>
      </c>
      <c r="V247" s="65">
        <f>1311190995</f>
        <v>1311190995</v>
      </c>
      <c r="W247" s="65">
        <f>717668405</f>
        <v>717668405</v>
      </c>
      <c r="X247" s="69">
        <f>23</f>
        <v>23</v>
      </c>
    </row>
    <row r="248" spans="1:24">
      <c r="A248" s="60" t="s">
        <v>871</v>
      </c>
      <c r="B248" s="60" t="s">
        <v>786</v>
      </c>
      <c r="C248" s="60" t="s">
        <v>787</v>
      </c>
      <c r="D248" s="60" t="s">
        <v>788</v>
      </c>
      <c r="E248" s="61" t="s">
        <v>46</v>
      </c>
      <c r="F248" s="62" t="s">
        <v>46</v>
      </c>
      <c r="G248" s="63" t="s">
        <v>46</v>
      </c>
      <c r="H248" s="64"/>
      <c r="I248" s="64" t="s">
        <v>47</v>
      </c>
      <c r="J248" s="65">
        <v>10</v>
      </c>
      <c r="K248" s="66">
        <f>1898</f>
        <v>1898</v>
      </c>
      <c r="L248" s="67" t="s">
        <v>853</v>
      </c>
      <c r="M248" s="66">
        <f>2014</f>
        <v>2014</v>
      </c>
      <c r="N248" s="67" t="s">
        <v>100</v>
      </c>
      <c r="O248" s="66">
        <f>1871</f>
        <v>1871</v>
      </c>
      <c r="P248" s="67" t="s">
        <v>84</v>
      </c>
      <c r="Q248" s="66">
        <f>1984</f>
        <v>1984</v>
      </c>
      <c r="R248" s="67" t="s">
        <v>872</v>
      </c>
      <c r="S248" s="68">
        <f>1950.15</f>
        <v>1950.15</v>
      </c>
      <c r="T248" s="65">
        <f>100550</f>
        <v>100550</v>
      </c>
      <c r="U248" s="65" t="str">
        <f>"－"</f>
        <v>－</v>
      </c>
      <c r="V248" s="65">
        <f>198125140</f>
        <v>198125140</v>
      </c>
      <c r="W248" s="65" t="str">
        <f>"－"</f>
        <v>－</v>
      </c>
      <c r="X248" s="69">
        <f>20</f>
        <v>20</v>
      </c>
    </row>
    <row r="249" spans="1:24">
      <c r="A249" s="60" t="s">
        <v>871</v>
      </c>
      <c r="B249" s="60" t="s">
        <v>789</v>
      </c>
      <c r="C249" s="60" t="s">
        <v>790</v>
      </c>
      <c r="D249" s="60" t="s">
        <v>791</v>
      </c>
      <c r="E249" s="61" t="s">
        <v>46</v>
      </c>
      <c r="F249" s="62" t="s">
        <v>46</v>
      </c>
      <c r="G249" s="63" t="s">
        <v>46</v>
      </c>
      <c r="H249" s="64"/>
      <c r="I249" s="64" t="s">
        <v>47</v>
      </c>
      <c r="J249" s="65">
        <v>1</v>
      </c>
      <c r="K249" s="66">
        <f>11690</f>
        <v>11690</v>
      </c>
      <c r="L249" s="67" t="s">
        <v>853</v>
      </c>
      <c r="M249" s="66">
        <f>12590</f>
        <v>12590</v>
      </c>
      <c r="N249" s="67" t="s">
        <v>872</v>
      </c>
      <c r="O249" s="66">
        <f>11530</f>
        <v>11530</v>
      </c>
      <c r="P249" s="67" t="s">
        <v>84</v>
      </c>
      <c r="Q249" s="66">
        <f>12570</f>
        <v>12570</v>
      </c>
      <c r="R249" s="67" t="s">
        <v>872</v>
      </c>
      <c r="S249" s="68">
        <f>12153.48</f>
        <v>12153.48</v>
      </c>
      <c r="T249" s="65">
        <f>274958</f>
        <v>274958</v>
      </c>
      <c r="U249" s="65">
        <f>5</f>
        <v>5</v>
      </c>
      <c r="V249" s="65">
        <f>3326683850</f>
        <v>3326683850</v>
      </c>
      <c r="W249" s="65">
        <f>61150</f>
        <v>61150</v>
      </c>
      <c r="X249" s="69">
        <f>23</f>
        <v>23</v>
      </c>
    </row>
    <row r="250" spans="1:24">
      <c r="A250" s="60" t="s">
        <v>871</v>
      </c>
      <c r="B250" s="60" t="s">
        <v>792</v>
      </c>
      <c r="C250" s="60" t="s">
        <v>793</v>
      </c>
      <c r="D250" s="60" t="s">
        <v>794</v>
      </c>
      <c r="E250" s="61" t="s">
        <v>46</v>
      </c>
      <c r="F250" s="62" t="s">
        <v>46</v>
      </c>
      <c r="G250" s="63" t="s">
        <v>46</v>
      </c>
      <c r="H250" s="64"/>
      <c r="I250" s="64" t="s">
        <v>47</v>
      </c>
      <c r="J250" s="65">
        <v>1</v>
      </c>
      <c r="K250" s="66">
        <f>11640</f>
        <v>11640</v>
      </c>
      <c r="L250" s="67" t="s">
        <v>853</v>
      </c>
      <c r="M250" s="66">
        <f>12280</f>
        <v>12280</v>
      </c>
      <c r="N250" s="67" t="s">
        <v>854</v>
      </c>
      <c r="O250" s="66">
        <f>11510</f>
        <v>11510</v>
      </c>
      <c r="P250" s="67" t="s">
        <v>84</v>
      </c>
      <c r="Q250" s="66">
        <f>12250</f>
        <v>12250</v>
      </c>
      <c r="R250" s="67" t="s">
        <v>872</v>
      </c>
      <c r="S250" s="68">
        <f>11991.3</f>
        <v>11991.3</v>
      </c>
      <c r="T250" s="65">
        <f>170532</f>
        <v>170532</v>
      </c>
      <c r="U250" s="65">
        <f>50201</f>
        <v>50201</v>
      </c>
      <c r="V250" s="65">
        <f>2044873990</f>
        <v>2044873990</v>
      </c>
      <c r="W250" s="65">
        <f>599661310</f>
        <v>599661310</v>
      </c>
      <c r="X250" s="69">
        <f>23</f>
        <v>23</v>
      </c>
    </row>
    <row r="251" spans="1:24">
      <c r="A251" s="60" t="s">
        <v>871</v>
      </c>
      <c r="B251" s="60" t="s">
        <v>795</v>
      </c>
      <c r="C251" s="60" t="s">
        <v>796</v>
      </c>
      <c r="D251" s="60" t="s">
        <v>797</v>
      </c>
      <c r="E251" s="61" t="s">
        <v>46</v>
      </c>
      <c r="F251" s="62" t="s">
        <v>46</v>
      </c>
      <c r="G251" s="63" t="s">
        <v>46</v>
      </c>
      <c r="H251" s="64"/>
      <c r="I251" s="64" t="s">
        <v>47</v>
      </c>
      <c r="J251" s="65">
        <v>1</v>
      </c>
      <c r="K251" s="66">
        <f>25450</f>
        <v>25450</v>
      </c>
      <c r="L251" s="67" t="s">
        <v>853</v>
      </c>
      <c r="M251" s="66">
        <f>26990</f>
        <v>26990</v>
      </c>
      <c r="N251" s="67" t="s">
        <v>613</v>
      </c>
      <c r="O251" s="66">
        <f>24720</f>
        <v>24720</v>
      </c>
      <c r="P251" s="67" t="s">
        <v>84</v>
      </c>
      <c r="Q251" s="66">
        <f>26240</f>
        <v>26240</v>
      </c>
      <c r="R251" s="67" t="s">
        <v>872</v>
      </c>
      <c r="S251" s="68">
        <f>25835.22</f>
        <v>25835.22</v>
      </c>
      <c r="T251" s="65">
        <f>992</f>
        <v>992</v>
      </c>
      <c r="U251" s="65" t="str">
        <f>"－"</f>
        <v>－</v>
      </c>
      <c r="V251" s="65">
        <f>25744790</f>
        <v>25744790</v>
      </c>
      <c r="W251" s="65" t="str">
        <f>"－"</f>
        <v>－</v>
      </c>
      <c r="X251" s="69">
        <f>23</f>
        <v>23</v>
      </c>
    </row>
    <row r="252" spans="1:24">
      <c r="A252" s="60" t="s">
        <v>871</v>
      </c>
      <c r="B252" s="60" t="s">
        <v>798</v>
      </c>
      <c r="C252" s="60" t="s">
        <v>799</v>
      </c>
      <c r="D252" s="60" t="s">
        <v>800</v>
      </c>
      <c r="E252" s="61" t="s">
        <v>46</v>
      </c>
      <c r="F252" s="62" t="s">
        <v>46</v>
      </c>
      <c r="G252" s="63" t="s">
        <v>46</v>
      </c>
      <c r="H252" s="64"/>
      <c r="I252" s="64" t="s">
        <v>47</v>
      </c>
      <c r="J252" s="65">
        <v>1</v>
      </c>
      <c r="K252" s="66">
        <f>2693</f>
        <v>2693</v>
      </c>
      <c r="L252" s="67" t="s">
        <v>853</v>
      </c>
      <c r="M252" s="66">
        <f>2727</f>
        <v>2727</v>
      </c>
      <c r="N252" s="67" t="s">
        <v>856</v>
      </c>
      <c r="O252" s="66">
        <f>2688</f>
        <v>2688</v>
      </c>
      <c r="P252" s="67" t="s">
        <v>853</v>
      </c>
      <c r="Q252" s="66">
        <f>2711</f>
        <v>2711</v>
      </c>
      <c r="R252" s="67" t="s">
        <v>872</v>
      </c>
      <c r="S252" s="68">
        <f>2708.91</f>
        <v>2708.91</v>
      </c>
      <c r="T252" s="65">
        <f>1113987</f>
        <v>1113987</v>
      </c>
      <c r="U252" s="65">
        <f>644117</f>
        <v>644117</v>
      </c>
      <c r="V252" s="65">
        <f>3014585394</f>
        <v>3014585394</v>
      </c>
      <c r="W252" s="65">
        <f>1741679754</f>
        <v>1741679754</v>
      </c>
      <c r="X252" s="69">
        <f>23</f>
        <v>23</v>
      </c>
    </row>
    <row r="253" spans="1:24">
      <c r="A253" s="60" t="s">
        <v>871</v>
      </c>
      <c r="B253" s="60" t="s">
        <v>801</v>
      </c>
      <c r="C253" s="60" t="s">
        <v>802</v>
      </c>
      <c r="D253" s="60" t="s">
        <v>803</v>
      </c>
      <c r="E253" s="61" t="s">
        <v>46</v>
      </c>
      <c r="F253" s="62" t="s">
        <v>46</v>
      </c>
      <c r="G253" s="63" t="s">
        <v>46</v>
      </c>
      <c r="H253" s="64"/>
      <c r="I253" s="64" t="s">
        <v>47</v>
      </c>
      <c r="J253" s="65">
        <v>10</v>
      </c>
      <c r="K253" s="66">
        <f>2686</f>
        <v>2686</v>
      </c>
      <c r="L253" s="67" t="s">
        <v>853</v>
      </c>
      <c r="M253" s="66">
        <f>2875</f>
        <v>2875</v>
      </c>
      <c r="N253" s="67" t="s">
        <v>873</v>
      </c>
      <c r="O253" s="66">
        <f>2649</f>
        <v>2649</v>
      </c>
      <c r="P253" s="67" t="s">
        <v>84</v>
      </c>
      <c r="Q253" s="66">
        <f>2861</f>
        <v>2861</v>
      </c>
      <c r="R253" s="67" t="s">
        <v>872</v>
      </c>
      <c r="S253" s="68">
        <f>2793</f>
        <v>2793</v>
      </c>
      <c r="T253" s="65">
        <f>3424610</f>
        <v>3424610</v>
      </c>
      <c r="U253" s="65">
        <f>1235200</f>
        <v>1235200</v>
      </c>
      <c r="V253" s="65">
        <f>9537953955</f>
        <v>9537953955</v>
      </c>
      <c r="W253" s="65">
        <f>3402244165</f>
        <v>3402244165</v>
      </c>
      <c r="X253" s="69">
        <f>23</f>
        <v>23</v>
      </c>
    </row>
    <row r="254" spans="1:24">
      <c r="A254" s="60" t="s">
        <v>871</v>
      </c>
      <c r="B254" s="60" t="s">
        <v>804</v>
      </c>
      <c r="C254" s="60" t="s">
        <v>805</v>
      </c>
      <c r="D254" s="60" t="s">
        <v>806</v>
      </c>
      <c r="E254" s="61" t="s">
        <v>46</v>
      </c>
      <c r="F254" s="62" t="s">
        <v>46</v>
      </c>
      <c r="G254" s="63" t="s">
        <v>46</v>
      </c>
      <c r="H254" s="64"/>
      <c r="I254" s="64" t="s">
        <v>47</v>
      </c>
      <c r="J254" s="65">
        <v>1</v>
      </c>
      <c r="K254" s="66">
        <f>2485</f>
        <v>2485</v>
      </c>
      <c r="L254" s="67" t="s">
        <v>853</v>
      </c>
      <c r="M254" s="66">
        <f>2590</f>
        <v>2590</v>
      </c>
      <c r="N254" s="67" t="s">
        <v>100</v>
      </c>
      <c r="O254" s="66">
        <f>2421</f>
        <v>2421</v>
      </c>
      <c r="P254" s="67" t="s">
        <v>84</v>
      </c>
      <c r="Q254" s="66">
        <f>2568</f>
        <v>2568</v>
      </c>
      <c r="R254" s="67" t="s">
        <v>872</v>
      </c>
      <c r="S254" s="68">
        <f>2532.26</f>
        <v>2532.2600000000002</v>
      </c>
      <c r="T254" s="65">
        <f>2795928</f>
        <v>2795928</v>
      </c>
      <c r="U254" s="65">
        <f>29000</f>
        <v>29000</v>
      </c>
      <c r="V254" s="65">
        <f>7114429456</f>
        <v>7114429456</v>
      </c>
      <c r="W254" s="65">
        <f>70298900</f>
        <v>70298900</v>
      </c>
      <c r="X254" s="69">
        <f>23</f>
        <v>23</v>
      </c>
    </row>
    <row r="255" spans="1:24">
      <c r="A255" s="60" t="s">
        <v>871</v>
      </c>
      <c r="B255" s="60" t="s">
        <v>807</v>
      </c>
      <c r="C255" s="60" t="s">
        <v>808</v>
      </c>
      <c r="D255" s="60" t="s">
        <v>809</v>
      </c>
      <c r="E255" s="61" t="s">
        <v>46</v>
      </c>
      <c r="F255" s="62" t="s">
        <v>46</v>
      </c>
      <c r="G255" s="63" t="s">
        <v>46</v>
      </c>
      <c r="H255" s="64"/>
      <c r="I255" s="64" t="s">
        <v>47</v>
      </c>
      <c r="J255" s="65">
        <v>1</v>
      </c>
      <c r="K255" s="66">
        <f>1816</f>
        <v>1816</v>
      </c>
      <c r="L255" s="67" t="s">
        <v>853</v>
      </c>
      <c r="M255" s="66">
        <f>2024</f>
        <v>2024</v>
      </c>
      <c r="N255" s="67" t="s">
        <v>132</v>
      </c>
      <c r="O255" s="66">
        <f>1810</f>
        <v>1810</v>
      </c>
      <c r="P255" s="67" t="s">
        <v>857</v>
      </c>
      <c r="Q255" s="66">
        <f>1955</f>
        <v>1955</v>
      </c>
      <c r="R255" s="67" t="s">
        <v>872</v>
      </c>
      <c r="S255" s="68">
        <f>1925.91</f>
        <v>1925.91</v>
      </c>
      <c r="T255" s="65">
        <f>48675</f>
        <v>48675</v>
      </c>
      <c r="U255" s="65" t="str">
        <f>"－"</f>
        <v>－</v>
      </c>
      <c r="V255" s="65">
        <f>95007803</f>
        <v>95007803</v>
      </c>
      <c r="W255" s="65" t="str">
        <f>"－"</f>
        <v>－</v>
      </c>
      <c r="X255" s="69">
        <f>23</f>
        <v>23</v>
      </c>
    </row>
    <row r="256" spans="1:24">
      <c r="A256" s="60" t="s">
        <v>871</v>
      </c>
      <c r="B256" s="60" t="s">
        <v>810</v>
      </c>
      <c r="C256" s="60" t="s">
        <v>811</v>
      </c>
      <c r="D256" s="60" t="s">
        <v>812</v>
      </c>
      <c r="E256" s="61" t="s">
        <v>46</v>
      </c>
      <c r="F256" s="62" t="s">
        <v>46</v>
      </c>
      <c r="G256" s="63" t="s">
        <v>46</v>
      </c>
      <c r="H256" s="64"/>
      <c r="I256" s="64" t="s">
        <v>47</v>
      </c>
      <c r="J256" s="65">
        <v>1</v>
      </c>
      <c r="K256" s="66">
        <f>1078</f>
        <v>1078</v>
      </c>
      <c r="L256" s="67" t="s">
        <v>853</v>
      </c>
      <c r="M256" s="66">
        <f>1141</f>
        <v>1141</v>
      </c>
      <c r="N256" s="67" t="s">
        <v>872</v>
      </c>
      <c r="O256" s="66">
        <f>990</f>
        <v>990</v>
      </c>
      <c r="P256" s="67" t="s">
        <v>859</v>
      </c>
      <c r="Q256" s="66">
        <f>1122</f>
        <v>1122</v>
      </c>
      <c r="R256" s="67" t="s">
        <v>872</v>
      </c>
      <c r="S256" s="68">
        <f>1063.78</f>
        <v>1063.78</v>
      </c>
      <c r="T256" s="65">
        <f>443083</f>
        <v>443083</v>
      </c>
      <c r="U256" s="65">
        <f>50000</f>
        <v>50000</v>
      </c>
      <c r="V256" s="65">
        <f>464959400</f>
        <v>464959400</v>
      </c>
      <c r="W256" s="65">
        <f>51645000</f>
        <v>51645000</v>
      </c>
      <c r="X256" s="69">
        <f>23</f>
        <v>23</v>
      </c>
    </row>
    <row r="257" spans="1:24">
      <c r="A257" s="60" t="s">
        <v>871</v>
      </c>
      <c r="B257" s="60" t="s">
        <v>813</v>
      </c>
      <c r="C257" s="60" t="s">
        <v>814</v>
      </c>
      <c r="D257" s="60" t="s">
        <v>815</v>
      </c>
      <c r="E257" s="61" t="s">
        <v>46</v>
      </c>
      <c r="F257" s="62" t="s">
        <v>46</v>
      </c>
      <c r="G257" s="63" t="s">
        <v>46</v>
      </c>
      <c r="H257" s="64"/>
      <c r="I257" s="64" t="s">
        <v>47</v>
      </c>
      <c r="J257" s="65">
        <v>10</v>
      </c>
      <c r="K257" s="66">
        <f>1100</f>
        <v>1100</v>
      </c>
      <c r="L257" s="67" t="s">
        <v>853</v>
      </c>
      <c r="M257" s="66">
        <f>1201</f>
        <v>1201</v>
      </c>
      <c r="N257" s="67" t="s">
        <v>132</v>
      </c>
      <c r="O257" s="66">
        <f>1056</f>
        <v>1056</v>
      </c>
      <c r="P257" s="67" t="s">
        <v>859</v>
      </c>
      <c r="Q257" s="66">
        <f>1143</f>
        <v>1143</v>
      </c>
      <c r="R257" s="67" t="s">
        <v>872</v>
      </c>
      <c r="S257" s="68">
        <f>1105.43</f>
        <v>1105.43</v>
      </c>
      <c r="T257" s="65">
        <f>118990</f>
        <v>118990</v>
      </c>
      <c r="U257" s="65" t="str">
        <f>"－"</f>
        <v>－</v>
      </c>
      <c r="V257" s="65">
        <f>131689750</f>
        <v>131689750</v>
      </c>
      <c r="W257" s="65" t="str">
        <f>"－"</f>
        <v>－</v>
      </c>
      <c r="X257" s="69">
        <f>23</f>
        <v>23</v>
      </c>
    </row>
    <row r="258" spans="1:24">
      <c r="A258" s="60" t="s">
        <v>871</v>
      </c>
      <c r="B258" s="60" t="s">
        <v>816</v>
      </c>
      <c r="C258" s="60" t="s">
        <v>817</v>
      </c>
      <c r="D258" s="60" t="s">
        <v>818</v>
      </c>
      <c r="E258" s="61" t="s">
        <v>46</v>
      </c>
      <c r="F258" s="62" t="s">
        <v>46</v>
      </c>
      <c r="G258" s="63" t="s">
        <v>46</v>
      </c>
      <c r="H258" s="64"/>
      <c r="I258" s="64" t="s">
        <v>47</v>
      </c>
      <c r="J258" s="65">
        <v>10</v>
      </c>
      <c r="K258" s="66">
        <f>248</f>
        <v>248</v>
      </c>
      <c r="L258" s="67" t="s">
        <v>853</v>
      </c>
      <c r="M258" s="66">
        <f>267</f>
        <v>267</v>
      </c>
      <c r="N258" s="67" t="s">
        <v>132</v>
      </c>
      <c r="O258" s="66">
        <f>243</f>
        <v>243</v>
      </c>
      <c r="P258" s="67" t="s">
        <v>84</v>
      </c>
      <c r="Q258" s="66">
        <f>264</f>
        <v>264</v>
      </c>
      <c r="R258" s="67" t="s">
        <v>872</v>
      </c>
      <c r="S258" s="68">
        <f>256.48</f>
        <v>256.48</v>
      </c>
      <c r="T258" s="65">
        <f>94040</f>
        <v>94040</v>
      </c>
      <c r="U258" s="65">
        <f>20</f>
        <v>20</v>
      </c>
      <c r="V258" s="65">
        <f>23956650</f>
        <v>23956650</v>
      </c>
      <c r="W258" s="65">
        <f>5230</f>
        <v>5230</v>
      </c>
      <c r="X258" s="69">
        <f>23</f>
        <v>23</v>
      </c>
    </row>
    <row r="259" spans="1:24">
      <c r="A259" s="60" t="s">
        <v>871</v>
      </c>
      <c r="B259" s="60" t="s">
        <v>819</v>
      </c>
      <c r="C259" s="60" t="s">
        <v>820</v>
      </c>
      <c r="D259" s="60" t="s">
        <v>821</v>
      </c>
      <c r="E259" s="61" t="s">
        <v>46</v>
      </c>
      <c r="F259" s="62" t="s">
        <v>46</v>
      </c>
      <c r="G259" s="63" t="s">
        <v>46</v>
      </c>
      <c r="H259" s="64"/>
      <c r="I259" s="64" t="s">
        <v>47</v>
      </c>
      <c r="J259" s="65">
        <v>10</v>
      </c>
      <c r="K259" s="66">
        <f>2387</f>
        <v>2387</v>
      </c>
      <c r="L259" s="67" t="s">
        <v>853</v>
      </c>
      <c r="M259" s="66">
        <f>2493</f>
        <v>2493</v>
      </c>
      <c r="N259" s="67" t="s">
        <v>100</v>
      </c>
      <c r="O259" s="66">
        <f>2288</f>
        <v>2288</v>
      </c>
      <c r="P259" s="67" t="s">
        <v>84</v>
      </c>
      <c r="Q259" s="66">
        <f>2461</f>
        <v>2461</v>
      </c>
      <c r="R259" s="67" t="s">
        <v>872</v>
      </c>
      <c r="S259" s="68">
        <f>2413.43</f>
        <v>2413.4299999999998</v>
      </c>
      <c r="T259" s="65">
        <f>2361560</f>
        <v>2361560</v>
      </c>
      <c r="U259" s="65">
        <f>20</f>
        <v>20</v>
      </c>
      <c r="V259" s="65">
        <f>5690481180</f>
        <v>5690481180</v>
      </c>
      <c r="W259" s="65">
        <f>46640</f>
        <v>46640</v>
      </c>
      <c r="X259" s="69">
        <f>23</f>
        <v>23</v>
      </c>
    </row>
    <row r="260" spans="1:24">
      <c r="A260" s="60" t="s">
        <v>871</v>
      </c>
      <c r="B260" s="60" t="s">
        <v>822</v>
      </c>
      <c r="C260" s="60" t="s">
        <v>823</v>
      </c>
      <c r="D260" s="60" t="s">
        <v>824</v>
      </c>
      <c r="E260" s="61" t="s">
        <v>46</v>
      </c>
      <c r="F260" s="62" t="s">
        <v>46</v>
      </c>
      <c r="G260" s="63" t="s">
        <v>46</v>
      </c>
      <c r="H260" s="64"/>
      <c r="I260" s="64" t="s">
        <v>47</v>
      </c>
      <c r="J260" s="65">
        <v>10</v>
      </c>
      <c r="K260" s="66">
        <f>2343</f>
        <v>2343</v>
      </c>
      <c r="L260" s="67" t="s">
        <v>853</v>
      </c>
      <c r="M260" s="66">
        <f>2399</f>
        <v>2399</v>
      </c>
      <c r="N260" s="67" t="s">
        <v>857</v>
      </c>
      <c r="O260" s="66">
        <f>2215</f>
        <v>2215</v>
      </c>
      <c r="P260" s="67" t="s">
        <v>84</v>
      </c>
      <c r="Q260" s="66">
        <f>2318</f>
        <v>2318</v>
      </c>
      <c r="R260" s="67" t="s">
        <v>872</v>
      </c>
      <c r="S260" s="68">
        <f>2321.35</f>
        <v>2321.35</v>
      </c>
      <c r="T260" s="65">
        <f>8575450</f>
        <v>8575450</v>
      </c>
      <c r="U260" s="65">
        <f>1003700</f>
        <v>1003700</v>
      </c>
      <c r="V260" s="65">
        <f>19814200437</f>
        <v>19814200437</v>
      </c>
      <c r="W260" s="65">
        <f>2310732527</f>
        <v>2310732527</v>
      </c>
      <c r="X260" s="69">
        <f>23</f>
        <v>23</v>
      </c>
    </row>
    <row r="261" spans="1:24">
      <c r="A261" s="60" t="s">
        <v>871</v>
      </c>
      <c r="B261" s="60" t="s">
        <v>825</v>
      </c>
      <c r="C261" s="60" t="s">
        <v>826</v>
      </c>
      <c r="D261" s="60" t="s">
        <v>827</v>
      </c>
      <c r="E261" s="61" t="s">
        <v>46</v>
      </c>
      <c r="F261" s="62" t="s">
        <v>46</v>
      </c>
      <c r="G261" s="63" t="s">
        <v>46</v>
      </c>
      <c r="H261" s="64"/>
      <c r="I261" s="64" t="s">
        <v>47</v>
      </c>
      <c r="J261" s="65">
        <v>1</v>
      </c>
      <c r="K261" s="66">
        <f>2541</f>
        <v>2541</v>
      </c>
      <c r="L261" s="67" t="s">
        <v>853</v>
      </c>
      <c r="M261" s="66">
        <f>2629</f>
        <v>2629</v>
      </c>
      <c r="N261" s="67" t="s">
        <v>872</v>
      </c>
      <c r="O261" s="66">
        <f>2522</f>
        <v>2522</v>
      </c>
      <c r="P261" s="67" t="s">
        <v>853</v>
      </c>
      <c r="Q261" s="66">
        <f>2629</f>
        <v>2629</v>
      </c>
      <c r="R261" s="67" t="s">
        <v>872</v>
      </c>
      <c r="S261" s="68">
        <f>2575.48</f>
        <v>2575.48</v>
      </c>
      <c r="T261" s="65">
        <f>12010</f>
        <v>12010</v>
      </c>
      <c r="U261" s="65" t="str">
        <f>"－"</f>
        <v>－</v>
      </c>
      <c r="V261" s="65">
        <f>30947814</f>
        <v>30947814</v>
      </c>
      <c r="W261" s="65" t="str">
        <f>"－"</f>
        <v>－</v>
      </c>
      <c r="X261" s="69">
        <f>23</f>
        <v>23</v>
      </c>
    </row>
    <row r="262" spans="1:24">
      <c r="A262" s="60" t="s">
        <v>871</v>
      </c>
      <c r="B262" s="60" t="s">
        <v>828</v>
      </c>
      <c r="C262" s="60" t="s">
        <v>829</v>
      </c>
      <c r="D262" s="60" t="s">
        <v>830</v>
      </c>
      <c r="E262" s="61" t="s">
        <v>46</v>
      </c>
      <c r="F262" s="62" t="s">
        <v>46</v>
      </c>
      <c r="G262" s="63" t="s">
        <v>46</v>
      </c>
      <c r="H262" s="64"/>
      <c r="I262" s="64" t="s">
        <v>47</v>
      </c>
      <c r="J262" s="65">
        <v>1</v>
      </c>
      <c r="K262" s="66">
        <f>2195</f>
        <v>2195</v>
      </c>
      <c r="L262" s="67" t="s">
        <v>853</v>
      </c>
      <c r="M262" s="66">
        <f>2197</f>
        <v>2197</v>
      </c>
      <c r="N262" s="67" t="s">
        <v>853</v>
      </c>
      <c r="O262" s="66">
        <f>2055</f>
        <v>2055</v>
      </c>
      <c r="P262" s="67" t="s">
        <v>613</v>
      </c>
      <c r="Q262" s="66">
        <f>2094</f>
        <v>2094</v>
      </c>
      <c r="R262" s="67" t="s">
        <v>872</v>
      </c>
      <c r="S262" s="68">
        <f>2125.7</f>
        <v>2125.6999999999998</v>
      </c>
      <c r="T262" s="65">
        <f>471131</f>
        <v>471131</v>
      </c>
      <c r="U262" s="65">
        <f>9</f>
        <v>9</v>
      </c>
      <c r="V262" s="65">
        <f>1000216332</f>
        <v>1000216332</v>
      </c>
      <c r="W262" s="65">
        <f>18996</f>
        <v>18996</v>
      </c>
      <c r="X262" s="69">
        <f>23</f>
        <v>23</v>
      </c>
    </row>
    <row r="263" spans="1:24">
      <c r="A263" s="60" t="s">
        <v>871</v>
      </c>
      <c r="B263" s="60" t="s">
        <v>831</v>
      </c>
      <c r="C263" s="60" t="s">
        <v>832</v>
      </c>
      <c r="D263" s="60" t="s">
        <v>833</v>
      </c>
      <c r="E263" s="61" t="s">
        <v>46</v>
      </c>
      <c r="F263" s="62" t="s">
        <v>46</v>
      </c>
      <c r="G263" s="63" t="s">
        <v>46</v>
      </c>
      <c r="H263" s="64"/>
      <c r="I263" s="64" t="s">
        <v>47</v>
      </c>
      <c r="J263" s="65">
        <v>1</v>
      </c>
      <c r="K263" s="66">
        <f>2526</f>
        <v>2526</v>
      </c>
      <c r="L263" s="67" t="s">
        <v>853</v>
      </c>
      <c r="M263" s="66">
        <f>2537</f>
        <v>2537</v>
      </c>
      <c r="N263" s="67" t="s">
        <v>857</v>
      </c>
      <c r="O263" s="66">
        <f>2404</f>
        <v>2404</v>
      </c>
      <c r="P263" s="67" t="s">
        <v>859</v>
      </c>
      <c r="Q263" s="66">
        <f>2470</f>
        <v>2470</v>
      </c>
      <c r="R263" s="67" t="s">
        <v>872</v>
      </c>
      <c r="S263" s="68">
        <f>2473.3</f>
        <v>2473.3000000000002</v>
      </c>
      <c r="T263" s="65">
        <f>114583</f>
        <v>114583</v>
      </c>
      <c r="U263" s="65">
        <f>105970</f>
        <v>105970</v>
      </c>
      <c r="V263" s="65">
        <f>281358891</f>
        <v>281358891</v>
      </c>
      <c r="W263" s="65">
        <f>260187081</f>
        <v>260187081</v>
      </c>
      <c r="X263" s="69">
        <f>23</f>
        <v>23</v>
      </c>
    </row>
    <row r="264" spans="1:24">
      <c r="A264" s="60" t="s">
        <v>871</v>
      </c>
      <c r="B264" s="60" t="s">
        <v>834</v>
      </c>
      <c r="C264" s="60" t="s">
        <v>835</v>
      </c>
      <c r="D264" s="60" t="s">
        <v>836</v>
      </c>
      <c r="E264" s="61" t="s">
        <v>46</v>
      </c>
      <c r="F264" s="62" t="s">
        <v>46</v>
      </c>
      <c r="G264" s="63" t="s">
        <v>46</v>
      </c>
      <c r="H264" s="64"/>
      <c r="I264" s="64" t="s">
        <v>47</v>
      </c>
      <c r="J264" s="65">
        <v>1</v>
      </c>
      <c r="K264" s="66">
        <f>2492</f>
        <v>2492</v>
      </c>
      <c r="L264" s="67" t="s">
        <v>853</v>
      </c>
      <c r="M264" s="66">
        <f>2561</f>
        <v>2561</v>
      </c>
      <c r="N264" s="67" t="s">
        <v>613</v>
      </c>
      <c r="O264" s="66">
        <f>2492</f>
        <v>2492</v>
      </c>
      <c r="P264" s="67" t="s">
        <v>853</v>
      </c>
      <c r="Q264" s="66">
        <f>2512</f>
        <v>2512</v>
      </c>
      <c r="R264" s="67" t="s">
        <v>872</v>
      </c>
      <c r="S264" s="68">
        <f>2517.9</f>
        <v>2517.9</v>
      </c>
      <c r="T264" s="65">
        <f>3045</f>
        <v>3045</v>
      </c>
      <c r="U264" s="65" t="str">
        <f>"－"</f>
        <v>－</v>
      </c>
      <c r="V264" s="65">
        <f>7646161</f>
        <v>7646161</v>
      </c>
      <c r="W264" s="65" t="str">
        <f>"－"</f>
        <v>－</v>
      </c>
      <c r="X264" s="69">
        <f>21</f>
        <v>21</v>
      </c>
    </row>
    <row r="265" spans="1:24">
      <c r="A265" s="60" t="s">
        <v>871</v>
      </c>
      <c r="B265" s="60" t="s">
        <v>837</v>
      </c>
      <c r="C265" s="60" t="s">
        <v>838</v>
      </c>
      <c r="D265" s="60" t="s">
        <v>839</v>
      </c>
      <c r="E265" s="61" t="s">
        <v>46</v>
      </c>
      <c r="F265" s="62" t="s">
        <v>46</v>
      </c>
      <c r="G265" s="63" t="s">
        <v>46</v>
      </c>
      <c r="H265" s="64"/>
      <c r="I265" s="64" t="s">
        <v>47</v>
      </c>
      <c r="J265" s="65">
        <v>1</v>
      </c>
      <c r="K265" s="66">
        <f>2960</f>
        <v>2960</v>
      </c>
      <c r="L265" s="67" t="s">
        <v>853</v>
      </c>
      <c r="M265" s="66">
        <f>3050</f>
        <v>3050</v>
      </c>
      <c r="N265" s="67" t="s">
        <v>100</v>
      </c>
      <c r="O265" s="66">
        <f>2837</f>
        <v>2837</v>
      </c>
      <c r="P265" s="67" t="s">
        <v>84</v>
      </c>
      <c r="Q265" s="66">
        <f>2950</f>
        <v>2950</v>
      </c>
      <c r="R265" s="67" t="s">
        <v>872</v>
      </c>
      <c r="S265" s="68">
        <f>2936.3</f>
        <v>2936.3</v>
      </c>
      <c r="T265" s="65">
        <f>56652</f>
        <v>56652</v>
      </c>
      <c r="U265" s="65" t="str">
        <f>"－"</f>
        <v>－</v>
      </c>
      <c r="V265" s="65">
        <f>167217408</f>
        <v>167217408</v>
      </c>
      <c r="W265" s="65" t="str">
        <f>"－"</f>
        <v>－</v>
      </c>
      <c r="X265" s="69">
        <f>23</f>
        <v>23</v>
      </c>
    </row>
    <row r="266" spans="1:24">
      <c r="A266" s="60" t="s">
        <v>871</v>
      </c>
      <c r="B266" s="60" t="s">
        <v>840</v>
      </c>
      <c r="C266" s="60" t="s">
        <v>841</v>
      </c>
      <c r="D266" s="60" t="s">
        <v>842</v>
      </c>
      <c r="E266" s="61" t="s">
        <v>46</v>
      </c>
      <c r="F266" s="62" t="s">
        <v>46</v>
      </c>
      <c r="G266" s="63" t="s">
        <v>46</v>
      </c>
      <c r="H266" s="64"/>
      <c r="I266" s="64" t="s">
        <v>47</v>
      </c>
      <c r="J266" s="65">
        <v>1</v>
      </c>
      <c r="K266" s="66">
        <f>1896</f>
        <v>1896</v>
      </c>
      <c r="L266" s="67" t="s">
        <v>853</v>
      </c>
      <c r="M266" s="66">
        <f>2016</f>
        <v>2016</v>
      </c>
      <c r="N266" s="67" t="s">
        <v>613</v>
      </c>
      <c r="O266" s="66">
        <f>1863</f>
        <v>1863</v>
      </c>
      <c r="P266" s="67" t="s">
        <v>84</v>
      </c>
      <c r="Q266" s="66">
        <f>1975</f>
        <v>1975</v>
      </c>
      <c r="R266" s="67" t="s">
        <v>872</v>
      </c>
      <c r="S266" s="68">
        <f>1950.35</f>
        <v>1950.35</v>
      </c>
      <c r="T266" s="65">
        <f>57828</f>
        <v>57828</v>
      </c>
      <c r="U266" s="65" t="str">
        <f>"－"</f>
        <v>－</v>
      </c>
      <c r="V266" s="65">
        <f>112100404</f>
        <v>112100404</v>
      </c>
      <c r="W266" s="65" t="str">
        <f>"－"</f>
        <v>－</v>
      </c>
      <c r="X266" s="69">
        <f>23</f>
        <v>23</v>
      </c>
    </row>
    <row r="267" spans="1:24">
      <c r="A267" s="60" t="s">
        <v>871</v>
      </c>
      <c r="B267" s="60" t="s">
        <v>843</v>
      </c>
      <c r="C267" s="60" t="s">
        <v>844</v>
      </c>
      <c r="D267" s="60" t="s">
        <v>845</v>
      </c>
      <c r="E267" s="61" t="s">
        <v>46</v>
      </c>
      <c r="F267" s="62" t="s">
        <v>46</v>
      </c>
      <c r="G267" s="63" t="s">
        <v>46</v>
      </c>
      <c r="H267" s="64"/>
      <c r="I267" s="64" t="s">
        <v>47</v>
      </c>
      <c r="J267" s="65">
        <v>1</v>
      </c>
      <c r="K267" s="66">
        <f>2100</f>
        <v>2100</v>
      </c>
      <c r="L267" s="67" t="s">
        <v>853</v>
      </c>
      <c r="M267" s="66">
        <f>2180</f>
        <v>2180</v>
      </c>
      <c r="N267" s="67" t="s">
        <v>100</v>
      </c>
      <c r="O267" s="66">
        <f>1985</f>
        <v>1985</v>
      </c>
      <c r="P267" s="67" t="s">
        <v>859</v>
      </c>
      <c r="Q267" s="66">
        <f>2110</f>
        <v>2110</v>
      </c>
      <c r="R267" s="67" t="s">
        <v>872</v>
      </c>
      <c r="S267" s="68">
        <f>2092</f>
        <v>2092</v>
      </c>
      <c r="T267" s="65">
        <f>458375</f>
        <v>458375</v>
      </c>
      <c r="U267" s="65">
        <f>5</f>
        <v>5</v>
      </c>
      <c r="V267" s="65">
        <f>961141892</f>
        <v>961141892</v>
      </c>
      <c r="W267" s="65">
        <f>10598</f>
        <v>10598</v>
      </c>
      <c r="X267" s="69">
        <f>23</f>
        <v>23</v>
      </c>
    </row>
    <row r="268" spans="1:24">
      <c r="A268" s="60" t="s">
        <v>871</v>
      </c>
      <c r="B268" s="60" t="s">
        <v>849</v>
      </c>
      <c r="C268" s="60" t="s">
        <v>850</v>
      </c>
      <c r="D268" s="60" t="s">
        <v>851</v>
      </c>
      <c r="E268" s="61" t="s">
        <v>46</v>
      </c>
      <c r="F268" s="62" t="s">
        <v>46</v>
      </c>
      <c r="G268" s="63" t="s">
        <v>46</v>
      </c>
      <c r="H268" s="64"/>
      <c r="I268" s="64" t="s">
        <v>47</v>
      </c>
      <c r="J268" s="65">
        <v>1</v>
      </c>
      <c r="K268" s="66">
        <f>2213</f>
        <v>2213</v>
      </c>
      <c r="L268" s="67" t="s">
        <v>853</v>
      </c>
      <c r="M268" s="66">
        <f>2264</f>
        <v>2264</v>
      </c>
      <c r="N268" s="67" t="s">
        <v>100</v>
      </c>
      <c r="O268" s="66">
        <f>2020</f>
        <v>2020</v>
      </c>
      <c r="P268" s="67" t="s">
        <v>875</v>
      </c>
      <c r="Q268" s="66">
        <f>2179</f>
        <v>2179</v>
      </c>
      <c r="R268" s="67" t="s">
        <v>872</v>
      </c>
      <c r="S268" s="68">
        <f>2153.35</f>
        <v>2153.35</v>
      </c>
      <c r="T268" s="65">
        <f>304765</f>
        <v>304765</v>
      </c>
      <c r="U268" s="65">
        <f>5</f>
        <v>5</v>
      </c>
      <c r="V268" s="65">
        <f>658031152</f>
        <v>658031152</v>
      </c>
      <c r="W268" s="65">
        <f>11004</f>
        <v>11004</v>
      </c>
      <c r="X268" s="69">
        <f>23</f>
        <v>23</v>
      </c>
    </row>
    <row r="269" spans="1:24">
      <c r="A269" s="60" t="s">
        <v>871</v>
      </c>
      <c r="B269" s="60" t="s">
        <v>861</v>
      </c>
      <c r="C269" s="60" t="s">
        <v>862</v>
      </c>
      <c r="D269" s="60" t="s">
        <v>863</v>
      </c>
      <c r="E269" s="61" t="s">
        <v>46</v>
      </c>
      <c r="F269" s="62" t="s">
        <v>46</v>
      </c>
      <c r="G269" s="63" t="s">
        <v>46</v>
      </c>
      <c r="H269" s="64"/>
      <c r="I269" s="64" t="s">
        <v>47</v>
      </c>
      <c r="J269" s="65">
        <v>1</v>
      </c>
      <c r="K269" s="66">
        <f>9920</f>
        <v>9920</v>
      </c>
      <c r="L269" s="67" t="s">
        <v>853</v>
      </c>
      <c r="M269" s="66">
        <f>10310</f>
        <v>10310</v>
      </c>
      <c r="N269" s="67" t="s">
        <v>100</v>
      </c>
      <c r="O269" s="66">
        <f>9640</f>
        <v>9640</v>
      </c>
      <c r="P269" s="67" t="s">
        <v>84</v>
      </c>
      <c r="Q269" s="66">
        <f>10220</f>
        <v>10220</v>
      </c>
      <c r="R269" s="67" t="s">
        <v>872</v>
      </c>
      <c r="S269" s="68">
        <f>10083.91</f>
        <v>10083.91</v>
      </c>
      <c r="T269" s="65">
        <f>8802</f>
        <v>8802</v>
      </c>
      <c r="U269" s="65" t="str">
        <f t="shared" ref="U269:U276" si="12">"－"</f>
        <v>－</v>
      </c>
      <c r="V269" s="65">
        <f>89015470</f>
        <v>89015470</v>
      </c>
      <c r="W269" s="65" t="str">
        <f t="shared" ref="W269:W276" si="13">"－"</f>
        <v>－</v>
      </c>
      <c r="X269" s="69">
        <f>23</f>
        <v>23</v>
      </c>
    </row>
    <row r="270" spans="1:24">
      <c r="A270" s="60" t="s">
        <v>871</v>
      </c>
      <c r="B270" s="60" t="s">
        <v>865</v>
      </c>
      <c r="C270" s="60" t="s">
        <v>866</v>
      </c>
      <c r="D270" s="60" t="s">
        <v>867</v>
      </c>
      <c r="E270" s="61" t="s">
        <v>46</v>
      </c>
      <c r="F270" s="62" t="s">
        <v>46</v>
      </c>
      <c r="G270" s="63" t="s">
        <v>46</v>
      </c>
      <c r="H270" s="64"/>
      <c r="I270" s="64" t="s">
        <v>47</v>
      </c>
      <c r="J270" s="65">
        <v>1</v>
      </c>
      <c r="K270" s="66">
        <f>9990</f>
        <v>9990</v>
      </c>
      <c r="L270" s="67" t="s">
        <v>853</v>
      </c>
      <c r="M270" s="66">
        <f>10410</f>
        <v>10410</v>
      </c>
      <c r="N270" s="67" t="s">
        <v>100</v>
      </c>
      <c r="O270" s="66">
        <f>9550</f>
        <v>9550</v>
      </c>
      <c r="P270" s="67" t="s">
        <v>84</v>
      </c>
      <c r="Q270" s="66">
        <f>10280</f>
        <v>10280</v>
      </c>
      <c r="R270" s="67" t="s">
        <v>872</v>
      </c>
      <c r="S270" s="68">
        <f>10087.83</f>
        <v>10087.83</v>
      </c>
      <c r="T270" s="65">
        <f>263222</f>
        <v>263222</v>
      </c>
      <c r="U270" s="65" t="str">
        <f t="shared" si="12"/>
        <v>－</v>
      </c>
      <c r="V270" s="65">
        <f>2647707190</f>
        <v>2647707190</v>
      </c>
      <c r="W270" s="65" t="str">
        <f t="shared" si="13"/>
        <v>－</v>
      </c>
      <c r="X270" s="69">
        <f>23</f>
        <v>23</v>
      </c>
    </row>
    <row r="271" spans="1:24">
      <c r="A271" s="60" t="s">
        <v>871</v>
      </c>
      <c r="B271" s="60" t="s">
        <v>868</v>
      </c>
      <c r="C271" s="60" t="s">
        <v>869</v>
      </c>
      <c r="D271" s="60" t="s">
        <v>870</v>
      </c>
      <c r="E271" s="61" t="s">
        <v>46</v>
      </c>
      <c r="F271" s="62" t="s">
        <v>46</v>
      </c>
      <c r="G271" s="63" t="s">
        <v>46</v>
      </c>
      <c r="H271" s="64"/>
      <c r="I271" s="64" t="s">
        <v>47</v>
      </c>
      <c r="J271" s="65">
        <v>1</v>
      </c>
      <c r="K271" s="66">
        <f>9890</f>
        <v>9890</v>
      </c>
      <c r="L271" s="67" t="s">
        <v>853</v>
      </c>
      <c r="M271" s="66">
        <f>10120</f>
        <v>10120</v>
      </c>
      <c r="N271" s="67" t="s">
        <v>857</v>
      </c>
      <c r="O271" s="66">
        <f>9340</f>
        <v>9340</v>
      </c>
      <c r="P271" s="67" t="s">
        <v>84</v>
      </c>
      <c r="Q271" s="66">
        <f>9760</f>
        <v>9760</v>
      </c>
      <c r="R271" s="67" t="s">
        <v>872</v>
      </c>
      <c r="S271" s="68">
        <f>9780.87</f>
        <v>9780.8700000000008</v>
      </c>
      <c r="T271" s="65">
        <f>86450</f>
        <v>86450</v>
      </c>
      <c r="U271" s="65" t="str">
        <f t="shared" si="12"/>
        <v>－</v>
      </c>
      <c r="V271" s="65">
        <f>838669070</f>
        <v>838669070</v>
      </c>
      <c r="W271" s="65" t="str">
        <f t="shared" si="13"/>
        <v>－</v>
      </c>
      <c r="X271" s="69">
        <f>23</f>
        <v>23</v>
      </c>
    </row>
    <row r="272" spans="1:24">
      <c r="A272" s="60" t="s">
        <v>871</v>
      </c>
      <c r="B272" s="60" t="s">
        <v>879</v>
      </c>
      <c r="C272" s="60" t="s">
        <v>880</v>
      </c>
      <c r="D272" s="60" t="s">
        <v>881</v>
      </c>
      <c r="E272" s="61" t="s">
        <v>846</v>
      </c>
      <c r="F272" s="62" t="s">
        <v>847</v>
      </c>
      <c r="G272" s="63" t="s">
        <v>882</v>
      </c>
      <c r="H272" s="64"/>
      <c r="I272" s="64" t="s">
        <v>47</v>
      </c>
      <c r="J272" s="65">
        <v>10</v>
      </c>
      <c r="K272" s="66">
        <f>2015</f>
        <v>2015</v>
      </c>
      <c r="L272" s="67" t="s">
        <v>872</v>
      </c>
      <c r="M272" s="66">
        <f>2025</f>
        <v>2025</v>
      </c>
      <c r="N272" s="67" t="s">
        <v>872</v>
      </c>
      <c r="O272" s="66">
        <f>2015</f>
        <v>2015</v>
      </c>
      <c r="P272" s="67" t="s">
        <v>872</v>
      </c>
      <c r="Q272" s="66">
        <f>2022</f>
        <v>2022</v>
      </c>
      <c r="R272" s="67" t="s">
        <v>872</v>
      </c>
      <c r="S272" s="68">
        <f>2022</f>
        <v>2022</v>
      </c>
      <c r="T272" s="65">
        <f>6000</f>
        <v>6000</v>
      </c>
      <c r="U272" s="65" t="str">
        <f t="shared" si="12"/>
        <v>－</v>
      </c>
      <c r="V272" s="65">
        <f>12129050</f>
        <v>12129050</v>
      </c>
      <c r="W272" s="65" t="str">
        <f t="shared" si="13"/>
        <v>－</v>
      </c>
      <c r="X272" s="69">
        <f>1</f>
        <v>1</v>
      </c>
    </row>
    <row r="273" spans="1:24">
      <c r="A273" s="60" t="s">
        <v>871</v>
      </c>
      <c r="B273" s="60" t="s">
        <v>883</v>
      </c>
      <c r="C273" s="60" t="s">
        <v>884</v>
      </c>
      <c r="D273" s="60" t="s">
        <v>885</v>
      </c>
      <c r="E273" s="61" t="s">
        <v>846</v>
      </c>
      <c r="F273" s="62" t="s">
        <v>847</v>
      </c>
      <c r="G273" s="63" t="s">
        <v>882</v>
      </c>
      <c r="H273" s="64"/>
      <c r="I273" s="64" t="s">
        <v>47</v>
      </c>
      <c r="J273" s="65">
        <v>10</v>
      </c>
      <c r="K273" s="66">
        <f>2001</f>
        <v>2001</v>
      </c>
      <c r="L273" s="67" t="s">
        <v>872</v>
      </c>
      <c r="M273" s="66">
        <f>2003</f>
        <v>2003</v>
      </c>
      <c r="N273" s="67" t="s">
        <v>872</v>
      </c>
      <c r="O273" s="66">
        <f>1997</f>
        <v>1997</v>
      </c>
      <c r="P273" s="67" t="s">
        <v>872</v>
      </c>
      <c r="Q273" s="66">
        <f>1998</f>
        <v>1998</v>
      </c>
      <c r="R273" s="67" t="s">
        <v>872</v>
      </c>
      <c r="S273" s="68">
        <f>1998</f>
        <v>1998</v>
      </c>
      <c r="T273" s="65">
        <f>1160</f>
        <v>1160</v>
      </c>
      <c r="U273" s="65" t="str">
        <f t="shared" si="12"/>
        <v>－</v>
      </c>
      <c r="V273" s="65">
        <f>2318890</f>
        <v>2318890</v>
      </c>
      <c r="W273" s="65" t="str">
        <f t="shared" si="13"/>
        <v>－</v>
      </c>
      <c r="X273" s="69">
        <f>1</f>
        <v>1</v>
      </c>
    </row>
    <row r="274" spans="1:24">
      <c r="A274" s="60" t="s">
        <v>871</v>
      </c>
      <c r="B274" s="60" t="s">
        <v>886</v>
      </c>
      <c r="C274" s="60" t="s">
        <v>887</v>
      </c>
      <c r="D274" s="60" t="s">
        <v>888</v>
      </c>
      <c r="E274" s="61" t="s">
        <v>846</v>
      </c>
      <c r="F274" s="62" t="s">
        <v>847</v>
      </c>
      <c r="G274" s="63" t="s">
        <v>882</v>
      </c>
      <c r="H274" s="64"/>
      <c r="I274" s="64" t="s">
        <v>47</v>
      </c>
      <c r="J274" s="65">
        <v>10</v>
      </c>
      <c r="K274" s="66">
        <f>2012</f>
        <v>2012</v>
      </c>
      <c r="L274" s="67" t="s">
        <v>872</v>
      </c>
      <c r="M274" s="66">
        <f>2022</f>
        <v>2022</v>
      </c>
      <c r="N274" s="67" t="s">
        <v>872</v>
      </c>
      <c r="O274" s="66">
        <f>2010</f>
        <v>2010</v>
      </c>
      <c r="P274" s="67" t="s">
        <v>872</v>
      </c>
      <c r="Q274" s="66">
        <f>2019</f>
        <v>2019</v>
      </c>
      <c r="R274" s="67" t="s">
        <v>872</v>
      </c>
      <c r="S274" s="68">
        <f>2019</f>
        <v>2019</v>
      </c>
      <c r="T274" s="65">
        <f>4910</f>
        <v>4910</v>
      </c>
      <c r="U274" s="65" t="str">
        <f t="shared" si="12"/>
        <v>－</v>
      </c>
      <c r="V274" s="65">
        <f>9909040</f>
        <v>9909040</v>
      </c>
      <c r="W274" s="65" t="str">
        <f t="shared" si="13"/>
        <v>－</v>
      </c>
      <c r="X274" s="69">
        <f>1</f>
        <v>1</v>
      </c>
    </row>
    <row r="275" spans="1:24">
      <c r="A275" s="60" t="s">
        <v>871</v>
      </c>
      <c r="B275" s="60" t="s">
        <v>889</v>
      </c>
      <c r="C275" s="60" t="s">
        <v>890</v>
      </c>
      <c r="D275" s="60" t="s">
        <v>891</v>
      </c>
      <c r="E275" s="61" t="s">
        <v>846</v>
      </c>
      <c r="F275" s="62" t="s">
        <v>847</v>
      </c>
      <c r="G275" s="63" t="s">
        <v>882</v>
      </c>
      <c r="H275" s="64"/>
      <c r="I275" s="64" t="s">
        <v>47</v>
      </c>
      <c r="J275" s="65">
        <v>1</v>
      </c>
      <c r="K275" s="66">
        <f>2653</f>
        <v>2653</v>
      </c>
      <c r="L275" s="67" t="s">
        <v>872</v>
      </c>
      <c r="M275" s="66">
        <f>2667</f>
        <v>2667</v>
      </c>
      <c r="N275" s="67" t="s">
        <v>872</v>
      </c>
      <c r="O275" s="66">
        <f>2638</f>
        <v>2638</v>
      </c>
      <c r="P275" s="67" t="s">
        <v>872</v>
      </c>
      <c r="Q275" s="66">
        <f>2638</f>
        <v>2638</v>
      </c>
      <c r="R275" s="67" t="s">
        <v>872</v>
      </c>
      <c r="S275" s="68">
        <f>2638</f>
        <v>2638</v>
      </c>
      <c r="T275" s="65">
        <f>1983</f>
        <v>1983</v>
      </c>
      <c r="U275" s="65" t="str">
        <f t="shared" si="12"/>
        <v>－</v>
      </c>
      <c r="V275" s="65">
        <f>5255137</f>
        <v>5255137</v>
      </c>
      <c r="W275" s="65" t="str">
        <f t="shared" si="13"/>
        <v>－</v>
      </c>
      <c r="X275" s="69">
        <f>1</f>
        <v>1</v>
      </c>
    </row>
    <row r="276" spans="1:24">
      <c r="A276" s="60" t="s">
        <v>871</v>
      </c>
      <c r="B276" s="60" t="s">
        <v>892</v>
      </c>
      <c r="C276" s="60" t="s">
        <v>893</v>
      </c>
      <c r="D276" s="60" t="s">
        <v>894</v>
      </c>
      <c r="E276" s="61" t="s">
        <v>846</v>
      </c>
      <c r="F276" s="62" t="s">
        <v>847</v>
      </c>
      <c r="G276" s="63" t="s">
        <v>882</v>
      </c>
      <c r="H276" s="64"/>
      <c r="I276" s="64" t="s">
        <v>47</v>
      </c>
      <c r="J276" s="65">
        <v>1</v>
      </c>
      <c r="K276" s="66">
        <f>1761</f>
        <v>1761</v>
      </c>
      <c r="L276" s="67" t="s">
        <v>872</v>
      </c>
      <c r="M276" s="66">
        <f>1772</f>
        <v>1772</v>
      </c>
      <c r="N276" s="67" t="s">
        <v>872</v>
      </c>
      <c r="O276" s="66">
        <f>1757</f>
        <v>1757</v>
      </c>
      <c r="P276" s="67" t="s">
        <v>872</v>
      </c>
      <c r="Q276" s="66">
        <f>1757</f>
        <v>1757</v>
      </c>
      <c r="R276" s="67" t="s">
        <v>872</v>
      </c>
      <c r="S276" s="68">
        <f>1757</f>
        <v>1757</v>
      </c>
      <c r="T276" s="65">
        <f>12027</f>
        <v>12027</v>
      </c>
      <c r="U276" s="65" t="str">
        <f t="shared" si="12"/>
        <v>－</v>
      </c>
      <c r="V276" s="65">
        <f>21229564</f>
        <v>21229564</v>
      </c>
      <c r="W276" s="65" t="str">
        <f t="shared" si="13"/>
        <v>－</v>
      </c>
      <c r="X276" s="69">
        <f>1</f>
        <v>1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7B5FA-53AE-406A-A95C-44E3ED41A9AD}">
  <sheetPr>
    <pageSetUpPr fitToPage="1"/>
  </sheetPr>
  <dimension ref="A1:X270"/>
  <sheetViews>
    <sheetView showGridLines="0" view="pageBreakPreview" zoomScaleNormal="70" zoomScaleSheetLayoutView="100" workbookViewId="0">
      <pane ySplit="6" topLeftCell="A7" activePane="bottomLeft" state="frozen"/>
      <selection pane="bottomLeft"/>
    </sheetView>
  </sheetViews>
  <sheetFormatPr defaultColWidth="9" defaultRowHeight="13.2"/>
  <cols>
    <col min="1" max="1" width="13.109375" style="1" bestFit="1" customWidth="1"/>
    <col min="2" max="2" width="10.77734375" style="1" bestFit="1" customWidth="1"/>
    <col min="3" max="4" width="27.6640625" style="1" customWidth="1"/>
    <col min="5" max="5" width="13.77734375" style="1" bestFit="1" customWidth="1"/>
    <col min="6" max="6" width="20.77734375" style="1" bestFit="1" customWidth="1"/>
    <col min="7" max="7" width="11.21875" style="1" customWidth="1"/>
    <col min="8" max="8" width="8.77734375" style="1" bestFit="1" customWidth="1"/>
    <col min="9" max="9" width="11.77734375" style="1" bestFit="1" customWidth="1"/>
    <col min="10" max="10" width="12.6640625" style="1" bestFit="1" customWidth="1"/>
    <col min="11" max="11" width="16.21875" style="1" customWidth="1"/>
    <col min="12" max="12" width="5.6640625" style="1" bestFit="1" customWidth="1"/>
    <col min="13" max="13" width="16.21875" style="1" customWidth="1"/>
    <col min="14" max="14" width="5.6640625" style="1" bestFit="1" customWidth="1"/>
    <col min="15" max="15" width="16.21875" style="1" customWidth="1"/>
    <col min="16" max="16" width="5.6640625" style="1" bestFit="1" customWidth="1"/>
    <col min="17" max="17" width="16.21875" style="1" customWidth="1"/>
    <col min="18" max="18" width="5.6640625" style="1" bestFit="1" customWidth="1"/>
    <col min="19" max="19" width="23.88671875" style="1" bestFit="1" customWidth="1"/>
    <col min="20" max="20" width="16.21875" style="1" customWidth="1"/>
    <col min="21" max="21" width="24.109375" style="1" customWidth="1"/>
    <col min="22" max="22" width="19.88671875" style="1" bestFit="1" customWidth="1"/>
    <col min="23" max="23" width="25" style="1" bestFit="1" customWidth="1"/>
    <col min="24" max="24" width="13.109375" style="1" bestFit="1" customWidth="1"/>
    <col min="25" max="16384" width="9" style="1"/>
  </cols>
  <sheetData>
    <row r="1" spans="1:24" ht="13.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70" t="s">
        <v>22</v>
      </c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4" ht="99" customHeight="1">
      <c r="A2" s="76" t="s">
        <v>23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2"/>
      <c r="O2" s="72"/>
      <c r="P2" s="72"/>
      <c r="Q2" s="72"/>
      <c r="R2" s="72"/>
      <c r="S2" s="72"/>
      <c r="T2" s="72"/>
      <c r="U2" s="72"/>
      <c r="V2" s="72"/>
      <c r="W2" s="72"/>
      <c r="X2" s="73"/>
    </row>
    <row r="3" spans="1:24" ht="39" customHeight="1">
      <c r="A3" s="78" t="s">
        <v>24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</row>
    <row r="4" spans="1:24" s="2" customFormat="1" ht="13.5" customHeight="1">
      <c r="A4" s="40" t="s">
        <v>25</v>
      </c>
      <c r="B4" s="40" t="s">
        <v>0</v>
      </c>
      <c r="C4" s="40"/>
      <c r="D4" s="40"/>
      <c r="E4" s="41"/>
      <c r="F4" s="42"/>
      <c r="G4" s="43" t="s">
        <v>2</v>
      </c>
      <c r="H4" s="40" t="s">
        <v>26</v>
      </c>
      <c r="I4" s="40" t="s">
        <v>3</v>
      </c>
      <c r="J4" s="40" t="s">
        <v>4</v>
      </c>
      <c r="K4" s="44" t="s">
        <v>5</v>
      </c>
      <c r="L4" s="43" t="s">
        <v>2</v>
      </c>
      <c r="M4" s="44" t="s">
        <v>6</v>
      </c>
      <c r="N4" s="43" t="s">
        <v>2</v>
      </c>
      <c r="O4" s="44" t="s">
        <v>7</v>
      </c>
      <c r="P4" s="43" t="s">
        <v>2</v>
      </c>
      <c r="Q4" s="44" t="s">
        <v>8</v>
      </c>
      <c r="R4" s="43" t="s">
        <v>2</v>
      </c>
      <c r="S4" s="40" t="s">
        <v>9</v>
      </c>
      <c r="T4" s="40" t="s">
        <v>10</v>
      </c>
      <c r="U4" s="45" t="s">
        <v>11</v>
      </c>
      <c r="V4" s="40" t="s">
        <v>12</v>
      </c>
      <c r="W4" s="40" t="s">
        <v>13</v>
      </c>
      <c r="X4" s="40" t="s">
        <v>14</v>
      </c>
    </row>
    <row r="5" spans="1:24">
      <c r="A5" s="46" t="s">
        <v>27</v>
      </c>
      <c r="B5" s="46" t="s">
        <v>28</v>
      </c>
      <c r="C5" s="46" t="s">
        <v>29</v>
      </c>
      <c r="D5" s="46" t="s">
        <v>1</v>
      </c>
      <c r="E5" s="47" t="s">
        <v>30</v>
      </c>
      <c r="F5" s="48" t="s">
        <v>31</v>
      </c>
      <c r="G5" s="49" t="s">
        <v>32</v>
      </c>
      <c r="H5" s="50" t="s">
        <v>33</v>
      </c>
      <c r="I5" s="50" t="s">
        <v>15</v>
      </c>
      <c r="J5" s="50" t="s">
        <v>34</v>
      </c>
      <c r="K5" s="51" t="s">
        <v>16</v>
      </c>
      <c r="L5" s="49" t="s">
        <v>32</v>
      </c>
      <c r="M5" s="51" t="s">
        <v>35</v>
      </c>
      <c r="N5" s="49" t="s">
        <v>32</v>
      </c>
      <c r="O5" s="51" t="s">
        <v>17</v>
      </c>
      <c r="P5" s="49" t="s">
        <v>32</v>
      </c>
      <c r="Q5" s="51" t="s">
        <v>18</v>
      </c>
      <c r="R5" s="49" t="s">
        <v>32</v>
      </c>
      <c r="S5" s="52" t="s">
        <v>36</v>
      </c>
      <c r="T5" s="52" t="s">
        <v>19</v>
      </c>
      <c r="U5" s="46" t="s">
        <v>37</v>
      </c>
      <c r="V5" s="52" t="s">
        <v>20</v>
      </c>
      <c r="W5" s="52" t="s">
        <v>38</v>
      </c>
      <c r="X5" s="52" t="s">
        <v>39</v>
      </c>
    </row>
    <row r="6" spans="1:24">
      <c r="A6" s="53"/>
      <c r="B6" s="53"/>
      <c r="C6" s="53"/>
      <c r="D6" s="53"/>
      <c r="E6" s="54"/>
      <c r="F6" s="55"/>
      <c r="G6" s="56"/>
      <c r="H6" s="57"/>
      <c r="I6" s="57"/>
      <c r="J6" s="57" t="s">
        <v>40</v>
      </c>
      <c r="K6" s="58" t="s">
        <v>41</v>
      </c>
      <c r="L6" s="59"/>
      <c r="M6" s="58" t="s">
        <v>41</v>
      </c>
      <c r="N6" s="59"/>
      <c r="O6" s="58" t="s">
        <v>41</v>
      </c>
      <c r="P6" s="59"/>
      <c r="Q6" s="58" t="s">
        <v>41</v>
      </c>
      <c r="R6" s="59"/>
      <c r="S6" s="58" t="s">
        <v>41</v>
      </c>
      <c r="T6" s="57" t="s">
        <v>21</v>
      </c>
      <c r="U6" s="57" t="s">
        <v>21</v>
      </c>
      <c r="V6" s="58" t="s">
        <v>41</v>
      </c>
      <c r="W6" s="58" t="s">
        <v>41</v>
      </c>
      <c r="X6" s="57"/>
    </row>
    <row r="7" spans="1:24" s="28" customFormat="1" ht="13.5" customHeight="1">
      <c r="A7" s="60" t="s">
        <v>852</v>
      </c>
      <c r="B7" s="60" t="s">
        <v>43</v>
      </c>
      <c r="C7" s="60" t="s">
        <v>44</v>
      </c>
      <c r="D7" s="60" t="s">
        <v>45</v>
      </c>
      <c r="E7" s="61" t="s">
        <v>46</v>
      </c>
      <c r="F7" s="62" t="s">
        <v>46</v>
      </c>
      <c r="G7" s="63" t="s">
        <v>46</v>
      </c>
      <c r="H7" s="64"/>
      <c r="I7" s="64" t="s">
        <v>47</v>
      </c>
      <c r="J7" s="65">
        <v>10</v>
      </c>
      <c r="K7" s="66">
        <f>1897</f>
        <v>1897</v>
      </c>
      <c r="L7" s="67" t="s">
        <v>853</v>
      </c>
      <c r="M7" s="66">
        <f>2078</f>
        <v>2078</v>
      </c>
      <c r="N7" s="67" t="s">
        <v>854</v>
      </c>
      <c r="O7" s="66">
        <f>1896</f>
        <v>1896</v>
      </c>
      <c r="P7" s="67" t="s">
        <v>853</v>
      </c>
      <c r="Q7" s="66">
        <f>1953</f>
        <v>1953</v>
      </c>
      <c r="R7" s="67" t="s">
        <v>240</v>
      </c>
      <c r="S7" s="68">
        <f>2009.5</f>
        <v>2009.5</v>
      </c>
      <c r="T7" s="65">
        <f>5878630</f>
        <v>5878630</v>
      </c>
      <c r="U7" s="65">
        <f>960000</f>
        <v>960000</v>
      </c>
      <c r="V7" s="65">
        <f>11844684040</f>
        <v>11844684040</v>
      </c>
      <c r="W7" s="65">
        <f>1928668000</f>
        <v>1928668000</v>
      </c>
      <c r="X7" s="69">
        <f>18</f>
        <v>18</v>
      </c>
    </row>
    <row r="8" spans="1:24">
      <c r="A8" s="60" t="s">
        <v>852</v>
      </c>
      <c r="B8" s="60" t="s">
        <v>51</v>
      </c>
      <c r="C8" s="60" t="s">
        <v>52</v>
      </c>
      <c r="D8" s="60" t="s">
        <v>53</v>
      </c>
      <c r="E8" s="61" t="s">
        <v>46</v>
      </c>
      <c r="F8" s="62" t="s">
        <v>46</v>
      </c>
      <c r="G8" s="63" t="s">
        <v>46</v>
      </c>
      <c r="H8" s="64"/>
      <c r="I8" s="64" t="s">
        <v>47</v>
      </c>
      <c r="J8" s="65">
        <v>10</v>
      </c>
      <c r="K8" s="66">
        <f>1875</f>
        <v>1875</v>
      </c>
      <c r="L8" s="67" t="s">
        <v>853</v>
      </c>
      <c r="M8" s="66">
        <f>2054</f>
        <v>2054</v>
      </c>
      <c r="N8" s="67" t="s">
        <v>854</v>
      </c>
      <c r="O8" s="66">
        <f>1875</f>
        <v>1875</v>
      </c>
      <c r="P8" s="67" t="s">
        <v>853</v>
      </c>
      <c r="Q8" s="66">
        <f>1939</f>
        <v>1939</v>
      </c>
      <c r="R8" s="67" t="s">
        <v>240</v>
      </c>
      <c r="S8" s="68">
        <f>1987.33</f>
        <v>1987.33</v>
      </c>
      <c r="T8" s="65">
        <f>68762850</f>
        <v>68762850</v>
      </c>
      <c r="U8" s="65">
        <f>17454790</f>
        <v>17454790</v>
      </c>
      <c r="V8" s="65">
        <f>136639351355</f>
        <v>136639351355</v>
      </c>
      <c r="W8" s="65">
        <f>34831646645</f>
        <v>34831646645</v>
      </c>
      <c r="X8" s="69">
        <f>18</f>
        <v>18</v>
      </c>
    </row>
    <row r="9" spans="1:24">
      <c r="A9" s="60" t="s">
        <v>852</v>
      </c>
      <c r="B9" s="60" t="s">
        <v>54</v>
      </c>
      <c r="C9" s="60" t="s">
        <v>55</v>
      </c>
      <c r="D9" s="60" t="s">
        <v>56</v>
      </c>
      <c r="E9" s="61" t="s">
        <v>46</v>
      </c>
      <c r="F9" s="62" t="s">
        <v>46</v>
      </c>
      <c r="G9" s="63" t="s">
        <v>46</v>
      </c>
      <c r="H9" s="64"/>
      <c r="I9" s="64" t="s">
        <v>47</v>
      </c>
      <c r="J9" s="65">
        <v>100</v>
      </c>
      <c r="K9" s="66">
        <f>1856</f>
        <v>1856</v>
      </c>
      <c r="L9" s="67" t="s">
        <v>853</v>
      </c>
      <c r="M9" s="66">
        <f>2032</f>
        <v>2032</v>
      </c>
      <c r="N9" s="67" t="s">
        <v>854</v>
      </c>
      <c r="O9" s="66">
        <f>1855</f>
        <v>1855</v>
      </c>
      <c r="P9" s="67" t="s">
        <v>853</v>
      </c>
      <c r="Q9" s="66">
        <f>1916</f>
        <v>1916</v>
      </c>
      <c r="R9" s="67" t="s">
        <v>240</v>
      </c>
      <c r="S9" s="68">
        <f>1965.67</f>
        <v>1965.67</v>
      </c>
      <c r="T9" s="65">
        <f>4240000</f>
        <v>4240000</v>
      </c>
      <c r="U9" s="65">
        <f>100200</f>
        <v>100200</v>
      </c>
      <c r="V9" s="65">
        <f>8366434800</f>
        <v>8366434800</v>
      </c>
      <c r="W9" s="65">
        <f>197887800</f>
        <v>197887800</v>
      </c>
      <c r="X9" s="69">
        <f>18</f>
        <v>18</v>
      </c>
    </row>
    <row r="10" spans="1:24">
      <c r="A10" s="60" t="s">
        <v>852</v>
      </c>
      <c r="B10" s="60" t="s">
        <v>57</v>
      </c>
      <c r="C10" s="60" t="s">
        <v>58</v>
      </c>
      <c r="D10" s="60" t="s">
        <v>59</v>
      </c>
      <c r="E10" s="61" t="s">
        <v>46</v>
      </c>
      <c r="F10" s="62" t="s">
        <v>46</v>
      </c>
      <c r="G10" s="63" t="s">
        <v>46</v>
      </c>
      <c r="H10" s="64"/>
      <c r="I10" s="64" t="s">
        <v>47</v>
      </c>
      <c r="J10" s="65">
        <v>1</v>
      </c>
      <c r="K10" s="66">
        <f>44950</f>
        <v>44950</v>
      </c>
      <c r="L10" s="67" t="s">
        <v>853</v>
      </c>
      <c r="M10" s="66">
        <f>50800</f>
        <v>50800</v>
      </c>
      <c r="N10" s="67" t="s">
        <v>100</v>
      </c>
      <c r="O10" s="66">
        <f>44800</f>
        <v>44800</v>
      </c>
      <c r="P10" s="67" t="s">
        <v>853</v>
      </c>
      <c r="Q10" s="66">
        <f>46500</f>
        <v>46500</v>
      </c>
      <c r="R10" s="67" t="s">
        <v>240</v>
      </c>
      <c r="S10" s="68">
        <f>47708.33</f>
        <v>47708.33</v>
      </c>
      <c r="T10" s="65">
        <f>14369</f>
        <v>14369</v>
      </c>
      <c r="U10" s="65">
        <f>6</f>
        <v>6</v>
      </c>
      <c r="V10" s="65">
        <f>691527850</f>
        <v>691527850</v>
      </c>
      <c r="W10" s="65">
        <f>291200</f>
        <v>291200</v>
      </c>
      <c r="X10" s="69">
        <f>18</f>
        <v>18</v>
      </c>
    </row>
    <row r="11" spans="1:24">
      <c r="A11" s="60" t="s">
        <v>852</v>
      </c>
      <c r="B11" s="60" t="s">
        <v>60</v>
      </c>
      <c r="C11" s="60" t="s">
        <v>61</v>
      </c>
      <c r="D11" s="60" t="s">
        <v>62</v>
      </c>
      <c r="E11" s="61" t="s">
        <v>46</v>
      </c>
      <c r="F11" s="62" t="s">
        <v>46</v>
      </c>
      <c r="G11" s="63" t="s">
        <v>46</v>
      </c>
      <c r="H11" s="64"/>
      <c r="I11" s="64" t="s">
        <v>47</v>
      </c>
      <c r="J11" s="65">
        <v>10</v>
      </c>
      <c r="K11" s="66">
        <f>829</f>
        <v>829</v>
      </c>
      <c r="L11" s="67" t="s">
        <v>853</v>
      </c>
      <c r="M11" s="66">
        <f>931</f>
        <v>931</v>
      </c>
      <c r="N11" s="67" t="s">
        <v>854</v>
      </c>
      <c r="O11" s="66">
        <f>829</f>
        <v>829</v>
      </c>
      <c r="P11" s="67" t="s">
        <v>853</v>
      </c>
      <c r="Q11" s="66">
        <f>875</f>
        <v>875</v>
      </c>
      <c r="R11" s="67" t="s">
        <v>240</v>
      </c>
      <c r="S11" s="68">
        <f>890.89</f>
        <v>890.89</v>
      </c>
      <c r="T11" s="65">
        <f>163910</f>
        <v>163910</v>
      </c>
      <c r="U11" s="65" t="str">
        <f>"－"</f>
        <v>－</v>
      </c>
      <c r="V11" s="65">
        <f>146817050</f>
        <v>146817050</v>
      </c>
      <c r="W11" s="65" t="str">
        <f>"－"</f>
        <v>－</v>
      </c>
      <c r="X11" s="69">
        <f>18</f>
        <v>18</v>
      </c>
    </row>
    <row r="12" spans="1:24">
      <c r="A12" s="60" t="s">
        <v>852</v>
      </c>
      <c r="B12" s="60" t="s">
        <v>63</v>
      </c>
      <c r="C12" s="60" t="s">
        <v>64</v>
      </c>
      <c r="D12" s="60" t="s">
        <v>65</v>
      </c>
      <c r="E12" s="61" t="s">
        <v>46</v>
      </c>
      <c r="F12" s="62" t="s">
        <v>46</v>
      </c>
      <c r="G12" s="63" t="s">
        <v>46</v>
      </c>
      <c r="H12" s="64"/>
      <c r="I12" s="64" t="s">
        <v>47</v>
      </c>
      <c r="J12" s="65">
        <v>1</v>
      </c>
      <c r="K12" s="66">
        <f>20330</f>
        <v>20330</v>
      </c>
      <c r="L12" s="67" t="s">
        <v>853</v>
      </c>
      <c r="M12" s="66">
        <f>21720</f>
        <v>21720</v>
      </c>
      <c r="N12" s="67" t="s">
        <v>100</v>
      </c>
      <c r="O12" s="66">
        <f>20330</f>
        <v>20330</v>
      </c>
      <c r="P12" s="67" t="s">
        <v>853</v>
      </c>
      <c r="Q12" s="66">
        <f>20800</f>
        <v>20800</v>
      </c>
      <c r="R12" s="67" t="s">
        <v>240</v>
      </c>
      <c r="S12" s="68">
        <f>21261.67</f>
        <v>21261.67</v>
      </c>
      <c r="T12" s="65">
        <f>1162</f>
        <v>1162</v>
      </c>
      <c r="U12" s="65" t="str">
        <f>"－"</f>
        <v>－</v>
      </c>
      <c r="V12" s="65">
        <f>24621060</f>
        <v>24621060</v>
      </c>
      <c r="W12" s="65" t="str">
        <f>"－"</f>
        <v>－</v>
      </c>
      <c r="X12" s="69">
        <f>18</f>
        <v>18</v>
      </c>
    </row>
    <row r="13" spans="1:24">
      <c r="A13" s="60" t="s">
        <v>852</v>
      </c>
      <c r="B13" s="60" t="s">
        <v>66</v>
      </c>
      <c r="C13" s="60" t="s">
        <v>67</v>
      </c>
      <c r="D13" s="60" t="s">
        <v>68</v>
      </c>
      <c r="E13" s="61" t="s">
        <v>46</v>
      </c>
      <c r="F13" s="62" t="s">
        <v>46</v>
      </c>
      <c r="G13" s="63" t="s">
        <v>46</v>
      </c>
      <c r="H13" s="64"/>
      <c r="I13" s="64" t="s">
        <v>47</v>
      </c>
      <c r="J13" s="65">
        <v>10</v>
      </c>
      <c r="K13" s="66">
        <f>3810</f>
        <v>3810</v>
      </c>
      <c r="L13" s="67" t="s">
        <v>853</v>
      </c>
      <c r="M13" s="66">
        <f>4200</f>
        <v>4200</v>
      </c>
      <c r="N13" s="67" t="s">
        <v>855</v>
      </c>
      <c r="O13" s="66">
        <f>3810</f>
        <v>3810</v>
      </c>
      <c r="P13" s="67" t="s">
        <v>853</v>
      </c>
      <c r="Q13" s="66">
        <f>3900</f>
        <v>3900</v>
      </c>
      <c r="R13" s="67" t="s">
        <v>240</v>
      </c>
      <c r="S13" s="68">
        <f>4043.89</f>
        <v>4043.89</v>
      </c>
      <c r="T13" s="65">
        <f>6660</f>
        <v>6660</v>
      </c>
      <c r="U13" s="65">
        <f>30</f>
        <v>30</v>
      </c>
      <c r="V13" s="65">
        <f>26883900</f>
        <v>26883900</v>
      </c>
      <c r="W13" s="65">
        <f>123400</f>
        <v>123400</v>
      </c>
      <c r="X13" s="69">
        <f>18</f>
        <v>18</v>
      </c>
    </row>
    <row r="14" spans="1:24">
      <c r="A14" s="60" t="s">
        <v>852</v>
      </c>
      <c r="B14" s="60" t="s">
        <v>70</v>
      </c>
      <c r="C14" s="60" t="s">
        <v>71</v>
      </c>
      <c r="D14" s="60" t="s">
        <v>72</v>
      </c>
      <c r="E14" s="61" t="s">
        <v>46</v>
      </c>
      <c r="F14" s="62" t="s">
        <v>46</v>
      </c>
      <c r="G14" s="63" t="s">
        <v>46</v>
      </c>
      <c r="H14" s="64"/>
      <c r="I14" s="64" t="s">
        <v>47</v>
      </c>
      <c r="J14" s="65">
        <v>1000</v>
      </c>
      <c r="K14" s="66">
        <f>343</f>
        <v>343</v>
      </c>
      <c r="L14" s="67" t="s">
        <v>853</v>
      </c>
      <c r="M14" s="66">
        <f>377</f>
        <v>377</v>
      </c>
      <c r="N14" s="67" t="s">
        <v>132</v>
      </c>
      <c r="O14" s="66">
        <f>343</f>
        <v>343</v>
      </c>
      <c r="P14" s="67" t="s">
        <v>853</v>
      </c>
      <c r="Q14" s="66">
        <f>363</f>
        <v>363</v>
      </c>
      <c r="R14" s="67" t="s">
        <v>240</v>
      </c>
      <c r="S14" s="68">
        <f>365.44</f>
        <v>365.44</v>
      </c>
      <c r="T14" s="65">
        <f>279000</f>
        <v>279000</v>
      </c>
      <c r="U14" s="65" t="str">
        <f>"－"</f>
        <v>－</v>
      </c>
      <c r="V14" s="65">
        <f>102382000</f>
        <v>102382000</v>
      </c>
      <c r="W14" s="65" t="str">
        <f>"－"</f>
        <v>－</v>
      </c>
      <c r="X14" s="69">
        <f>18</f>
        <v>18</v>
      </c>
    </row>
    <row r="15" spans="1:24">
      <c r="A15" s="60" t="s">
        <v>852</v>
      </c>
      <c r="B15" s="60" t="s">
        <v>74</v>
      </c>
      <c r="C15" s="60" t="s">
        <v>75</v>
      </c>
      <c r="D15" s="60" t="s">
        <v>76</v>
      </c>
      <c r="E15" s="61" t="s">
        <v>46</v>
      </c>
      <c r="F15" s="62" t="s">
        <v>46</v>
      </c>
      <c r="G15" s="63" t="s">
        <v>46</v>
      </c>
      <c r="H15" s="64"/>
      <c r="I15" s="64" t="s">
        <v>47</v>
      </c>
      <c r="J15" s="65">
        <v>1</v>
      </c>
      <c r="K15" s="66">
        <f>28440</f>
        <v>28440</v>
      </c>
      <c r="L15" s="67" t="s">
        <v>853</v>
      </c>
      <c r="M15" s="66">
        <f>31600</f>
        <v>31600</v>
      </c>
      <c r="N15" s="67" t="s">
        <v>854</v>
      </c>
      <c r="O15" s="66">
        <f>28410</f>
        <v>28410</v>
      </c>
      <c r="P15" s="67" t="s">
        <v>853</v>
      </c>
      <c r="Q15" s="66">
        <f>29960</f>
        <v>29960</v>
      </c>
      <c r="R15" s="67" t="s">
        <v>240</v>
      </c>
      <c r="S15" s="68">
        <f>30320.56</f>
        <v>30320.560000000001</v>
      </c>
      <c r="T15" s="65">
        <f>1443258</f>
        <v>1443258</v>
      </c>
      <c r="U15" s="65">
        <f>198902</f>
        <v>198902</v>
      </c>
      <c r="V15" s="65">
        <f>43867648007</f>
        <v>43867648007</v>
      </c>
      <c r="W15" s="65">
        <f>6068906757</f>
        <v>6068906757</v>
      </c>
      <c r="X15" s="69">
        <f>18</f>
        <v>18</v>
      </c>
    </row>
    <row r="16" spans="1:24">
      <c r="A16" s="60" t="s">
        <v>852</v>
      </c>
      <c r="B16" s="60" t="s">
        <v>78</v>
      </c>
      <c r="C16" s="60" t="s">
        <v>79</v>
      </c>
      <c r="D16" s="60" t="s">
        <v>80</v>
      </c>
      <c r="E16" s="61" t="s">
        <v>46</v>
      </c>
      <c r="F16" s="62" t="s">
        <v>46</v>
      </c>
      <c r="G16" s="63" t="s">
        <v>46</v>
      </c>
      <c r="H16" s="64"/>
      <c r="I16" s="64" t="s">
        <v>47</v>
      </c>
      <c r="J16" s="65">
        <v>1</v>
      </c>
      <c r="K16" s="66">
        <f>28500</f>
        <v>28500</v>
      </c>
      <c r="L16" s="67" t="s">
        <v>853</v>
      </c>
      <c r="M16" s="66">
        <f>31700</f>
        <v>31700</v>
      </c>
      <c r="N16" s="67" t="s">
        <v>854</v>
      </c>
      <c r="O16" s="66">
        <f>28480</f>
        <v>28480</v>
      </c>
      <c r="P16" s="67" t="s">
        <v>853</v>
      </c>
      <c r="Q16" s="66">
        <f>29900</f>
        <v>29900</v>
      </c>
      <c r="R16" s="67" t="s">
        <v>240</v>
      </c>
      <c r="S16" s="68">
        <f>30375.56</f>
        <v>30375.56</v>
      </c>
      <c r="T16" s="65">
        <f>6252059</f>
        <v>6252059</v>
      </c>
      <c r="U16" s="65">
        <f>912978</f>
        <v>912978</v>
      </c>
      <c r="V16" s="65">
        <f>189945234090</f>
        <v>189945234090</v>
      </c>
      <c r="W16" s="65">
        <f>28091612520</f>
        <v>28091612520</v>
      </c>
      <c r="X16" s="69">
        <f>18</f>
        <v>18</v>
      </c>
    </row>
    <row r="17" spans="1:24">
      <c r="A17" s="60" t="s">
        <v>852</v>
      </c>
      <c r="B17" s="60" t="s">
        <v>81</v>
      </c>
      <c r="C17" s="60" t="s">
        <v>82</v>
      </c>
      <c r="D17" s="60" t="s">
        <v>83</v>
      </c>
      <c r="E17" s="61" t="s">
        <v>46</v>
      </c>
      <c r="F17" s="62" t="s">
        <v>46</v>
      </c>
      <c r="G17" s="63" t="s">
        <v>46</v>
      </c>
      <c r="H17" s="64"/>
      <c r="I17" s="64" t="s">
        <v>47</v>
      </c>
      <c r="J17" s="65">
        <v>10</v>
      </c>
      <c r="K17" s="66">
        <f>8750</f>
        <v>8750</v>
      </c>
      <c r="L17" s="67" t="s">
        <v>853</v>
      </c>
      <c r="M17" s="66">
        <f>10950</f>
        <v>10950</v>
      </c>
      <c r="N17" s="67" t="s">
        <v>854</v>
      </c>
      <c r="O17" s="66">
        <f>8510</f>
        <v>8510</v>
      </c>
      <c r="P17" s="67" t="s">
        <v>240</v>
      </c>
      <c r="Q17" s="66">
        <f>8570</f>
        <v>8570</v>
      </c>
      <c r="R17" s="67" t="s">
        <v>240</v>
      </c>
      <c r="S17" s="68">
        <f>9322.78</f>
        <v>9322.7800000000007</v>
      </c>
      <c r="T17" s="65">
        <f>57480</f>
        <v>57480</v>
      </c>
      <c r="U17" s="65">
        <f>30</f>
        <v>30</v>
      </c>
      <c r="V17" s="65">
        <f>554028800</f>
        <v>554028800</v>
      </c>
      <c r="W17" s="65">
        <f>261500</f>
        <v>261500</v>
      </c>
      <c r="X17" s="69">
        <f>18</f>
        <v>18</v>
      </c>
    </row>
    <row r="18" spans="1:24">
      <c r="A18" s="60" t="s">
        <v>852</v>
      </c>
      <c r="B18" s="60" t="s">
        <v>85</v>
      </c>
      <c r="C18" s="60" t="s">
        <v>86</v>
      </c>
      <c r="D18" s="60" t="s">
        <v>87</v>
      </c>
      <c r="E18" s="61" t="s">
        <v>46</v>
      </c>
      <c r="F18" s="62" t="s">
        <v>46</v>
      </c>
      <c r="G18" s="63" t="s">
        <v>46</v>
      </c>
      <c r="H18" s="64"/>
      <c r="I18" s="64" t="s">
        <v>47</v>
      </c>
      <c r="J18" s="65">
        <v>100</v>
      </c>
      <c r="K18" s="66">
        <f>380</f>
        <v>380</v>
      </c>
      <c r="L18" s="67" t="s">
        <v>853</v>
      </c>
      <c r="M18" s="66">
        <f>425</f>
        <v>425</v>
      </c>
      <c r="N18" s="67" t="s">
        <v>100</v>
      </c>
      <c r="O18" s="66">
        <f>364</f>
        <v>364</v>
      </c>
      <c r="P18" s="67" t="s">
        <v>853</v>
      </c>
      <c r="Q18" s="66">
        <f>403</f>
        <v>403</v>
      </c>
      <c r="R18" s="67" t="s">
        <v>240</v>
      </c>
      <c r="S18" s="68">
        <f>391.94</f>
        <v>391.94</v>
      </c>
      <c r="T18" s="65">
        <f>117200</f>
        <v>117200</v>
      </c>
      <c r="U18" s="65" t="str">
        <f>"－"</f>
        <v>－</v>
      </c>
      <c r="V18" s="65">
        <f>46012800</f>
        <v>46012800</v>
      </c>
      <c r="W18" s="65" t="str">
        <f>"－"</f>
        <v>－</v>
      </c>
      <c r="X18" s="69">
        <f>18</f>
        <v>18</v>
      </c>
    </row>
    <row r="19" spans="1:24">
      <c r="A19" s="60" t="s">
        <v>852</v>
      </c>
      <c r="B19" s="60" t="s">
        <v>89</v>
      </c>
      <c r="C19" s="60" t="s">
        <v>90</v>
      </c>
      <c r="D19" s="60" t="s">
        <v>91</v>
      </c>
      <c r="E19" s="61" t="s">
        <v>46</v>
      </c>
      <c r="F19" s="62" t="s">
        <v>46</v>
      </c>
      <c r="G19" s="63" t="s">
        <v>46</v>
      </c>
      <c r="H19" s="64"/>
      <c r="I19" s="64" t="s">
        <v>47</v>
      </c>
      <c r="J19" s="65">
        <v>100</v>
      </c>
      <c r="K19" s="66">
        <f>138</f>
        <v>138</v>
      </c>
      <c r="L19" s="67" t="s">
        <v>853</v>
      </c>
      <c r="M19" s="66">
        <f>145</f>
        <v>145</v>
      </c>
      <c r="N19" s="67" t="s">
        <v>100</v>
      </c>
      <c r="O19" s="66">
        <f>136</f>
        <v>136</v>
      </c>
      <c r="P19" s="67" t="s">
        <v>853</v>
      </c>
      <c r="Q19" s="66">
        <f>141</f>
        <v>141</v>
      </c>
      <c r="R19" s="67" t="s">
        <v>240</v>
      </c>
      <c r="S19" s="68">
        <f>140.89</f>
        <v>140.88999999999999</v>
      </c>
      <c r="T19" s="65">
        <f>581100</f>
        <v>581100</v>
      </c>
      <c r="U19" s="65" t="str">
        <f>"－"</f>
        <v>－</v>
      </c>
      <c r="V19" s="65">
        <f>82044400</f>
        <v>82044400</v>
      </c>
      <c r="W19" s="65" t="str">
        <f>"－"</f>
        <v>－</v>
      </c>
      <c r="X19" s="69">
        <f>18</f>
        <v>18</v>
      </c>
    </row>
    <row r="20" spans="1:24">
      <c r="A20" s="60" t="s">
        <v>852</v>
      </c>
      <c r="B20" s="60" t="s">
        <v>93</v>
      </c>
      <c r="C20" s="60" t="s">
        <v>94</v>
      </c>
      <c r="D20" s="60" t="s">
        <v>95</v>
      </c>
      <c r="E20" s="61" t="s">
        <v>46</v>
      </c>
      <c r="F20" s="62" t="s">
        <v>46</v>
      </c>
      <c r="G20" s="63" t="s">
        <v>46</v>
      </c>
      <c r="H20" s="64"/>
      <c r="I20" s="64" t="s">
        <v>47</v>
      </c>
      <c r="J20" s="65">
        <v>100</v>
      </c>
      <c r="K20" s="66">
        <f>166</f>
        <v>166</v>
      </c>
      <c r="L20" s="67" t="s">
        <v>853</v>
      </c>
      <c r="M20" s="66">
        <f>175</f>
        <v>175</v>
      </c>
      <c r="N20" s="67" t="s">
        <v>96</v>
      </c>
      <c r="O20" s="66">
        <f>165</f>
        <v>165</v>
      </c>
      <c r="P20" s="67" t="s">
        <v>856</v>
      </c>
      <c r="Q20" s="66">
        <f>166</f>
        <v>166</v>
      </c>
      <c r="R20" s="67" t="s">
        <v>240</v>
      </c>
      <c r="S20" s="68">
        <f>170.11</f>
        <v>170.11</v>
      </c>
      <c r="T20" s="65">
        <f>494400</f>
        <v>494400</v>
      </c>
      <c r="U20" s="65">
        <f>600</f>
        <v>600</v>
      </c>
      <c r="V20" s="65">
        <f>84006500</f>
        <v>84006500</v>
      </c>
      <c r="W20" s="65">
        <f>103200</f>
        <v>103200</v>
      </c>
      <c r="X20" s="69">
        <f>18</f>
        <v>18</v>
      </c>
    </row>
    <row r="21" spans="1:24">
      <c r="A21" s="60" t="s">
        <v>852</v>
      </c>
      <c r="B21" s="60" t="s">
        <v>97</v>
      </c>
      <c r="C21" s="60" t="s">
        <v>98</v>
      </c>
      <c r="D21" s="60" t="s">
        <v>99</v>
      </c>
      <c r="E21" s="61" t="s">
        <v>46</v>
      </c>
      <c r="F21" s="62" t="s">
        <v>46</v>
      </c>
      <c r="G21" s="63" t="s">
        <v>46</v>
      </c>
      <c r="H21" s="64"/>
      <c r="I21" s="64" t="s">
        <v>47</v>
      </c>
      <c r="J21" s="65">
        <v>1</v>
      </c>
      <c r="K21" s="66">
        <f>18210</f>
        <v>18210</v>
      </c>
      <c r="L21" s="67" t="s">
        <v>853</v>
      </c>
      <c r="M21" s="66">
        <f>18330</f>
        <v>18330</v>
      </c>
      <c r="N21" s="67" t="s">
        <v>857</v>
      </c>
      <c r="O21" s="66">
        <f>17450</f>
        <v>17450</v>
      </c>
      <c r="P21" s="67" t="s">
        <v>613</v>
      </c>
      <c r="Q21" s="66">
        <f>17550</f>
        <v>17550</v>
      </c>
      <c r="R21" s="67" t="s">
        <v>240</v>
      </c>
      <c r="S21" s="68">
        <f>17920.56</f>
        <v>17920.560000000001</v>
      </c>
      <c r="T21" s="65">
        <f>403051</f>
        <v>403051</v>
      </c>
      <c r="U21" s="65">
        <f>1009</f>
        <v>1009</v>
      </c>
      <c r="V21" s="65">
        <f>7188827400</f>
        <v>7188827400</v>
      </c>
      <c r="W21" s="65">
        <f>18296970</f>
        <v>18296970</v>
      </c>
      <c r="X21" s="69">
        <f>18</f>
        <v>18</v>
      </c>
    </row>
    <row r="22" spans="1:24">
      <c r="A22" s="60" t="s">
        <v>852</v>
      </c>
      <c r="B22" s="60" t="s">
        <v>101</v>
      </c>
      <c r="C22" s="60" t="s">
        <v>102</v>
      </c>
      <c r="D22" s="60" t="s">
        <v>103</v>
      </c>
      <c r="E22" s="61" t="s">
        <v>46</v>
      </c>
      <c r="F22" s="62" t="s">
        <v>46</v>
      </c>
      <c r="G22" s="63" t="s">
        <v>46</v>
      </c>
      <c r="H22" s="64"/>
      <c r="I22" s="64" t="s">
        <v>47</v>
      </c>
      <c r="J22" s="65">
        <v>1</v>
      </c>
      <c r="K22" s="66">
        <f>3015</f>
        <v>3015</v>
      </c>
      <c r="L22" s="67" t="s">
        <v>853</v>
      </c>
      <c r="M22" s="66">
        <f>3550</f>
        <v>3550</v>
      </c>
      <c r="N22" s="67" t="s">
        <v>855</v>
      </c>
      <c r="O22" s="66">
        <f>3005</f>
        <v>3005</v>
      </c>
      <c r="P22" s="67" t="s">
        <v>853</v>
      </c>
      <c r="Q22" s="66">
        <f>3390</f>
        <v>3390</v>
      </c>
      <c r="R22" s="67" t="s">
        <v>240</v>
      </c>
      <c r="S22" s="68">
        <f>3308.33</f>
        <v>3308.33</v>
      </c>
      <c r="T22" s="65">
        <f>10729</f>
        <v>10729</v>
      </c>
      <c r="U22" s="65" t="str">
        <f>"－"</f>
        <v>－</v>
      </c>
      <c r="V22" s="65">
        <f>35865015</f>
        <v>35865015</v>
      </c>
      <c r="W22" s="65" t="str">
        <f>"－"</f>
        <v>－</v>
      </c>
      <c r="X22" s="69">
        <f>18</f>
        <v>18</v>
      </c>
    </row>
    <row r="23" spans="1:24">
      <c r="A23" s="60" t="s">
        <v>852</v>
      </c>
      <c r="B23" s="60" t="s">
        <v>104</v>
      </c>
      <c r="C23" s="60" t="s">
        <v>105</v>
      </c>
      <c r="D23" s="60" t="s">
        <v>106</v>
      </c>
      <c r="E23" s="61" t="s">
        <v>46</v>
      </c>
      <c r="F23" s="62" t="s">
        <v>46</v>
      </c>
      <c r="G23" s="63" t="s">
        <v>46</v>
      </c>
      <c r="H23" s="64"/>
      <c r="I23" s="64" t="s">
        <v>47</v>
      </c>
      <c r="J23" s="65">
        <v>10</v>
      </c>
      <c r="K23" s="66">
        <f>4970</f>
        <v>4970</v>
      </c>
      <c r="L23" s="67" t="s">
        <v>853</v>
      </c>
      <c r="M23" s="66">
        <f>4990</f>
        <v>4990</v>
      </c>
      <c r="N23" s="67" t="s">
        <v>857</v>
      </c>
      <c r="O23" s="66">
        <f>4740</f>
        <v>4740</v>
      </c>
      <c r="P23" s="67" t="s">
        <v>613</v>
      </c>
      <c r="Q23" s="66">
        <f>4755</f>
        <v>4755</v>
      </c>
      <c r="R23" s="67" t="s">
        <v>240</v>
      </c>
      <c r="S23" s="68">
        <f>4873.06</f>
        <v>4873.0600000000004</v>
      </c>
      <c r="T23" s="65">
        <f>671650</f>
        <v>671650</v>
      </c>
      <c r="U23" s="65" t="str">
        <f>"－"</f>
        <v>－</v>
      </c>
      <c r="V23" s="65">
        <f>3266941250</f>
        <v>3266941250</v>
      </c>
      <c r="W23" s="65" t="str">
        <f>"－"</f>
        <v>－</v>
      </c>
      <c r="X23" s="69">
        <f>18</f>
        <v>18</v>
      </c>
    </row>
    <row r="24" spans="1:24">
      <c r="A24" s="60" t="s">
        <v>852</v>
      </c>
      <c r="B24" s="60" t="s">
        <v>107</v>
      </c>
      <c r="C24" s="60" t="s">
        <v>108</v>
      </c>
      <c r="D24" s="60" t="s">
        <v>109</v>
      </c>
      <c r="E24" s="61" t="s">
        <v>46</v>
      </c>
      <c r="F24" s="62" t="s">
        <v>46</v>
      </c>
      <c r="G24" s="63" t="s">
        <v>46</v>
      </c>
      <c r="H24" s="64"/>
      <c r="I24" s="64" t="s">
        <v>47</v>
      </c>
      <c r="J24" s="65">
        <v>1</v>
      </c>
      <c r="K24" s="66">
        <f>28600</f>
        <v>28600</v>
      </c>
      <c r="L24" s="67" t="s">
        <v>853</v>
      </c>
      <c r="M24" s="66">
        <f>31650</f>
        <v>31650</v>
      </c>
      <c r="N24" s="67" t="s">
        <v>854</v>
      </c>
      <c r="O24" s="66">
        <f>28600</f>
        <v>28600</v>
      </c>
      <c r="P24" s="67" t="s">
        <v>853</v>
      </c>
      <c r="Q24" s="66">
        <f>29900</f>
        <v>29900</v>
      </c>
      <c r="R24" s="67" t="s">
        <v>240</v>
      </c>
      <c r="S24" s="68">
        <f>30389.44</f>
        <v>30389.439999999999</v>
      </c>
      <c r="T24" s="65">
        <f>797304</f>
        <v>797304</v>
      </c>
      <c r="U24" s="65">
        <f>247199</f>
        <v>247199</v>
      </c>
      <c r="V24" s="65">
        <f>24280618302</f>
        <v>24280618302</v>
      </c>
      <c r="W24" s="65">
        <f>7473118392</f>
        <v>7473118392</v>
      </c>
      <c r="X24" s="69">
        <f>18</f>
        <v>18</v>
      </c>
    </row>
    <row r="25" spans="1:24">
      <c r="A25" s="60" t="s">
        <v>852</v>
      </c>
      <c r="B25" s="60" t="s">
        <v>110</v>
      </c>
      <c r="C25" s="60" t="s">
        <v>111</v>
      </c>
      <c r="D25" s="60" t="s">
        <v>112</v>
      </c>
      <c r="E25" s="61" t="s">
        <v>46</v>
      </c>
      <c r="F25" s="62" t="s">
        <v>46</v>
      </c>
      <c r="G25" s="63" t="s">
        <v>46</v>
      </c>
      <c r="H25" s="64"/>
      <c r="I25" s="64" t="s">
        <v>47</v>
      </c>
      <c r="J25" s="65">
        <v>10</v>
      </c>
      <c r="K25" s="66">
        <f>28550</f>
        <v>28550</v>
      </c>
      <c r="L25" s="67" t="s">
        <v>853</v>
      </c>
      <c r="M25" s="66">
        <f>31750</f>
        <v>31750</v>
      </c>
      <c r="N25" s="67" t="s">
        <v>854</v>
      </c>
      <c r="O25" s="66">
        <f>28530</f>
        <v>28530</v>
      </c>
      <c r="P25" s="67" t="s">
        <v>853</v>
      </c>
      <c r="Q25" s="66">
        <f>29980</f>
        <v>29980</v>
      </c>
      <c r="R25" s="67" t="s">
        <v>240</v>
      </c>
      <c r="S25" s="68">
        <f>30418.89</f>
        <v>30418.89</v>
      </c>
      <c r="T25" s="65">
        <f>1281280</f>
        <v>1281280</v>
      </c>
      <c r="U25" s="65">
        <f>429730</f>
        <v>429730</v>
      </c>
      <c r="V25" s="65">
        <f>38890747411</f>
        <v>38890747411</v>
      </c>
      <c r="W25" s="65">
        <f>12945593711</f>
        <v>12945593711</v>
      </c>
      <c r="X25" s="69">
        <f>18</f>
        <v>18</v>
      </c>
    </row>
    <row r="26" spans="1:24">
      <c r="A26" s="60" t="s">
        <v>852</v>
      </c>
      <c r="B26" s="60" t="s">
        <v>113</v>
      </c>
      <c r="C26" s="60" t="s">
        <v>114</v>
      </c>
      <c r="D26" s="60" t="s">
        <v>115</v>
      </c>
      <c r="E26" s="61" t="s">
        <v>46</v>
      </c>
      <c r="F26" s="62" t="s">
        <v>46</v>
      </c>
      <c r="G26" s="63" t="s">
        <v>46</v>
      </c>
      <c r="H26" s="64"/>
      <c r="I26" s="64" t="s">
        <v>47</v>
      </c>
      <c r="J26" s="65">
        <v>10</v>
      </c>
      <c r="K26" s="66">
        <f>1985</f>
        <v>1985</v>
      </c>
      <c r="L26" s="67" t="s">
        <v>853</v>
      </c>
      <c r="M26" s="66">
        <f>2140</f>
        <v>2140</v>
      </c>
      <c r="N26" s="67" t="s">
        <v>855</v>
      </c>
      <c r="O26" s="66">
        <f>1955</f>
        <v>1955</v>
      </c>
      <c r="P26" s="67" t="s">
        <v>858</v>
      </c>
      <c r="Q26" s="66">
        <f>2063</f>
        <v>2063</v>
      </c>
      <c r="R26" s="67" t="s">
        <v>240</v>
      </c>
      <c r="S26" s="68">
        <f>2044.83</f>
        <v>2044.83</v>
      </c>
      <c r="T26" s="65">
        <f>13098160</f>
        <v>13098160</v>
      </c>
      <c r="U26" s="65">
        <f>1022700</f>
        <v>1022700</v>
      </c>
      <c r="V26" s="65">
        <f>26571917733</f>
        <v>26571917733</v>
      </c>
      <c r="W26" s="65">
        <f>2050464643</f>
        <v>2050464643</v>
      </c>
      <c r="X26" s="69">
        <f>18</f>
        <v>18</v>
      </c>
    </row>
    <row r="27" spans="1:24">
      <c r="A27" s="60" t="s">
        <v>852</v>
      </c>
      <c r="B27" s="60" t="s">
        <v>116</v>
      </c>
      <c r="C27" s="60" t="s">
        <v>117</v>
      </c>
      <c r="D27" s="60" t="s">
        <v>118</v>
      </c>
      <c r="E27" s="61" t="s">
        <v>46</v>
      </c>
      <c r="F27" s="62" t="s">
        <v>46</v>
      </c>
      <c r="G27" s="63" t="s">
        <v>46</v>
      </c>
      <c r="H27" s="64"/>
      <c r="I27" s="64" t="s">
        <v>47</v>
      </c>
      <c r="J27" s="65">
        <v>10</v>
      </c>
      <c r="K27" s="66">
        <f>800</f>
        <v>800</v>
      </c>
      <c r="L27" s="67" t="s">
        <v>853</v>
      </c>
      <c r="M27" s="66">
        <f>863</f>
        <v>863</v>
      </c>
      <c r="N27" s="67" t="s">
        <v>855</v>
      </c>
      <c r="O27" s="66">
        <f>779</f>
        <v>779</v>
      </c>
      <c r="P27" s="67" t="s">
        <v>84</v>
      </c>
      <c r="Q27" s="66">
        <f>822</f>
        <v>822</v>
      </c>
      <c r="R27" s="67" t="s">
        <v>240</v>
      </c>
      <c r="S27" s="68">
        <f>829.44</f>
        <v>829.44</v>
      </c>
      <c r="T27" s="65">
        <f>40770</f>
        <v>40770</v>
      </c>
      <c r="U27" s="65" t="str">
        <f>"－"</f>
        <v>－</v>
      </c>
      <c r="V27" s="65">
        <f>33767010</f>
        <v>33767010</v>
      </c>
      <c r="W27" s="65" t="str">
        <f>"－"</f>
        <v>－</v>
      </c>
      <c r="X27" s="69">
        <f>18</f>
        <v>18</v>
      </c>
    </row>
    <row r="28" spans="1:24">
      <c r="A28" s="60" t="s">
        <v>852</v>
      </c>
      <c r="B28" s="60" t="s">
        <v>119</v>
      </c>
      <c r="C28" s="60" t="s">
        <v>120</v>
      </c>
      <c r="D28" s="60" t="s">
        <v>121</v>
      </c>
      <c r="E28" s="61" t="s">
        <v>46</v>
      </c>
      <c r="F28" s="62" t="s">
        <v>46</v>
      </c>
      <c r="G28" s="63" t="s">
        <v>46</v>
      </c>
      <c r="H28" s="64"/>
      <c r="I28" s="64" t="s">
        <v>47</v>
      </c>
      <c r="J28" s="65">
        <v>100</v>
      </c>
      <c r="K28" s="66">
        <f>1869</f>
        <v>1869</v>
      </c>
      <c r="L28" s="67" t="s">
        <v>853</v>
      </c>
      <c r="M28" s="66">
        <f>2029</f>
        <v>2029</v>
      </c>
      <c r="N28" s="67" t="s">
        <v>855</v>
      </c>
      <c r="O28" s="66">
        <f>1841</f>
        <v>1841</v>
      </c>
      <c r="P28" s="67" t="s">
        <v>858</v>
      </c>
      <c r="Q28" s="66">
        <f>1950</f>
        <v>1950</v>
      </c>
      <c r="R28" s="67" t="s">
        <v>240</v>
      </c>
      <c r="S28" s="68">
        <f>1933.5</f>
        <v>1933.5</v>
      </c>
      <c r="T28" s="65">
        <f>1910500</f>
        <v>1910500</v>
      </c>
      <c r="U28" s="65">
        <f>142900</f>
        <v>142900</v>
      </c>
      <c r="V28" s="65">
        <f>3720688506</f>
        <v>3720688506</v>
      </c>
      <c r="W28" s="65">
        <f>268154806</f>
        <v>268154806</v>
      </c>
      <c r="X28" s="69">
        <f>18</f>
        <v>18</v>
      </c>
    </row>
    <row r="29" spans="1:24">
      <c r="A29" s="60" t="s">
        <v>852</v>
      </c>
      <c r="B29" s="60" t="s">
        <v>122</v>
      </c>
      <c r="C29" s="60" t="s">
        <v>123</v>
      </c>
      <c r="D29" s="60" t="s">
        <v>124</v>
      </c>
      <c r="E29" s="61" t="s">
        <v>46</v>
      </c>
      <c r="F29" s="62" t="s">
        <v>46</v>
      </c>
      <c r="G29" s="63" t="s">
        <v>46</v>
      </c>
      <c r="H29" s="64"/>
      <c r="I29" s="64" t="s">
        <v>47</v>
      </c>
      <c r="J29" s="65">
        <v>1</v>
      </c>
      <c r="K29" s="66">
        <f>28460</f>
        <v>28460</v>
      </c>
      <c r="L29" s="67" t="s">
        <v>853</v>
      </c>
      <c r="M29" s="66">
        <f>31650</f>
        <v>31650</v>
      </c>
      <c r="N29" s="67" t="s">
        <v>854</v>
      </c>
      <c r="O29" s="66">
        <f>28460</f>
        <v>28460</v>
      </c>
      <c r="P29" s="67" t="s">
        <v>853</v>
      </c>
      <c r="Q29" s="66">
        <f>29950</f>
        <v>29950</v>
      </c>
      <c r="R29" s="67" t="s">
        <v>240</v>
      </c>
      <c r="S29" s="68">
        <f>30355.56</f>
        <v>30355.56</v>
      </c>
      <c r="T29" s="65">
        <f>492444</f>
        <v>492444</v>
      </c>
      <c r="U29" s="65">
        <f>14878</f>
        <v>14878</v>
      </c>
      <c r="V29" s="65">
        <f>14969354327</f>
        <v>14969354327</v>
      </c>
      <c r="W29" s="65">
        <f>447917597</f>
        <v>447917597</v>
      </c>
      <c r="X29" s="69">
        <f>18</f>
        <v>18</v>
      </c>
    </row>
    <row r="30" spans="1:24">
      <c r="A30" s="60" t="s">
        <v>852</v>
      </c>
      <c r="B30" s="60" t="s">
        <v>125</v>
      </c>
      <c r="C30" s="60" t="s">
        <v>126</v>
      </c>
      <c r="D30" s="60" t="s">
        <v>127</v>
      </c>
      <c r="E30" s="61" t="s">
        <v>46</v>
      </c>
      <c r="F30" s="62" t="s">
        <v>46</v>
      </c>
      <c r="G30" s="63" t="s">
        <v>46</v>
      </c>
      <c r="H30" s="64"/>
      <c r="I30" s="64" t="s">
        <v>47</v>
      </c>
      <c r="J30" s="65">
        <v>10</v>
      </c>
      <c r="K30" s="66">
        <f>1864</f>
        <v>1864</v>
      </c>
      <c r="L30" s="67" t="s">
        <v>853</v>
      </c>
      <c r="M30" s="66">
        <f>2038</f>
        <v>2038</v>
      </c>
      <c r="N30" s="67" t="s">
        <v>854</v>
      </c>
      <c r="O30" s="66">
        <f>1862</f>
        <v>1862</v>
      </c>
      <c r="P30" s="67" t="s">
        <v>853</v>
      </c>
      <c r="Q30" s="66">
        <f>1924</f>
        <v>1924</v>
      </c>
      <c r="R30" s="67" t="s">
        <v>240</v>
      </c>
      <c r="S30" s="68">
        <f>1971.94</f>
        <v>1971.94</v>
      </c>
      <c r="T30" s="65">
        <f>1992280</f>
        <v>1992280</v>
      </c>
      <c r="U30" s="65">
        <f>280010</f>
        <v>280010</v>
      </c>
      <c r="V30" s="65">
        <f>3908166630</f>
        <v>3908166630</v>
      </c>
      <c r="W30" s="65">
        <f>541449900</f>
        <v>541449900</v>
      </c>
      <c r="X30" s="69">
        <f>18</f>
        <v>18</v>
      </c>
    </row>
    <row r="31" spans="1:24">
      <c r="A31" s="60" t="s">
        <v>852</v>
      </c>
      <c r="B31" s="60" t="s">
        <v>128</v>
      </c>
      <c r="C31" s="60" t="s">
        <v>129</v>
      </c>
      <c r="D31" s="60" t="s">
        <v>130</v>
      </c>
      <c r="E31" s="61" t="s">
        <v>46</v>
      </c>
      <c r="F31" s="62" t="s">
        <v>46</v>
      </c>
      <c r="G31" s="63" t="s">
        <v>46</v>
      </c>
      <c r="H31" s="64"/>
      <c r="I31" s="64" t="s">
        <v>47</v>
      </c>
      <c r="J31" s="65">
        <v>1</v>
      </c>
      <c r="K31" s="66">
        <f>13050</f>
        <v>13050</v>
      </c>
      <c r="L31" s="67" t="s">
        <v>857</v>
      </c>
      <c r="M31" s="66">
        <f>13290</f>
        <v>13290</v>
      </c>
      <c r="N31" s="67" t="s">
        <v>855</v>
      </c>
      <c r="O31" s="66">
        <f>13040</f>
        <v>13040</v>
      </c>
      <c r="P31" s="67" t="s">
        <v>96</v>
      </c>
      <c r="Q31" s="66">
        <f>13060</f>
        <v>13060</v>
      </c>
      <c r="R31" s="67" t="s">
        <v>240</v>
      </c>
      <c r="S31" s="68">
        <f>13155.29</f>
        <v>13155.29</v>
      </c>
      <c r="T31" s="65">
        <f>1127</f>
        <v>1127</v>
      </c>
      <c r="U31" s="65">
        <f>5</f>
        <v>5</v>
      </c>
      <c r="V31" s="65">
        <f>14820760</f>
        <v>14820760</v>
      </c>
      <c r="W31" s="65">
        <f>65800</f>
        <v>65800</v>
      </c>
      <c r="X31" s="69">
        <f>17</f>
        <v>17</v>
      </c>
    </row>
    <row r="32" spans="1:24">
      <c r="A32" s="60" t="s">
        <v>852</v>
      </c>
      <c r="B32" s="60" t="s">
        <v>133</v>
      </c>
      <c r="C32" s="60" t="s">
        <v>134</v>
      </c>
      <c r="D32" s="60" t="s">
        <v>135</v>
      </c>
      <c r="E32" s="61" t="s">
        <v>46</v>
      </c>
      <c r="F32" s="62" t="s">
        <v>46</v>
      </c>
      <c r="G32" s="63" t="s">
        <v>46</v>
      </c>
      <c r="H32" s="64"/>
      <c r="I32" s="64" t="s">
        <v>47</v>
      </c>
      <c r="J32" s="65">
        <v>10</v>
      </c>
      <c r="K32" s="66">
        <f>1417</f>
        <v>1417</v>
      </c>
      <c r="L32" s="67" t="s">
        <v>853</v>
      </c>
      <c r="M32" s="66">
        <f>1417</f>
        <v>1417</v>
      </c>
      <c r="N32" s="67" t="s">
        <v>853</v>
      </c>
      <c r="O32" s="66">
        <f>1174</f>
        <v>1174</v>
      </c>
      <c r="P32" s="67" t="s">
        <v>854</v>
      </c>
      <c r="Q32" s="66">
        <f>1317</f>
        <v>1317</v>
      </c>
      <c r="R32" s="67" t="s">
        <v>240</v>
      </c>
      <c r="S32" s="68">
        <f>1257.61</f>
        <v>1257.6099999999999</v>
      </c>
      <c r="T32" s="65">
        <f>7123530</f>
        <v>7123530</v>
      </c>
      <c r="U32" s="65">
        <f>86170</f>
        <v>86170</v>
      </c>
      <c r="V32" s="65">
        <f>8937703290</f>
        <v>8937703290</v>
      </c>
      <c r="W32" s="65">
        <f>117948810</f>
        <v>117948810</v>
      </c>
      <c r="X32" s="69">
        <f>18</f>
        <v>18</v>
      </c>
    </row>
    <row r="33" spans="1:24">
      <c r="A33" s="60" t="s">
        <v>852</v>
      </c>
      <c r="B33" s="60" t="s">
        <v>136</v>
      </c>
      <c r="C33" s="60" t="s">
        <v>137</v>
      </c>
      <c r="D33" s="60" t="s">
        <v>138</v>
      </c>
      <c r="E33" s="61" t="s">
        <v>46</v>
      </c>
      <c r="F33" s="62" t="s">
        <v>46</v>
      </c>
      <c r="G33" s="63" t="s">
        <v>46</v>
      </c>
      <c r="H33" s="64"/>
      <c r="I33" s="64" t="s">
        <v>47</v>
      </c>
      <c r="J33" s="65">
        <v>1</v>
      </c>
      <c r="K33" s="66">
        <f>484</f>
        <v>484</v>
      </c>
      <c r="L33" s="67" t="s">
        <v>853</v>
      </c>
      <c r="M33" s="66">
        <f>485</f>
        <v>485</v>
      </c>
      <c r="N33" s="67" t="s">
        <v>853</v>
      </c>
      <c r="O33" s="66">
        <f>388</f>
        <v>388</v>
      </c>
      <c r="P33" s="67" t="s">
        <v>854</v>
      </c>
      <c r="Q33" s="66">
        <f>432</f>
        <v>432</v>
      </c>
      <c r="R33" s="67" t="s">
        <v>240</v>
      </c>
      <c r="S33" s="68">
        <f>423.67</f>
        <v>423.67</v>
      </c>
      <c r="T33" s="65">
        <f>1166185362</f>
        <v>1166185362</v>
      </c>
      <c r="U33" s="65">
        <f>780924</f>
        <v>780924</v>
      </c>
      <c r="V33" s="65">
        <f>493930831133</f>
        <v>493930831133</v>
      </c>
      <c r="W33" s="65">
        <f>348187864</f>
        <v>348187864</v>
      </c>
      <c r="X33" s="69">
        <f>18</f>
        <v>18</v>
      </c>
    </row>
    <row r="34" spans="1:24">
      <c r="A34" s="60" t="s">
        <v>852</v>
      </c>
      <c r="B34" s="60" t="s">
        <v>139</v>
      </c>
      <c r="C34" s="60" t="s">
        <v>140</v>
      </c>
      <c r="D34" s="60" t="s">
        <v>141</v>
      </c>
      <c r="E34" s="61" t="s">
        <v>46</v>
      </c>
      <c r="F34" s="62" t="s">
        <v>46</v>
      </c>
      <c r="G34" s="63" t="s">
        <v>46</v>
      </c>
      <c r="H34" s="64"/>
      <c r="I34" s="64" t="s">
        <v>47</v>
      </c>
      <c r="J34" s="65">
        <v>1</v>
      </c>
      <c r="K34" s="66">
        <f>27090</f>
        <v>27090</v>
      </c>
      <c r="L34" s="67" t="s">
        <v>853</v>
      </c>
      <c r="M34" s="66">
        <f>33400</f>
        <v>33400</v>
      </c>
      <c r="N34" s="67" t="s">
        <v>854</v>
      </c>
      <c r="O34" s="66">
        <f>27060</f>
        <v>27060</v>
      </c>
      <c r="P34" s="67" t="s">
        <v>853</v>
      </c>
      <c r="Q34" s="66">
        <f>29700</f>
        <v>29700</v>
      </c>
      <c r="R34" s="67" t="s">
        <v>240</v>
      </c>
      <c r="S34" s="68">
        <f>30737.78</f>
        <v>30737.78</v>
      </c>
      <c r="T34" s="65">
        <f>350077</f>
        <v>350077</v>
      </c>
      <c r="U34" s="65">
        <f>1</f>
        <v>1</v>
      </c>
      <c r="V34" s="65">
        <f>10766568580</f>
        <v>10766568580</v>
      </c>
      <c r="W34" s="65">
        <f>28470</f>
        <v>28470</v>
      </c>
      <c r="X34" s="69">
        <f>18</f>
        <v>18</v>
      </c>
    </row>
    <row r="35" spans="1:24">
      <c r="A35" s="60" t="s">
        <v>852</v>
      </c>
      <c r="B35" s="60" t="s">
        <v>142</v>
      </c>
      <c r="C35" s="60" t="s">
        <v>143</v>
      </c>
      <c r="D35" s="60" t="s">
        <v>144</v>
      </c>
      <c r="E35" s="61" t="s">
        <v>46</v>
      </c>
      <c r="F35" s="62" t="s">
        <v>46</v>
      </c>
      <c r="G35" s="63" t="s">
        <v>46</v>
      </c>
      <c r="H35" s="64"/>
      <c r="I35" s="64" t="s">
        <v>47</v>
      </c>
      <c r="J35" s="65">
        <v>10</v>
      </c>
      <c r="K35" s="66">
        <f>1177</f>
        <v>1177</v>
      </c>
      <c r="L35" s="67" t="s">
        <v>853</v>
      </c>
      <c r="M35" s="66">
        <f>1178</f>
        <v>1178</v>
      </c>
      <c r="N35" s="67" t="s">
        <v>853</v>
      </c>
      <c r="O35" s="66">
        <f>945</f>
        <v>945</v>
      </c>
      <c r="P35" s="67" t="s">
        <v>854</v>
      </c>
      <c r="Q35" s="66">
        <f>1052</f>
        <v>1052</v>
      </c>
      <c r="R35" s="67" t="s">
        <v>240</v>
      </c>
      <c r="S35" s="68">
        <f>1030.89</f>
        <v>1030.8900000000001</v>
      </c>
      <c r="T35" s="65">
        <f>157566800</f>
        <v>157566800</v>
      </c>
      <c r="U35" s="65">
        <f>4930</f>
        <v>4930</v>
      </c>
      <c r="V35" s="65">
        <f>163444817900</f>
        <v>163444817900</v>
      </c>
      <c r="W35" s="65">
        <f>5207800</f>
        <v>5207800</v>
      </c>
      <c r="X35" s="69">
        <f>18</f>
        <v>18</v>
      </c>
    </row>
    <row r="36" spans="1:24">
      <c r="A36" s="60" t="s">
        <v>852</v>
      </c>
      <c r="B36" s="60" t="s">
        <v>145</v>
      </c>
      <c r="C36" s="60" t="s">
        <v>146</v>
      </c>
      <c r="D36" s="60" t="s">
        <v>147</v>
      </c>
      <c r="E36" s="61" t="s">
        <v>46</v>
      </c>
      <c r="F36" s="62" t="s">
        <v>46</v>
      </c>
      <c r="G36" s="63" t="s">
        <v>46</v>
      </c>
      <c r="H36" s="64"/>
      <c r="I36" s="64" t="s">
        <v>47</v>
      </c>
      <c r="J36" s="65">
        <v>1</v>
      </c>
      <c r="K36" s="66">
        <f>16800</f>
        <v>16800</v>
      </c>
      <c r="L36" s="67" t="s">
        <v>853</v>
      </c>
      <c r="M36" s="66">
        <f>18200</f>
        <v>18200</v>
      </c>
      <c r="N36" s="67" t="s">
        <v>854</v>
      </c>
      <c r="O36" s="66">
        <f>16780</f>
        <v>16780</v>
      </c>
      <c r="P36" s="67" t="s">
        <v>853</v>
      </c>
      <c r="Q36" s="66">
        <f>17170</f>
        <v>17170</v>
      </c>
      <c r="R36" s="67" t="s">
        <v>240</v>
      </c>
      <c r="S36" s="68">
        <f>17615</f>
        <v>17615</v>
      </c>
      <c r="T36" s="65">
        <f>23792</f>
        <v>23792</v>
      </c>
      <c r="U36" s="65">
        <f>3024</f>
        <v>3024</v>
      </c>
      <c r="V36" s="65">
        <f>418151322</f>
        <v>418151322</v>
      </c>
      <c r="W36" s="65">
        <f>52520832</f>
        <v>52520832</v>
      </c>
      <c r="X36" s="69">
        <f>18</f>
        <v>18</v>
      </c>
    </row>
    <row r="37" spans="1:24">
      <c r="A37" s="60" t="s">
        <v>852</v>
      </c>
      <c r="B37" s="60" t="s">
        <v>148</v>
      </c>
      <c r="C37" s="60" t="s">
        <v>149</v>
      </c>
      <c r="D37" s="60" t="s">
        <v>150</v>
      </c>
      <c r="E37" s="61" t="s">
        <v>46</v>
      </c>
      <c r="F37" s="62" t="s">
        <v>46</v>
      </c>
      <c r="G37" s="63" t="s">
        <v>46</v>
      </c>
      <c r="H37" s="64"/>
      <c r="I37" s="64" t="s">
        <v>47</v>
      </c>
      <c r="J37" s="65">
        <v>1</v>
      </c>
      <c r="K37" s="66">
        <f>22400</f>
        <v>22400</v>
      </c>
      <c r="L37" s="67" t="s">
        <v>853</v>
      </c>
      <c r="M37" s="66">
        <f>27610</f>
        <v>27610</v>
      </c>
      <c r="N37" s="67" t="s">
        <v>854</v>
      </c>
      <c r="O37" s="66">
        <f>22380</f>
        <v>22380</v>
      </c>
      <c r="P37" s="67" t="s">
        <v>853</v>
      </c>
      <c r="Q37" s="66">
        <f>24530</f>
        <v>24530</v>
      </c>
      <c r="R37" s="67" t="s">
        <v>240</v>
      </c>
      <c r="S37" s="68">
        <f>25416.11</f>
        <v>25416.11</v>
      </c>
      <c r="T37" s="65">
        <f>1107264</f>
        <v>1107264</v>
      </c>
      <c r="U37" s="65" t="str">
        <f>"－"</f>
        <v>－</v>
      </c>
      <c r="V37" s="65">
        <f>28348541420</f>
        <v>28348541420</v>
      </c>
      <c r="W37" s="65" t="str">
        <f>"－"</f>
        <v>－</v>
      </c>
      <c r="X37" s="69">
        <f>18</f>
        <v>18</v>
      </c>
    </row>
    <row r="38" spans="1:24">
      <c r="A38" s="60" t="s">
        <v>852</v>
      </c>
      <c r="B38" s="60" t="s">
        <v>151</v>
      </c>
      <c r="C38" s="60" t="s">
        <v>152</v>
      </c>
      <c r="D38" s="60" t="s">
        <v>153</v>
      </c>
      <c r="E38" s="61" t="s">
        <v>46</v>
      </c>
      <c r="F38" s="62" t="s">
        <v>46</v>
      </c>
      <c r="G38" s="63" t="s">
        <v>46</v>
      </c>
      <c r="H38" s="64"/>
      <c r="I38" s="64" t="s">
        <v>47</v>
      </c>
      <c r="J38" s="65">
        <v>1</v>
      </c>
      <c r="K38" s="66">
        <f>1263</f>
        <v>1263</v>
      </c>
      <c r="L38" s="67" t="s">
        <v>853</v>
      </c>
      <c r="M38" s="66">
        <f>1263</f>
        <v>1263</v>
      </c>
      <c r="N38" s="67" t="s">
        <v>853</v>
      </c>
      <c r="O38" s="66">
        <f>1013</f>
        <v>1013</v>
      </c>
      <c r="P38" s="67" t="s">
        <v>854</v>
      </c>
      <c r="Q38" s="66">
        <f>1128</f>
        <v>1128</v>
      </c>
      <c r="R38" s="67" t="s">
        <v>240</v>
      </c>
      <c r="S38" s="68">
        <f>1106.22</f>
        <v>1106.22</v>
      </c>
      <c r="T38" s="65">
        <f>15490153</f>
        <v>15490153</v>
      </c>
      <c r="U38" s="65">
        <f>85600</f>
        <v>85600</v>
      </c>
      <c r="V38" s="65">
        <f>17197917485</f>
        <v>17197917485</v>
      </c>
      <c r="W38" s="65">
        <f>100059400</f>
        <v>100059400</v>
      </c>
      <c r="X38" s="69">
        <f>18</f>
        <v>18</v>
      </c>
    </row>
    <row r="39" spans="1:24">
      <c r="A39" s="60" t="s">
        <v>852</v>
      </c>
      <c r="B39" s="60" t="s">
        <v>154</v>
      </c>
      <c r="C39" s="60" t="s">
        <v>155</v>
      </c>
      <c r="D39" s="60" t="s">
        <v>156</v>
      </c>
      <c r="E39" s="61" t="s">
        <v>46</v>
      </c>
      <c r="F39" s="62" t="s">
        <v>46</v>
      </c>
      <c r="G39" s="63" t="s">
        <v>46</v>
      </c>
      <c r="H39" s="64"/>
      <c r="I39" s="64" t="s">
        <v>47</v>
      </c>
      <c r="J39" s="65">
        <v>1</v>
      </c>
      <c r="K39" s="66">
        <f>15880</f>
        <v>15880</v>
      </c>
      <c r="L39" s="67" t="s">
        <v>853</v>
      </c>
      <c r="M39" s="66">
        <f>18970</f>
        <v>18970</v>
      </c>
      <c r="N39" s="67" t="s">
        <v>854</v>
      </c>
      <c r="O39" s="66">
        <f>15850</f>
        <v>15850</v>
      </c>
      <c r="P39" s="67" t="s">
        <v>853</v>
      </c>
      <c r="Q39" s="66">
        <f>16890</f>
        <v>16890</v>
      </c>
      <c r="R39" s="67" t="s">
        <v>240</v>
      </c>
      <c r="S39" s="68">
        <f>17781.11</f>
        <v>17781.11</v>
      </c>
      <c r="T39" s="65">
        <f>223118</f>
        <v>223118</v>
      </c>
      <c r="U39" s="65">
        <f>710</f>
        <v>710</v>
      </c>
      <c r="V39" s="65">
        <f>3953002180</f>
        <v>3953002180</v>
      </c>
      <c r="W39" s="65">
        <f>13096200</f>
        <v>13096200</v>
      </c>
      <c r="X39" s="69">
        <f>18</f>
        <v>18</v>
      </c>
    </row>
    <row r="40" spans="1:24">
      <c r="A40" s="60" t="s">
        <v>852</v>
      </c>
      <c r="B40" s="60" t="s">
        <v>157</v>
      </c>
      <c r="C40" s="60" t="s">
        <v>158</v>
      </c>
      <c r="D40" s="60" t="s">
        <v>159</v>
      </c>
      <c r="E40" s="61" t="s">
        <v>46</v>
      </c>
      <c r="F40" s="62" t="s">
        <v>46</v>
      </c>
      <c r="G40" s="63" t="s">
        <v>46</v>
      </c>
      <c r="H40" s="64"/>
      <c r="I40" s="64" t="s">
        <v>47</v>
      </c>
      <c r="J40" s="65">
        <v>1</v>
      </c>
      <c r="K40" s="66">
        <f>2059</f>
        <v>2059</v>
      </c>
      <c r="L40" s="67" t="s">
        <v>853</v>
      </c>
      <c r="M40" s="66">
        <f>2059</f>
        <v>2059</v>
      </c>
      <c r="N40" s="67" t="s">
        <v>853</v>
      </c>
      <c r="O40" s="66">
        <f>1707</f>
        <v>1707</v>
      </c>
      <c r="P40" s="67" t="s">
        <v>854</v>
      </c>
      <c r="Q40" s="66">
        <f>1838</f>
        <v>1838</v>
      </c>
      <c r="R40" s="67" t="s">
        <v>240</v>
      </c>
      <c r="S40" s="68">
        <f>1821.5</f>
        <v>1821.5</v>
      </c>
      <c r="T40" s="65">
        <f>1549025</f>
        <v>1549025</v>
      </c>
      <c r="U40" s="65">
        <f>4000</f>
        <v>4000</v>
      </c>
      <c r="V40" s="65">
        <f>2823088044</f>
        <v>2823088044</v>
      </c>
      <c r="W40" s="65">
        <f>7390900</f>
        <v>7390900</v>
      </c>
      <c r="X40" s="69">
        <f>18</f>
        <v>18</v>
      </c>
    </row>
    <row r="41" spans="1:24">
      <c r="A41" s="60" t="s">
        <v>852</v>
      </c>
      <c r="B41" s="60" t="s">
        <v>160</v>
      </c>
      <c r="C41" s="60" t="s">
        <v>161</v>
      </c>
      <c r="D41" s="60" t="s">
        <v>162</v>
      </c>
      <c r="E41" s="61" t="s">
        <v>46</v>
      </c>
      <c r="F41" s="62" t="s">
        <v>46</v>
      </c>
      <c r="G41" s="63" t="s">
        <v>46</v>
      </c>
      <c r="H41" s="64"/>
      <c r="I41" s="64" t="s">
        <v>47</v>
      </c>
      <c r="J41" s="65">
        <v>1</v>
      </c>
      <c r="K41" s="66">
        <f>27660</f>
        <v>27660</v>
      </c>
      <c r="L41" s="67" t="s">
        <v>853</v>
      </c>
      <c r="M41" s="66">
        <f>30750</f>
        <v>30750</v>
      </c>
      <c r="N41" s="67" t="s">
        <v>854</v>
      </c>
      <c r="O41" s="66">
        <f>27660</f>
        <v>27660</v>
      </c>
      <c r="P41" s="67" t="s">
        <v>853</v>
      </c>
      <c r="Q41" s="66">
        <f>29050</f>
        <v>29050</v>
      </c>
      <c r="R41" s="67" t="s">
        <v>240</v>
      </c>
      <c r="S41" s="68">
        <f>29483.89</f>
        <v>29483.89</v>
      </c>
      <c r="T41" s="65">
        <f>124705</f>
        <v>124705</v>
      </c>
      <c r="U41" s="65">
        <f>36417</f>
        <v>36417</v>
      </c>
      <c r="V41" s="65">
        <f>3662452140</f>
        <v>3662452140</v>
      </c>
      <c r="W41" s="65">
        <f>1056900490</f>
        <v>1056900490</v>
      </c>
      <c r="X41" s="69">
        <f>18</f>
        <v>18</v>
      </c>
    </row>
    <row r="42" spans="1:24">
      <c r="A42" s="60" t="s">
        <v>852</v>
      </c>
      <c r="B42" s="60" t="s">
        <v>163</v>
      </c>
      <c r="C42" s="60" t="s">
        <v>164</v>
      </c>
      <c r="D42" s="60" t="s">
        <v>165</v>
      </c>
      <c r="E42" s="61" t="s">
        <v>46</v>
      </c>
      <c r="F42" s="62" t="s">
        <v>46</v>
      </c>
      <c r="G42" s="63" t="s">
        <v>46</v>
      </c>
      <c r="H42" s="64"/>
      <c r="I42" s="64" t="s">
        <v>47</v>
      </c>
      <c r="J42" s="65">
        <v>1</v>
      </c>
      <c r="K42" s="66">
        <f>4400</f>
        <v>4400</v>
      </c>
      <c r="L42" s="67" t="s">
        <v>853</v>
      </c>
      <c r="M42" s="66">
        <f>4800</f>
        <v>4800</v>
      </c>
      <c r="N42" s="67" t="s">
        <v>854</v>
      </c>
      <c r="O42" s="66">
        <f>4320</f>
        <v>4320</v>
      </c>
      <c r="P42" s="67" t="s">
        <v>853</v>
      </c>
      <c r="Q42" s="66">
        <f>4695</f>
        <v>4695</v>
      </c>
      <c r="R42" s="67" t="s">
        <v>240</v>
      </c>
      <c r="S42" s="68">
        <f>4663.89</f>
        <v>4663.8900000000003</v>
      </c>
      <c r="T42" s="65">
        <f>7041</f>
        <v>7041</v>
      </c>
      <c r="U42" s="65" t="str">
        <f t="shared" ref="U42:U51" si="0">"－"</f>
        <v>－</v>
      </c>
      <c r="V42" s="65">
        <f>32926410</f>
        <v>32926410</v>
      </c>
      <c r="W42" s="65" t="str">
        <f t="shared" ref="W42:W51" si="1">"－"</f>
        <v>－</v>
      </c>
      <c r="X42" s="69">
        <f>18</f>
        <v>18</v>
      </c>
    </row>
    <row r="43" spans="1:24">
      <c r="A43" s="60" t="s">
        <v>852</v>
      </c>
      <c r="B43" s="60" t="s">
        <v>166</v>
      </c>
      <c r="C43" s="60" t="s">
        <v>167</v>
      </c>
      <c r="D43" s="60" t="s">
        <v>168</v>
      </c>
      <c r="E43" s="61" t="s">
        <v>46</v>
      </c>
      <c r="F43" s="62" t="s">
        <v>46</v>
      </c>
      <c r="G43" s="63" t="s">
        <v>46</v>
      </c>
      <c r="H43" s="64"/>
      <c r="I43" s="64" t="s">
        <v>47</v>
      </c>
      <c r="J43" s="65">
        <v>1</v>
      </c>
      <c r="K43" s="66">
        <f>8060</f>
        <v>8060</v>
      </c>
      <c r="L43" s="67" t="s">
        <v>853</v>
      </c>
      <c r="M43" s="66">
        <f>8690</f>
        <v>8690</v>
      </c>
      <c r="N43" s="67" t="s">
        <v>854</v>
      </c>
      <c r="O43" s="66">
        <f>8060</f>
        <v>8060</v>
      </c>
      <c r="P43" s="67" t="s">
        <v>853</v>
      </c>
      <c r="Q43" s="66">
        <f>8420</f>
        <v>8420</v>
      </c>
      <c r="R43" s="67" t="s">
        <v>240</v>
      </c>
      <c r="S43" s="68">
        <f>8438.33</f>
        <v>8438.33</v>
      </c>
      <c r="T43" s="65">
        <f>3605</f>
        <v>3605</v>
      </c>
      <c r="U43" s="65" t="str">
        <f t="shared" si="0"/>
        <v>－</v>
      </c>
      <c r="V43" s="65">
        <f>30559620</f>
        <v>30559620</v>
      </c>
      <c r="W43" s="65" t="str">
        <f t="shared" si="1"/>
        <v>－</v>
      </c>
      <c r="X43" s="69">
        <f>18</f>
        <v>18</v>
      </c>
    </row>
    <row r="44" spans="1:24">
      <c r="A44" s="60" t="s">
        <v>852</v>
      </c>
      <c r="B44" s="60" t="s">
        <v>169</v>
      </c>
      <c r="C44" s="60" t="s">
        <v>170</v>
      </c>
      <c r="D44" s="60" t="s">
        <v>171</v>
      </c>
      <c r="E44" s="61" t="s">
        <v>46</v>
      </c>
      <c r="F44" s="62" t="s">
        <v>46</v>
      </c>
      <c r="G44" s="63" t="s">
        <v>46</v>
      </c>
      <c r="H44" s="64"/>
      <c r="I44" s="64" t="s">
        <v>47</v>
      </c>
      <c r="J44" s="65">
        <v>1</v>
      </c>
      <c r="K44" s="66">
        <f>15600</f>
        <v>15600</v>
      </c>
      <c r="L44" s="67" t="s">
        <v>853</v>
      </c>
      <c r="M44" s="66">
        <f>17550</f>
        <v>17550</v>
      </c>
      <c r="N44" s="67" t="s">
        <v>855</v>
      </c>
      <c r="O44" s="66">
        <f>15600</f>
        <v>15600</v>
      </c>
      <c r="P44" s="67" t="s">
        <v>853</v>
      </c>
      <c r="Q44" s="66">
        <f>16700</f>
        <v>16700</v>
      </c>
      <c r="R44" s="67" t="s">
        <v>240</v>
      </c>
      <c r="S44" s="68">
        <f>16731.43</f>
        <v>16731.43</v>
      </c>
      <c r="T44" s="65">
        <f>473</f>
        <v>473</v>
      </c>
      <c r="U44" s="65" t="str">
        <f t="shared" si="0"/>
        <v>－</v>
      </c>
      <c r="V44" s="65">
        <f>8011940</f>
        <v>8011940</v>
      </c>
      <c r="W44" s="65" t="str">
        <f t="shared" si="1"/>
        <v>－</v>
      </c>
      <c r="X44" s="69">
        <f>14</f>
        <v>14</v>
      </c>
    </row>
    <row r="45" spans="1:24">
      <c r="A45" s="60" t="s">
        <v>852</v>
      </c>
      <c r="B45" s="60" t="s">
        <v>173</v>
      </c>
      <c r="C45" s="60" t="s">
        <v>174</v>
      </c>
      <c r="D45" s="60" t="s">
        <v>175</v>
      </c>
      <c r="E45" s="61" t="s">
        <v>46</v>
      </c>
      <c r="F45" s="62" t="s">
        <v>46</v>
      </c>
      <c r="G45" s="63" t="s">
        <v>46</v>
      </c>
      <c r="H45" s="64"/>
      <c r="I45" s="64" t="s">
        <v>47</v>
      </c>
      <c r="J45" s="65">
        <v>1</v>
      </c>
      <c r="K45" s="66">
        <f>14460</f>
        <v>14460</v>
      </c>
      <c r="L45" s="67" t="s">
        <v>857</v>
      </c>
      <c r="M45" s="66">
        <f>15270</f>
        <v>15270</v>
      </c>
      <c r="N45" s="67" t="s">
        <v>854</v>
      </c>
      <c r="O45" s="66">
        <f>14260</f>
        <v>14260</v>
      </c>
      <c r="P45" s="67" t="s">
        <v>131</v>
      </c>
      <c r="Q45" s="66">
        <f>14430</f>
        <v>14430</v>
      </c>
      <c r="R45" s="67" t="s">
        <v>176</v>
      </c>
      <c r="S45" s="68">
        <f>14564</f>
        <v>14564</v>
      </c>
      <c r="T45" s="65">
        <f>352</f>
        <v>352</v>
      </c>
      <c r="U45" s="65" t="str">
        <f t="shared" si="0"/>
        <v>－</v>
      </c>
      <c r="V45" s="65">
        <f>5097500</f>
        <v>5097500</v>
      </c>
      <c r="W45" s="65" t="str">
        <f t="shared" si="1"/>
        <v>－</v>
      </c>
      <c r="X45" s="69">
        <f>10</f>
        <v>10</v>
      </c>
    </row>
    <row r="46" spans="1:24">
      <c r="A46" s="60" t="s">
        <v>852</v>
      </c>
      <c r="B46" s="60" t="s">
        <v>177</v>
      </c>
      <c r="C46" s="60" t="s">
        <v>178</v>
      </c>
      <c r="D46" s="60" t="s">
        <v>179</v>
      </c>
      <c r="E46" s="61" t="s">
        <v>46</v>
      </c>
      <c r="F46" s="62" t="s">
        <v>46</v>
      </c>
      <c r="G46" s="63" t="s">
        <v>46</v>
      </c>
      <c r="H46" s="64"/>
      <c r="I46" s="64" t="s">
        <v>47</v>
      </c>
      <c r="J46" s="65">
        <v>1</v>
      </c>
      <c r="K46" s="66">
        <f>8520</f>
        <v>8520</v>
      </c>
      <c r="L46" s="67" t="s">
        <v>853</v>
      </c>
      <c r="M46" s="66">
        <f>9900</f>
        <v>9900</v>
      </c>
      <c r="N46" s="67" t="s">
        <v>176</v>
      </c>
      <c r="O46" s="66">
        <f>8420</f>
        <v>8420</v>
      </c>
      <c r="P46" s="67" t="s">
        <v>853</v>
      </c>
      <c r="Q46" s="66">
        <f>9710</f>
        <v>9710</v>
      </c>
      <c r="R46" s="67" t="s">
        <v>240</v>
      </c>
      <c r="S46" s="68">
        <f>9024.44</f>
        <v>9024.44</v>
      </c>
      <c r="T46" s="65">
        <f>13506</f>
        <v>13506</v>
      </c>
      <c r="U46" s="65" t="str">
        <f t="shared" si="0"/>
        <v>－</v>
      </c>
      <c r="V46" s="65">
        <f>124957860</f>
        <v>124957860</v>
      </c>
      <c r="W46" s="65" t="str">
        <f t="shared" si="1"/>
        <v>－</v>
      </c>
      <c r="X46" s="69">
        <f>18</f>
        <v>18</v>
      </c>
    </row>
    <row r="47" spans="1:24">
      <c r="A47" s="60" t="s">
        <v>852</v>
      </c>
      <c r="B47" s="60" t="s">
        <v>180</v>
      </c>
      <c r="C47" s="60" t="s">
        <v>181</v>
      </c>
      <c r="D47" s="60" t="s">
        <v>182</v>
      </c>
      <c r="E47" s="61" t="s">
        <v>46</v>
      </c>
      <c r="F47" s="62" t="s">
        <v>46</v>
      </c>
      <c r="G47" s="63" t="s">
        <v>46</v>
      </c>
      <c r="H47" s="64"/>
      <c r="I47" s="64" t="s">
        <v>47</v>
      </c>
      <c r="J47" s="65">
        <v>1</v>
      </c>
      <c r="K47" s="66">
        <f>4830</f>
        <v>4830</v>
      </c>
      <c r="L47" s="67" t="s">
        <v>853</v>
      </c>
      <c r="M47" s="66">
        <f>5140</f>
        <v>5140</v>
      </c>
      <c r="N47" s="67" t="s">
        <v>176</v>
      </c>
      <c r="O47" s="66">
        <f>4825</f>
        <v>4825</v>
      </c>
      <c r="P47" s="67" t="s">
        <v>859</v>
      </c>
      <c r="Q47" s="66">
        <f>4960</f>
        <v>4960</v>
      </c>
      <c r="R47" s="67" t="s">
        <v>240</v>
      </c>
      <c r="S47" s="68">
        <f>4965.83</f>
        <v>4965.83</v>
      </c>
      <c r="T47" s="65">
        <f>4666</f>
        <v>4666</v>
      </c>
      <c r="U47" s="65" t="str">
        <f t="shared" si="0"/>
        <v>－</v>
      </c>
      <c r="V47" s="65">
        <f>23290310</f>
        <v>23290310</v>
      </c>
      <c r="W47" s="65" t="str">
        <f t="shared" si="1"/>
        <v>－</v>
      </c>
      <c r="X47" s="69">
        <f>18</f>
        <v>18</v>
      </c>
    </row>
    <row r="48" spans="1:24">
      <c r="A48" s="60" t="s">
        <v>852</v>
      </c>
      <c r="B48" s="60" t="s">
        <v>183</v>
      </c>
      <c r="C48" s="60" t="s">
        <v>184</v>
      </c>
      <c r="D48" s="60" t="s">
        <v>185</v>
      </c>
      <c r="E48" s="61" t="s">
        <v>46</v>
      </c>
      <c r="F48" s="62" t="s">
        <v>46</v>
      </c>
      <c r="G48" s="63" t="s">
        <v>46</v>
      </c>
      <c r="H48" s="64"/>
      <c r="I48" s="64" t="s">
        <v>47</v>
      </c>
      <c r="J48" s="65">
        <v>1</v>
      </c>
      <c r="K48" s="66">
        <f>2385</f>
        <v>2385</v>
      </c>
      <c r="L48" s="67" t="s">
        <v>853</v>
      </c>
      <c r="M48" s="66">
        <f>2528</f>
        <v>2528</v>
      </c>
      <c r="N48" s="67" t="s">
        <v>854</v>
      </c>
      <c r="O48" s="66">
        <f>2352</f>
        <v>2352</v>
      </c>
      <c r="P48" s="67" t="s">
        <v>240</v>
      </c>
      <c r="Q48" s="66">
        <f>2386</f>
        <v>2386</v>
      </c>
      <c r="R48" s="67" t="s">
        <v>240</v>
      </c>
      <c r="S48" s="68">
        <f>2412</f>
        <v>2412</v>
      </c>
      <c r="T48" s="65">
        <f>3575</f>
        <v>3575</v>
      </c>
      <c r="U48" s="65" t="str">
        <f t="shared" si="0"/>
        <v>－</v>
      </c>
      <c r="V48" s="65">
        <f>8613241</f>
        <v>8613241</v>
      </c>
      <c r="W48" s="65" t="str">
        <f t="shared" si="1"/>
        <v>－</v>
      </c>
      <c r="X48" s="69">
        <f>18</f>
        <v>18</v>
      </c>
    </row>
    <row r="49" spans="1:24">
      <c r="A49" s="60" t="s">
        <v>852</v>
      </c>
      <c r="B49" s="60" t="s">
        <v>186</v>
      </c>
      <c r="C49" s="60" t="s">
        <v>187</v>
      </c>
      <c r="D49" s="60" t="s">
        <v>188</v>
      </c>
      <c r="E49" s="61" t="s">
        <v>46</v>
      </c>
      <c r="F49" s="62" t="s">
        <v>46</v>
      </c>
      <c r="G49" s="63" t="s">
        <v>46</v>
      </c>
      <c r="H49" s="64"/>
      <c r="I49" s="64" t="s">
        <v>47</v>
      </c>
      <c r="J49" s="65">
        <v>1</v>
      </c>
      <c r="K49" s="66">
        <f>2280</f>
        <v>2280</v>
      </c>
      <c r="L49" s="67" t="s">
        <v>853</v>
      </c>
      <c r="M49" s="66">
        <f>2760</f>
        <v>2760</v>
      </c>
      <c r="N49" s="67" t="s">
        <v>96</v>
      </c>
      <c r="O49" s="66">
        <f>2272</f>
        <v>2272</v>
      </c>
      <c r="P49" s="67" t="s">
        <v>853</v>
      </c>
      <c r="Q49" s="66">
        <f>2512</f>
        <v>2512</v>
      </c>
      <c r="R49" s="67" t="s">
        <v>240</v>
      </c>
      <c r="S49" s="68">
        <f>2465.33</f>
        <v>2465.33</v>
      </c>
      <c r="T49" s="65">
        <f>33088</f>
        <v>33088</v>
      </c>
      <c r="U49" s="65" t="str">
        <f t="shared" si="0"/>
        <v>－</v>
      </c>
      <c r="V49" s="65">
        <f>84426231</f>
        <v>84426231</v>
      </c>
      <c r="W49" s="65" t="str">
        <f t="shared" si="1"/>
        <v>－</v>
      </c>
      <c r="X49" s="69">
        <f>18</f>
        <v>18</v>
      </c>
    </row>
    <row r="50" spans="1:24">
      <c r="A50" s="60" t="s">
        <v>852</v>
      </c>
      <c r="B50" s="60" t="s">
        <v>189</v>
      </c>
      <c r="C50" s="60" t="s">
        <v>190</v>
      </c>
      <c r="D50" s="60" t="s">
        <v>191</v>
      </c>
      <c r="E50" s="61" t="s">
        <v>46</v>
      </c>
      <c r="F50" s="62" t="s">
        <v>46</v>
      </c>
      <c r="G50" s="63" t="s">
        <v>46</v>
      </c>
      <c r="H50" s="64"/>
      <c r="I50" s="64" t="s">
        <v>47</v>
      </c>
      <c r="J50" s="65">
        <v>1</v>
      </c>
      <c r="K50" s="66">
        <f>38000</f>
        <v>38000</v>
      </c>
      <c r="L50" s="67" t="s">
        <v>853</v>
      </c>
      <c r="M50" s="66">
        <f>41750</f>
        <v>41750</v>
      </c>
      <c r="N50" s="67" t="s">
        <v>132</v>
      </c>
      <c r="O50" s="66">
        <f>38000</f>
        <v>38000</v>
      </c>
      <c r="P50" s="67" t="s">
        <v>853</v>
      </c>
      <c r="Q50" s="66">
        <f>40400</f>
        <v>40400</v>
      </c>
      <c r="R50" s="67" t="s">
        <v>240</v>
      </c>
      <c r="S50" s="68">
        <f>40388.89</f>
        <v>40388.89</v>
      </c>
      <c r="T50" s="65">
        <f>633</f>
        <v>633</v>
      </c>
      <c r="U50" s="65" t="str">
        <f t="shared" si="0"/>
        <v>－</v>
      </c>
      <c r="V50" s="65">
        <f>25608250</f>
        <v>25608250</v>
      </c>
      <c r="W50" s="65" t="str">
        <f t="shared" si="1"/>
        <v>－</v>
      </c>
      <c r="X50" s="69">
        <f>18</f>
        <v>18</v>
      </c>
    </row>
    <row r="51" spans="1:24">
      <c r="A51" s="60" t="s">
        <v>852</v>
      </c>
      <c r="B51" s="60" t="s">
        <v>192</v>
      </c>
      <c r="C51" s="60" t="s">
        <v>193</v>
      </c>
      <c r="D51" s="60" t="s">
        <v>194</v>
      </c>
      <c r="E51" s="61" t="s">
        <v>46</v>
      </c>
      <c r="F51" s="62" t="s">
        <v>46</v>
      </c>
      <c r="G51" s="63" t="s">
        <v>46</v>
      </c>
      <c r="H51" s="64"/>
      <c r="I51" s="64" t="s">
        <v>47</v>
      </c>
      <c r="J51" s="65">
        <v>1</v>
      </c>
      <c r="K51" s="66">
        <f>28300</f>
        <v>28300</v>
      </c>
      <c r="L51" s="67" t="s">
        <v>853</v>
      </c>
      <c r="M51" s="66">
        <f>30650</f>
        <v>30650</v>
      </c>
      <c r="N51" s="67" t="s">
        <v>855</v>
      </c>
      <c r="O51" s="66">
        <f>28300</f>
        <v>28300</v>
      </c>
      <c r="P51" s="67" t="s">
        <v>853</v>
      </c>
      <c r="Q51" s="66">
        <f>29840</f>
        <v>29840</v>
      </c>
      <c r="R51" s="67" t="s">
        <v>240</v>
      </c>
      <c r="S51" s="68">
        <f>29751.88</f>
        <v>29751.88</v>
      </c>
      <c r="T51" s="65">
        <f>150</f>
        <v>150</v>
      </c>
      <c r="U51" s="65" t="str">
        <f t="shared" si="0"/>
        <v>－</v>
      </c>
      <c r="V51" s="65">
        <f>4473080</f>
        <v>4473080</v>
      </c>
      <c r="W51" s="65" t="str">
        <f t="shared" si="1"/>
        <v>－</v>
      </c>
      <c r="X51" s="69">
        <f>16</f>
        <v>16</v>
      </c>
    </row>
    <row r="52" spans="1:24">
      <c r="A52" s="60" t="s">
        <v>852</v>
      </c>
      <c r="B52" s="60" t="s">
        <v>195</v>
      </c>
      <c r="C52" s="60" t="s">
        <v>196</v>
      </c>
      <c r="D52" s="60" t="s">
        <v>197</v>
      </c>
      <c r="E52" s="61" t="s">
        <v>46</v>
      </c>
      <c r="F52" s="62" t="s">
        <v>46</v>
      </c>
      <c r="G52" s="63" t="s">
        <v>46</v>
      </c>
      <c r="H52" s="64"/>
      <c r="I52" s="64" t="s">
        <v>47</v>
      </c>
      <c r="J52" s="65">
        <v>1</v>
      </c>
      <c r="K52" s="66">
        <f>27850</f>
        <v>27850</v>
      </c>
      <c r="L52" s="67" t="s">
        <v>853</v>
      </c>
      <c r="M52" s="66">
        <f>30950</f>
        <v>30950</v>
      </c>
      <c r="N52" s="67" t="s">
        <v>854</v>
      </c>
      <c r="O52" s="66">
        <f>27850</f>
        <v>27850</v>
      </c>
      <c r="P52" s="67" t="s">
        <v>853</v>
      </c>
      <c r="Q52" s="66">
        <f>29300</f>
        <v>29300</v>
      </c>
      <c r="R52" s="67" t="s">
        <v>240</v>
      </c>
      <c r="S52" s="68">
        <f>29644.44</f>
        <v>29644.44</v>
      </c>
      <c r="T52" s="65">
        <f>1478284</f>
        <v>1478284</v>
      </c>
      <c r="U52" s="65">
        <f>1477270</f>
        <v>1477270</v>
      </c>
      <c r="V52" s="65">
        <f>43337028937</f>
        <v>43337028937</v>
      </c>
      <c r="W52" s="65">
        <f>43306962847</f>
        <v>43306962847</v>
      </c>
      <c r="X52" s="69">
        <f>18</f>
        <v>18</v>
      </c>
    </row>
    <row r="53" spans="1:24">
      <c r="A53" s="60" t="s">
        <v>852</v>
      </c>
      <c r="B53" s="60" t="s">
        <v>198</v>
      </c>
      <c r="C53" s="60" t="s">
        <v>199</v>
      </c>
      <c r="D53" s="60" t="s">
        <v>200</v>
      </c>
      <c r="E53" s="61" t="s">
        <v>46</v>
      </c>
      <c r="F53" s="62" t="s">
        <v>46</v>
      </c>
      <c r="G53" s="63" t="s">
        <v>46</v>
      </c>
      <c r="H53" s="64"/>
      <c r="I53" s="64" t="s">
        <v>47</v>
      </c>
      <c r="J53" s="65">
        <v>10</v>
      </c>
      <c r="K53" s="66">
        <f>1887</f>
        <v>1887</v>
      </c>
      <c r="L53" s="67" t="s">
        <v>853</v>
      </c>
      <c r="M53" s="66">
        <f>2048</f>
        <v>2048</v>
      </c>
      <c r="N53" s="67" t="s">
        <v>240</v>
      </c>
      <c r="O53" s="66">
        <f>1860</f>
        <v>1860</v>
      </c>
      <c r="P53" s="67" t="s">
        <v>858</v>
      </c>
      <c r="Q53" s="66">
        <f>1989</f>
        <v>1989</v>
      </c>
      <c r="R53" s="67" t="s">
        <v>240</v>
      </c>
      <c r="S53" s="68">
        <f>1951.17</f>
        <v>1951.17</v>
      </c>
      <c r="T53" s="65">
        <f>226670</f>
        <v>226670</v>
      </c>
      <c r="U53" s="65">
        <f>85000</f>
        <v>85000</v>
      </c>
      <c r="V53" s="65">
        <f>442862910</f>
        <v>442862910</v>
      </c>
      <c r="W53" s="65">
        <f>166308500</f>
        <v>166308500</v>
      </c>
      <c r="X53" s="69">
        <f>18</f>
        <v>18</v>
      </c>
    </row>
    <row r="54" spans="1:24">
      <c r="A54" s="60" t="s">
        <v>852</v>
      </c>
      <c r="B54" s="60" t="s">
        <v>201</v>
      </c>
      <c r="C54" s="60" t="s">
        <v>202</v>
      </c>
      <c r="D54" s="60" t="s">
        <v>203</v>
      </c>
      <c r="E54" s="61" t="s">
        <v>46</v>
      </c>
      <c r="F54" s="62" t="s">
        <v>46</v>
      </c>
      <c r="G54" s="63" t="s">
        <v>46</v>
      </c>
      <c r="H54" s="64"/>
      <c r="I54" s="64" t="s">
        <v>47</v>
      </c>
      <c r="J54" s="65">
        <v>10</v>
      </c>
      <c r="K54" s="66">
        <f>1482</f>
        <v>1482</v>
      </c>
      <c r="L54" s="67" t="s">
        <v>853</v>
      </c>
      <c r="M54" s="66">
        <f>1581</f>
        <v>1581</v>
      </c>
      <c r="N54" s="67" t="s">
        <v>854</v>
      </c>
      <c r="O54" s="66">
        <f>1470</f>
        <v>1470</v>
      </c>
      <c r="P54" s="67" t="s">
        <v>853</v>
      </c>
      <c r="Q54" s="66">
        <f>1509</f>
        <v>1509</v>
      </c>
      <c r="R54" s="67" t="s">
        <v>240</v>
      </c>
      <c r="S54" s="68">
        <f>1532.83</f>
        <v>1532.83</v>
      </c>
      <c r="T54" s="65">
        <f>8420</f>
        <v>8420</v>
      </c>
      <c r="U54" s="65" t="str">
        <f>"－"</f>
        <v>－</v>
      </c>
      <c r="V54" s="65">
        <f>12915480</f>
        <v>12915480</v>
      </c>
      <c r="W54" s="65" t="str">
        <f>"－"</f>
        <v>－</v>
      </c>
      <c r="X54" s="69">
        <f>18</f>
        <v>18</v>
      </c>
    </row>
    <row r="55" spans="1:24">
      <c r="A55" s="60" t="s">
        <v>852</v>
      </c>
      <c r="B55" s="60" t="s">
        <v>204</v>
      </c>
      <c r="C55" s="60" t="s">
        <v>205</v>
      </c>
      <c r="D55" s="60" t="s">
        <v>206</v>
      </c>
      <c r="E55" s="61" t="s">
        <v>46</v>
      </c>
      <c r="F55" s="62" t="s">
        <v>46</v>
      </c>
      <c r="G55" s="63" t="s">
        <v>46</v>
      </c>
      <c r="H55" s="64"/>
      <c r="I55" s="64" t="s">
        <v>47</v>
      </c>
      <c r="J55" s="65">
        <v>1</v>
      </c>
      <c r="K55" s="66">
        <f>4665</f>
        <v>4665</v>
      </c>
      <c r="L55" s="67" t="s">
        <v>853</v>
      </c>
      <c r="M55" s="66">
        <f>4670</f>
        <v>4670</v>
      </c>
      <c r="N55" s="67" t="s">
        <v>853</v>
      </c>
      <c r="O55" s="66">
        <f>4190</f>
        <v>4190</v>
      </c>
      <c r="P55" s="67" t="s">
        <v>854</v>
      </c>
      <c r="Q55" s="66">
        <f>4420</f>
        <v>4420</v>
      </c>
      <c r="R55" s="67" t="s">
        <v>240</v>
      </c>
      <c r="S55" s="68">
        <f>4373.33</f>
        <v>4373.33</v>
      </c>
      <c r="T55" s="65">
        <f>1255740</f>
        <v>1255740</v>
      </c>
      <c r="U55" s="65">
        <f>15000</f>
        <v>15000</v>
      </c>
      <c r="V55" s="65">
        <f>5437958975</f>
        <v>5437958975</v>
      </c>
      <c r="W55" s="65">
        <f>64151850</f>
        <v>64151850</v>
      </c>
      <c r="X55" s="69">
        <f>18</f>
        <v>18</v>
      </c>
    </row>
    <row r="56" spans="1:24">
      <c r="A56" s="60" t="s">
        <v>852</v>
      </c>
      <c r="B56" s="60" t="s">
        <v>207</v>
      </c>
      <c r="C56" s="60" t="s">
        <v>208</v>
      </c>
      <c r="D56" s="60" t="s">
        <v>209</v>
      </c>
      <c r="E56" s="61" t="s">
        <v>46</v>
      </c>
      <c r="F56" s="62" t="s">
        <v>46</v>
      </c>
      <c r="G56" s="63" t="s">
        <v>46</v>
      </c>
      <c r="H56" s="64"/>
      <c r="I56" s="64" t="s">
        <v>47</v>
      </c>
      <c r="J56" s="65">
        <v>1</v>
      </c>
      <c r="K56" s="66">
        <f>5900</f>
        <v>5900</v>
      </c>
      <c r="L56" s="67" t="s">
        <v>853</v>
      </c>
      <c r="M56" s="66">
        <f>5900</f>
        <v>5900</v>
      </c>
      <c r="N56" s="67" t="s">
        <v>853</v>
      </c>
      <c r="O56" s="66">
        <f>5380</f>
        <v>5380</v>
      </c>
      <c r="P56" s="67" t="s">
        <v>854</v>
      </c>
      <c r="Q56" s="66">
        <f>5690</f>
        <v>5690</v>
      </c>
      <c r="R56" s="67" t="s">
        <v>240</v>
      </c>
      <c r="S56" s="68">
        <f>5559.44</f>
        <v>5559.44</v>
      </c>
      <c r="T56" s="65">
        <f>249190</f>
        <v>249190</v>
      </c>
      <c r="U56" s="65" t="str">
        <f>"－"</f>
        <v>－</v>
      </c>
      <c r="V56" s="65">
        <f>1377953750</f>
        <v>1377953750</v>
      </c>
      <c r="W56" s="65" t="str">
        <f>"－"</f>
        <v>－</v>
      </c>
      <c r="X56" s="69">
        <f>18</f>
        <v>18</v>
      </c>
    </row>
    <row r="57" spans="1:24">
      <c r="A57" s="60" t="s">
        <v>852</v>
      </c>
      <c r="B57" s="60" t="s">
        <v>210</v>
      </c>
      <c r="C57" s="60" t="s">
        <v>211</v>
      </c>
      <c r="D57" s="60" t="s">
        <v>212</v>
      </c>
      <c r="E57" s="61" t="s">
        <v>46</v>
      </c>
      <c r="F57" s="62" t="s">
        <v>46</v>
      </c>
      <c r="G57" s="63" t="s">
        <v>46</v>
      </c>
      <c r="H57" s="64"/>
      <c r="I57" s="64" t="s">
        <v>47</v>
      </c>
      <c r="J57" s="65">
        <v>1</v>
      </c>
      <c r="K57" s="66">
        <f>16980</f>
        <v>16980</v>
      </c>
      <c r="L57" s="67" t="s">
        <v>853</v>
      </c>
      <c r="M57" s="66">
        <f>20940</f>
        <v>20940</v>
      </c>
      <c r="N57" s="67" t="s">
        <v>854</v>
      </c>
      <c r="O57" s="66">
        <f>16960</f>
        <v>16960</v>
      </c>
      <c r="P57" s="67" t="s">
        <v>853</v>
      </c>
      <c r="Q57" s="66">
        <f>18620</f>
        <v>18620</v>
      </c>
      <c r="R57" s="67" t="s">
        <v>240</v>
      </c>
      <c r="S57" s="68">
        <f>19277.22</f>
        <v>19277.22</v>
      </c>
      <c r="T57" s="65">
        <f>18413342</f>
        <v>18413342</v>
      </c>
      <c r="U57" s="65">
        <f>1</f>
        <v>1</v>
      </c>
      <c r="V57" s="65">
        <f>356493876440</f>
        <v>356493876440</v>
      </c>
      <c r="W57" s="65">
        <f>19840</f>
        <v>19840</v>
      </c>
      <c r="X57" s="69">
        <f>18</f>
        <v>18</v>
      </c>
    </row>
    <row r="58" spans="1:24">
      <c r="A58" s="60" t="s">
        <v>852</v>
      </c>
      <c r="B58" s="60" t="s">
        <v>213</v>
      </c>
      <c r="C58" s="60" t="s">
        <v>214</v>
      </c>
      <c r="D58" s="60" t="s">
        <v>215</v>
      </c>
      <c r="E58" s="61" t="s">
        <v>46</v>
      </c>
      <c r="F58" s="62" t="s">
        <v>46</v>
      </c>
      <c r="G58" s="63" t="s">
        <v>46</v>
      </c>
      <c r="H58" s="64"/>
      <c r="I58" s="64" t="s">
        <v>47</v>
      </c>
      <c r="J58" s="65">
        <v>1</v>
      </c>
      <c r="K58" s="66">
        <f>1924</f>
        <v>1924</v>
      </c>
      <c r="L58" s="67" t="s">
        <v>853</v>
      </c>
      <c r="M58" s="66">
        <f>1927</f>
        <v>1927</v>
      </c>
      <c r="N58" s="67" t="s">
        <v>853</v>
      </c>
      <c r="O58" s="66">
        <f>1544</f>
        <v>1544</v>
      </c>
      <c r="P58" s="67" t="s">
        <v>854</v>
      </c>
      <c r="Q58" s="66">
        <f>1720</f>
        <v>1720</v>
      </c>
      <c r="R58" s="67" t="s">
        <v>240</v>
      </c>
      <c r="S58" s="68">
        <f>1685.89</f>
        <v>1685.89</v>
      </c>
      <c r="T58" s="65">
        <f>59439214</f>
        <v>59439214</v>
      </c>
      <c r="U58" s="65">
        <f>32</f>
        <v>32</v>
      </c>
      <c r="V58" s="65">
        <f>100785247245</f>
        <v>100785247245</v>
      </c>
      <c r="W58" s="65">
        <f>50902</f>
        <v>50902</v>
      </c>
      <c r="X58" s="69">
        <f>18</f>
        <v>18</v>
      </c>
    </row>
    <row r="59" spans="1:24">
      <c r="A59" s="60" t="s">
        <v>852</v>
      </c>
      <c r="B59" s="60" t="s">
        <v>216</v>
      </c>
      <c r="C59" s="60" t="s">
        <v>217</v>
      </c>
      <c r="D59" s="60" t="s">
        <v>218</v>
      </c>
      <c r="E59" s="61" t="s">
        <v>46</v>
      </c>
      <c r="F59" s="62" t="s">
        <v>46</v>
      </c>
      <c r="G59" s="63" t="s">
        <v>46</v>
      </c>
      <c r="H59" s="64"/>
      <c r="I59" s="64" t="s">
        <v>47</v>
      </c>
      <c r="J59" s="65">
        <v>1</v>
      </c>
      <c r="K59" s="66">
        <f>23570</f>
        <v>23570</v>
      </c>
      <c r="L59" s="67" t="s">
        <v>240</v>
      </c>
      <c r="M59" s="66">
        <f>23570</f>
        <v>23570</v>
      </c>
      <c r="N59" s="67" t="s">
        <v>240</v>
      </c>
      <c r="O59" s="66">
        <f>23570</f>
        <v>23570</v>
      </c>
      <c r="P59" s="67" t="s">
        <v>240</v>
      </c>
      <c r="Q59" s="66">
        <f>23570</f>
        <v>23570</v>
      </c>
      <c r="R59" s="67" t="s">
        <v>240</v>
      </c>
      <c r="S59" s="68">
        <f>23570</f>
        <v>23570</v>
      </c>
      <c r="T59" s="65">
        <f>4</f>
        <v>4</v>
      </c>
      <c r="U59" s="65" t="str">
        <f>"－"</f>
        <v>－</v>
      </c>
      <c r="V59" s="65">
        <f>94280</f>
        <v>94280</v>
      </c>
      <c r="W59" s="65" t="str">
        <f>"－"</f>
        <v>－</v>
      </c>
      <c r="X59" s="69">
        <f>1</f>
        <v>1</v>
      </c>
    </row>
    <row r="60" spans="1:24">
      <c r="A60" s="60" t="s">
        <v>852</v>
      </c>
      <c r="B60" s="60" t="s">
        <v>219</v>
      </c>
      <c r="C60" s="60" t="s">
        <v>220</v>
      </c>
      <c r="D60" s="60" t="s">
        <v>221</v>
      </c>
      <c r="E60" s="61" t="s">
        <v>46</v>
      </c>
      <c r="F60" s="62" t="s">
        <v>46</v>
      </c>
      <c r="G60" s="63" t="s">
        <v>46</v>
      </c>
      <c r="H60" s="64"/>
      <c r="I60" s="64" t="s">
        <v>47</v>
      </c>
      <c r="J60" s="65">
        <v>1</v>
      </c>
      <c r="K60" s="66">
        <f>12880</f>
        <v>12880</v>
      </c>
      <c r="L60" s="67" t="s">
        <v>853</v>
      </c>
      <c r="M60" s="66">
        <f>15270</f>
        <v>15270</v>
      </c>
      <c r="N60" s="67" t="s">
        <v>854</v>
      </c>
      <c r="O60" s="66">
        <f>12850</f>
        <v>12850</v>
      </c>
      <c r="P60" s="67" t="s">
        <v>853</v>
      </c>
      <c r="Q60" s="66">
        <f>13600</f>
        <v>13600</v>
      </c>
      <c r="R60" s="67" t="s">
        <v>240</v>
      </c>
      <c r="S60" s="68">
        <f>14297.22</f>
        <v>14297.22</v>
      </c>
      <c r="T60" s="65">
        <f>5566</f>
        <v>5566</v>
      </c>
      <c r="U60" s="65" t="str">
        <f>"－"</f>
        <v>－</v>
      </c>
      <c r="V60" s="65">
        <f>79082420</f>
        <v>79082420</v>
      </c>
      <c r="W60" s="65" t="str">
        <f>"－"</f>
        <v>－</v>
      </c>
      <c r="X60" s="69">
        <f>18</f>
        <v>18</v>
      </c>
    </row>
    <row r="61" spans="1:24">
      <c r="A61" s="60" t="s">
        <v>852</v>
      </c>
      <c r="B61" s="60" t="s">
        <v>222</v>
      </c>
      <c r="C61" s="60" t="s">
        <v>223</v>
      </c>
      <c r="D61" s="60" t="s">
        <v>224</v>
      </c>
      <c r="E61" s="61" t="s">
        <v>46</v>
      </c>
      <c r="F61" s="62" t="s">
        <v>46</v>
      </c>
      <c r="G61" s="63" t="s">
        <v>46</v>
      </c>
      <c r="H61" s="64"/>
      <c r="I61" s="64" t="s">
        <v>47</v>
      </c>
      <c r="J61" s="65">
        <v>1</v>
      </c>
      <c r="K61" s="66">
        <f>5710</f>
        <v>5710</v>
      </c>
      <c r="L61" s="67" t="s">
        <v>853</v>
      </c>
      <c r="M61" s="66">
        <f>5710</f>
        <v>5710</v>
      </c>
      <c r="N61" s="67" t="s">
        <v>853</v>
      </c>
      <c r="O61" s="66">
        <f>5210</f>
        <v>5210</v>
      </c>
      <c r="P61" s="67" t="s">
        <v>854</v>
      </c>
      <c r="Q61" s="66">
        <f>5480</f>
        <v>5480</v>
      </c>
      <c r="R61" s="67" t="s">
        <v>240</v>
      </c>
      <c r="S61" s="68">
        <f>5401.11</f>
        <v>5401.11</v>
      </c>
      <c r="T61" s="65">
        <f>7482</f>
        <v>7482</v>
      </c>
      <c r="U61" s="65">
        <f>6300</f>
        <v>6300</v>
      </c>
      <c r="V61" s="65">
        <f>41891683</f>
        <v>41891683</v>
      </c>
      <c r="W61" s="65">
        <f>35477303</f>
        <v>35477303</v>
      </c>
      <c r="X61" s="69">
        <f>18</f>
        <v>18</v>
      </c>
    </row>
    <row r="62" spans="1:24">
      <c r="A62" s="60" t="s">
        <v>852</v>
      </c>
      <c r="B62" s="60" t="s">
        <v>225</v>
      </c>
      <c r="C62" s="60" t="s">
        <v>226</v>
      </c>
      <c r="D62" s="60" t="s">
        <v>227</v>
      </c>
      <c r="E62" s="61" t="s">
        <v>46</v>
      </c>
      <c r="F62" s="62" t="s">
        <v>46</v>
      </c>
      <c r="G62" s="63" t="s">
        <v>46</v>
      </c>
      <c r="H62" s="64"/>
      <c r="I62" s="64" t="s">
        <v>47</v>
      </c>
      <c r="J62" s="65">
        <v>1</v>
      </c>
      <c r="K62" s="66">
        <f>2560</f>
        <v>2560</v>
      </c>
      <c r="L62" s="67" t="s">
        <v>853</v>
      </c>
      <c r="M62" s="66">
        <f>2630</f>
        <v>2630</v>
      </c>
      <c r="N62" s="67" t="s">
        <v>853</v>
      </c>
      <c r="O62" s="66">
        <f>2200</f>
        <v>2200</v>
      </c>
      <c r="P62" s="67" t="s">
        <v>854</v>
      </c>
      <c r="Q62" s="66">
        <f>2445</f>
        <v>2445</v>
      </c>
      <c r="R62" s="67" t="s">
        <v>240</v>
      </c>
      <c r="S62" s="68">
        <f>2348.72</f>
        <v>2348.7199999999998</v>
      </c>
      <c r="T62" s="65">
        <f>26065</f>
        <v>26065</v>
      </c>
      <c r="U62" s="65" t="str">
        <f>"－"</f>
        <v>－</v>
      </c>
      <c r="V62" s="65">
        <f>61413606</f>
        <v>61413606</v>
      </c>
      <c r="W62" s="65" t="str">
        <f>"－"</f>
        <v>－</v>
      </c>
      <c r="X62" s="69">
        <f>18</f>
        <v>18</v>
      </c>
    </row>
    <row r="63" spans="1:24">
      <c r="A63" s="60" t="s">
        <v>852</v>
      </c>
      <c r="B63" s="60" t="s">
        <v>228</v>
      </c>
      <c r="C63" s="60" t="s">
        <v>229</v>
      </c>
      <c r="D63" s="60" t="s">
        <v>230</v>
      </c>
      <c r="E63" s="61" t="s">
        <v>46</v>
      </c>
      <c r="F63" s="62" t="s">
        <v>46</v>
      </c>
      <c r="G63" s="63" t="s">
        <v>46</v>
      </c>
      <c r="H63" s="64"/>
      <c r="I63" s="64" t="s">
        <v>47</v>
      </c>
      <c r="J63" s="65">
        <v>10</v>
      </c>
      <c r="K63" s="66">
        <f>12390</f>
        <v>12390</v>
      </c>
      <c r="L63" s="67" t="s">
        <v>853</v>
      </c>
      <c r="M63" s="66">
        <f>14470</f>
        <v>14470</v>
      </c>
      <c r="N63" s="67" t="s">
        <v>100</v>
      </c>
      <c r="O63" s="66">
        <f>12340</f>
        <v>12340</v>
      </c>
      <c r="P63" s="67" t="s">
        <v>853</v>
      </c>
      <c r="Q63" s="66">
        <f>13010</f>
        <v>13010</v>
      </c>
      <c r="R63" s="67" t="s">
        <v>240</v>
      </c>
      <c r="S63" s="68">
        <f>13491.18</f>
        <v>13491.18</v>
      </c>
      <c r="T63" s="65">
        <f>8950</f>
        <v>8950</v>
      </c>
      <c r="U63" s="65" t="str">
        <f>"－"</f>
        <v>－</v>
      </c>
      <c r="V63" s="65">
        <f>118625500</f>
        <v>118625500</v>
      </c>
      <c r="W63" s="65" t="str">
        <f>"－"</f>
        <v>－</v>
      </c>
      <c r="X63" s="69">
        <f>17</f>
        <v>17</v>
      </c>
    </row>
    <row r="64" spans="1:24">
      <c r="A64" s="60" t="s">
        <v>852</v>
      </c>
      <c r="B64" s="60" t="s">
        <v>231</v>
      </c>
      <c r="C64" s="60" t="s">
        <v>232</v>
      </c>
      <c r="D64" s="60" t="s">
        <v>233</v>
      </c>
      <c r="E64" s="61" t="s">
        <v>46</v>
      </c>
      <c r="F64" s="62" t="s">
        <v>46</v>
      </c>
      <c r="G64" s="63" t="s">
        <v>46</v>
      </c>
      <c r="H64" s="64"/>
      <c r="I64" s="64" t="s">
        <v>47</v>
      </c>
      <c r="J64" s="65">
        <v>10</v>
      </c>
      <c r="K64" s="66">
        <f>5530</f>
        <v>5530</v>
      </c>
      <c r="L64" s="67" t="s">
        <v>853</v>
      </c>
      <c r="M64" s="66">
        <f>5530</f>
        <v>5530</v>
      </c>
      <c r="N64" s="67" t="s">
        <v>853</v>
      </c>
      <c r="O64" s="66">
        <f>5130</f>
        <v>5130</v>
      </c>
      <c r="P64" s="67" t="s">
        <v>854</v>
      </c>
      <c r="Q64" s="66">
        <f>5340</f>
        <v>5340</v>
      </c>
      <c r="R64" s="67" t="s">
        <v>240</v>
      </c>
      <c r="S64" s="68">
        <f>5299.09</f>
        <v>5299.09</v>
      </c>
      <c r="T64" s="65">
        <f>2200</f>
        <v>2200</v>
      </c>
      <c r="U64" s="65" t="str">
        <f>"－"</f>
        <v>－</v>
      </c>
      <c r="V64" s="65">
        <f>11592200</f>
        <v>11592200</v>
      </c>
      <c r="W64" s="65" t="str">
        <f>"－"</f>
        <v>－</v>
      </c>
      <c r="X64" s="69">
        <f>11</f>
        <v>11</v>
      </c>
    </row>
    <row r="65" spans="1:24">
      <c r="A65" s="60" t="s">
        <v>852</v>
      </c>
      <c r="B65" s="60" t="s">
        <v>234</v>
      </c>
      <c r="C65" s="60" t="s">
        <v>235</v>
      </c>
      <c r="D65" s="60" t="s">
        <v>236</v>
      </c>
      <c r="E65" s="61" t="s">
        <v>46</v>
      </c>
      <c r="F65" s="62" t="s">
        <v>46</v>
      </c>
      <c r="G65" s="63" t="s">
        <v>46</v>
      </c>
      <c r="H65" s="64"/>
      <c r="I65" s="64" t="s">
        <v>47</v>
      </c>
      <c r="J65" s="65">
        <v>10</v>
      </c>
      <c r="K65" s="66">
        <f>2673</f>
        <v>2673</v>
      </c>
      <c r="L65" s="67" t="s">
        <v>853</v>
      </c>
      <c r="M65" s="66">
        <f>2673</f>
        <v>2673</v>
      </c>
      <c r="N65" s="67" t="s">
        <v>853</v>
      </c>
      <c r="O65" s="66">
        <f>2211</f>
        <v>2211</v>
      </c>
      <c r="P65" s="67" t="s">
        <v>855</v>
      </c>
      <c r="Q65" s="66">
        <f>2370</f>
        <v>2370</v>
      </c>
      <c r="R65" s="67" t="s">
        <v>240</v>
      </c>
      <c r="S65" s="68">
        <f>2345.44</f>
        <v>2345.44</v>
      </c>
      <c r="T65" s="65">
        <f>88850</f>
        <v>88850</v>
      </c>
      <c r="U65" s="65" t="str">
        <f>"－"</f>
        <v>－</v>
      </c>
      <c r="V65" s="65">
        <f>210401240</f>
        <v>210401240</v>
      </c>
      <c r="W65" s="65" t="str">
        <f>"－"</f>
        <v>－</v>
      </c>
      <c r="X65" s="69">
        <f>18</f>
        <v>18</v>
      </c>
    </row>
    <row r="66" spans="1:24">
      <c r="A66" s="60" t="s">
        <v>852</v>
      </c>
      <c r="B66" s="60" t="s">
        <v>237</v>
      </c>
      <c r="C66" s="60" t="s">
        <v>238</v>
      </c>
      <c r="D66" s="60" t="s">
        <v>239</v>
      </c>
      <c r="E66" s="61" t="s">
        <v>46</v>
      </c>
      <c r="F66" s="62" t="s">
        <v>46</v>
      </c>
      <c r="G66" s="63" t="s">
        <v>46</v>
      </c>
      <c r="H66" s="64"/>
      <c r="I66" s="64" t="s">
        <v>47</v>
      </c>
      <c r="J66" s="65">
        <v>1</v>
      </c>
      <c r="K66" s="66">
        <f>23380</f>
        <v>23380</v>
      </c>
      <c r="L66" s="67" t="s">
        <v>853</v>
      </c>
      <c r="M66" s="66">
        <f>26500</f>
        <v>26500</v>
      </c>
      <c r="N66" s="67" t="s">
        <v>132</v>
      </c>
      <c r="O66" s="66">
        <f>22500</f>
        <v>22500</v>
      </c>
      <c r="P66" s="67" t="s">
        <v>853</v>
      </c>
      <c r="Q66" s="66">
        <f>23760</f>
        <v>23760</v>
      </c>
      <c r="R66" s="67" t="s">
        <v>240</v>
      </c>
      <c r="S66" s="68">
        <f>24342.78</f>
        <v>24342.78</v>
      </c>
      <c r="T66" s="65">
        <f>5291</f>
        <v>5291</v>
      </c>
      <c r="U66" s="65" t="str">
        <f>"－"</f>
        <v>－</v>
      </c>
      <c r="V66" s="65">
        <f>129565840</f>
        <v>129565840</v>
      </c>
      <c r="W66" s="65" t="str">
        <f>"－"</f>
        <v>－</v>
      </c>
      <c r="X66" s="69">
        <f>18</f>
        <v>18</v>
      </c>
    </row>
    <row r="67" spans="1:24">
      <c r="A67" s="60" t="s">
        <v>852</v>
      </c>
      <c r="B67" s="60" t="s">
        <v>241</v>
      </c>
      <c r="C67" s="60" t="s">
        <v>242</v>
      </c>
      <c r="D67" s="60" t="s">
        <v>243</v>
      </c>
      <c r="E67" s="61" t="s">
        <v>46</v>
      </c>
      <c r="F67" s="62" t="s">
        <v>46</v>
      </c>
      <c r="G67" s="63" t="s">
        <v>46</v>
      </c>
      <c r="H67" s="64"/>
      <c r="I67" s="64" t="s">
        <v>47</v>
      </c>
      <c r="J67" s="65">
        <v>1</v>
      </c>
      <c r="K67" s="66">
        <f>3675</f>
        <v>3675</v>
      </c>
      <c r="L67" s="67" t="s">
        <v>853</v>
      </c>
      <c r="M67" s="66">
        <f>3675</f>
        <v>3675</v>
      </c>
      <c r="N67" s="67" t="s">
        <v>853</v>
      </c>
      <c r="O67" s="66">
        <f>3355</f>
        <v>3355</v>
      </c>
      <c r="P67" s="67" t="s">
        <v>854</v>
      </c>
      <c r="Q67" s="66">
        <f>3560</f>
        <v>3560</v>
      </c>
      <c r="R67" s="67" t="s">
        <v>240</v>
      </c>
      <c r="S67" s="68">
        <f>3483.33</f>
        <v>3483.33</v>
      </c>
      <c r="T67" s="65">
        <f>34150</f>
        <v>34150</v>
      </c>
      <c r="U67" s="65">
        <f>32000</f>
        <v>32000</v>
      </c>
      <c r="V67" s="65">
        <f>123442660</f>
        <v>123442660</v>
      </c>
      <c r="W67" s="65">
        <f>115953600</f>
        <v>115953600</v>
      </c>
      <c r="X67" s="69">
        <f>18</f>
        <v>18</v>
      </c>
    </row>
    <row r="68" spans="1:24">
      <c r="A68" s="60" t="s">
        <v>852</v>
      </c>
      <c r="B68" s="60" t="s">
        <v>244</v>
      </c>
      <c r="C68" s="60" t="s">
        <v>245</v>
      </c>
      <c r="D68" s="60" t="s">
        <v>246</v>
      </c>
      <c r="E68" s="61" t="s">
        <v>46</v>
      </c>
      <c r="F68" s="62" t="s">
        <v>46</v>
      </c>
      <c r="G68" s="63" t="s">
        <v>46</v>
      </c>
      <c r="H68" s="64"/>
      <c r="I68" s="64" t="s">
        <v>47</v>
      </c>
      <c r="J68" s="65">
        <v>1</v>
      </c>
      <c r="K68" s="66">
        <f>1057</f>
        <v>1057</v>
      </c>
      <c r="L68" s="67" t="s">
        <v>853</v>
      </c>
      <c r="M68" s="66">
        <f>1057</f>
        <v>1057</v>
      </c>
      <c r="N68" s="67" t="s">
        <v>853</v>
      </c>
      <c r="O68" s="66">
        <f>889</f>
        <v>889</v>
      </c>
      <c r="P68" s="67" t="s">
        <v>854</v>
      </c>
      <c r="Q68" s="66">
        <f>965</f>
        <v>965</v>
      </c>
      <c r="R68" s="67" t="s">
        <v>240</v>
      </c>
      <c r="S68" s="68">
        <f>944.28</f>
        <v>944.28</v>
      </c>
      <c r="T68" s="65">
        <f>89279</f>
        <v>89279</v>
      </c>
      <c r="U68" s="65" t="str">
        <f>"－"</f>
        <v>－</v>
      </c>
      <c r="V68" s="65">
        <f>84228899</f>
        <v>84228899</v>
      </c>
      <c r="W68" s="65" t="str">
        <f>"－"</f>
        <v>－</v>
      </c>
      <c r="X68" s="69">
        <f>18</f>
        <v>18</v>
      </c>
    </row>
    <row r="69" spans="1:24">
      <c r="A69" s="60" t="s">
        <v>852</v>
      </c>
      <c r="B69" s="60" t="s">
        <v>247</v>
      </c>
      <c r="C69" s="60" t="s">
        <v>248</v>
      </c>
      <c r="D69" s="60" t="s">
        <v>249</v>
      </c>
      <c r="E69" s="61" t="s">
        <v>46</v>
      </c>
      <c r="F69" s="62" t="s">
        <v>46</v>
      </c>
      <c r="G69" s="63" t="s">
        <v>46</v>
      </c>
      <c r="H69" s="64"/>
      <c r="I69" s="64" t="s">
        <v>47</v>
      </c>
      <c r="J69" s="65">
        <v>10</v>
      </c>
      <c r="K69" s="66">
        <f>1825</f>
        <v>1825</v>
      </c>
      <c r="L69" s="67" t="s">
        <v>853</v>
      </c>
      <c r="M69" s="66">
        <f>1995</f>
        <v>1995</v>
      </c>
      <c r="N69" s="67" t="s">
        <v>854</v>
      </c>
      <c r="O69" s="66">
        <f>1824</f>
        <v>1824</v>
      </c>
      <c r="P69" s="67" t="s">
        <v>853</v>
      </c>
      <c r="Q69" s="66">
        <f>1881</f>
        <v>1881</v>
      </c>
      <c r="R69" s="67" t="s">
        <v>240</v>
      </c>
      <c r="S69" s="68">
        <f>1931.89</f>
        <v>1931.89</v>
      </c>
      <c r="T69" s="65">
        <f>1635190</f>
        <v>1635190</v>
      </c>
      <c r="U69" s="65">
        <f>1422000</f>
        <v>1422000</v>
      </c>
      <c r="V69" s="65">
        <f>3192326460</f>
        <v>3192326460</v>
      </c>
      <c r="W69" s="65">
        <f>2775596500</f>
        <v>2775596500</v>
      </c>
      <c r="X69" s="69">
        <f>18</f>
        <v>18</v>
      </c>
    </row>
    <row r="70" spans="1:24">
      <c r="A70" s="60" t="s">
        <v>852</v>
      </c>
      <c r="B70" s="60" t="s">
        <v>250</v>
      </c>
      <c r="C70" s="60" t="s">
        <v>251</v>
      </c>
      <c r="D70" s="60" t="s">
        <v>252</v>
      </c>
      <c r="E70" s="61" t="s">
        <v>46</v>
      </c>
      <c r="F70" s="62" t="s">
        <v>46</v>
      </c>
      <c r="G70" s="63" t="s">
        <v>46</v>
      </c>
      <c r="H70" s="64"/>
      <c r="I70" s="64" t="s">
        <v>47</v>
      </c>
      <c r="J70" s="65">
        <v>1</v>
      </c>
      <c r="K70" s="66">
        <f>16440</f>
        <v>16440</v>
      </c>
      <c r="L70" s="67" t="s">
        <v>853</v>
      </c>
      <c r="M70" s="66">
        <f>18020</f>
        <v>18020</v>
      </c>
      <c r="N70" s="67" t="s">
        <v>854</v>
      </c>
      <c r="O70" s="66">
        <f>16440</f>
        <v>16440</v>
      </c>
      <c r="P70" s="67" t="s">
        <v>853</v>
      </c>
      <c r="Q70" s="66">
        <f>17070</f>
        <v>17070</v>
      </c>
      <c r="R70" s="67" t="s">
        <v>240</v>
      </c>
      <c r="S70" s="68">
        <f>17423.89</f>
        <v>17423.89</v>
      </c>
      <c r="T70" s="65">
        <f>55841</f>
        <v>55841</v>
      </c>
      <c r="U70" s="65">
        <f>13306</f>
        <v>13306</v>
      </c>
      <c r="V70" s="65">
        <f>965842214</f>
        <v>965842214</v>
      </c>
      <c r="W70" s="65">
        <f>231435884</f>
        <v>231435884</v>
      </c>
      <c r="X70" s="69">
        <f>18</f>
        <v>18</v>
      </c>
    </row>
    <row r="71" spans="1:24">
      <c r="A71" s="60" t="s">
        <v>852</v>
      </c>
      <c r="B71" s="60" t="s">
        <v>253</v>
      </c>
      <c r="C71" s="60" t="s">
        <v>254</v>
      </c>
      <c r="D71" s="60" t="s">
        <v>255</v>
      </c>
      <c r="E71" s="61" t="s">
        <v>46</v>
      </c>
      <c r="F71" s="62" t="s">
        <v>46</v>
      </c>
      <c r="G71" s="63" t="s">
        <v>46</v>
      </c>
      <c r="H71" s="64"/>
      <c r="I71" s="64" t="s">
        <v>47</v>
      </c>
      <c r="J71" s="65">
        <v>1</v>
      </c>
      <c r="K71" s="66">
        <f>1850</f>
        <v>1850</v>
      </c>
      <c r="L71" s="67" t="s">
        <v>853</v>
      </c>
      <c r="M71" s="66">
        <f>2011</f>
        <v>2011</v>
      </c>
      <c r="N71" s="67" t="s">
        <v>854</v>
      </c>
      <c r="O71" s="66">
        <f>1848</f>
        <v>1848</v>
      </c>
      <c r="P71" s="67" t="s">
        <v>853</v>
      </c>
      <c r="Q71" s="66">
        <f>1876</f>
        <v>1876</v>
      </c>
      <c r="R71" s="67" t="s">
        <v>240</v>
      </c>
      <c r="S71" s="68">
        <f>1947.67</f>
        <v>1947.67</v>
      </c>
      <c r="T71" s="65">
        <f>4570969</f>
        <v>4570969</v>
      </c>
      <c r="U71" s="65">
        <f>1727521</f>
        <v>1727521</v>
      </c>
      <c r="V71" s="65">
        <f>8897366779</f>
        <v>8897366779</v>
      </c>
      <c r="W71" s="65">
        <f>3377115982</f>
        <v>3377115982</v>
      </c>
      <c r="X71" s="69">
        <f>18</f>
        <v>18</v>
      </c>
    </row>
    <row r="72" spans="1:24">
      <c r="A72" s="60" t="s">
        <v>852</v>
      </c>
      <c r="B72" s="60" t="s">
        <v>256</v>
      </c>
      <c r="C72" s="60" t="s">
        <v>257</v>
      </c>
      <c r="D72" s="60" t="s">
        <v>258</v>
      </c>
      <c r="E72" s="61" t="s">
        <v>46</v>
      </c>
      <c r="F72" s="62" t="s">
        <v>46</v>
      </c>
      <c r="G72" s="63" t="s">
        <v>46</v>
      </c>
      <c r="H72" s="64"/>
      <c r="I72" s="64" t="s">
        <v>47</v>
      </c>
      <c r="J72" s="65">
        <v>1</v>
      </c>
      <c r="K72" s="66">
        <f>1907</f>
        <v>1907</v>
      </c>
      <c r="L72" s="67" t="s">
        <v>853</v>
      </c>
      <c r="M72" s="66">
        <f>2055</f>
        <v>2055</v>
      </c>
      <c r="N72" s="67" t="s">
        <v>855</v>
      </c>
      <c r="O72" s="66">
        <f>1879</f>
        <v>1879</v>
      </c>
      <c r="P72" s="67" t="s">
        <v>857</v>
      </c>
      <c r="Q72" s="66">
        <f>2009</f>
        <v>2009</v>
      </c>
      <c r="R72" s="67" t="s">
        <v>240</v>
      </c>
      <c r="S72" s="68">
        <f>1964.83</f>
        <v>1964.83</v>
      </c>
      <c r="T72" s="65">
        <f>5958652</f>
        <v>5958652</v>
      </c>
      <c r="U72" s="65">
        <f>1696096</f>
        <v>1696096</v>
      </c>
      <c r="V72" s="65">
        <f>11604984181</f>
        <v>11604984181</v>
      </c>
      <c r="W72" s="65">
        <f>3369059330</f>
        <v>3369059330</v>
      </c>
      <c r="X72" s="69">
        <f>18</f>
        <v>18</v>
      </c>
    </row>
    <row r="73" spans="1:24">
      <c r="A73" s="60" t="s">
        <v>852</v>
      </c>
      <c r="B73" s="60" t="s">
        <v>259</v>
      </c>
      <c r="C73" s="60" t="s">
        <v>260</v>
      </c>
      <c r="D73" s="60" t="s">
        <v>261</v>
      </c>
      <c r="E73" s="61" t="s">
        <v>46</v>
      </c>
      <c r="F73" s="62" t="s">
        <v>46</v>
      </c>
      <c r="G73" s="63" t="s">
        <v>46</v>
      </c>
      <c r="H73" s="64"/>
      <c r="I73" s="64" t="s">
        <v>47</v>
      </c>
      <c r="J73" s="65">
        <v>1</v>
      </c>
      <c r="K73" s="66">
        <f>1837</f>
        <v>1837</v>
      </c>
      <c r="L73" s="67" t="s">
        <v>853</v>
      </c>
      <c r="M73" s="66">
        <f>1975</f>
        <v>1975</v>
      </c>
      <c r="N73" s="67" t="s">
        <v>176</v>
      </c>
      <c r="O73" s="66">
        <f>1803</f>
        <v>1803</v>
      </c>
      <c r="P73" s="67" t="s">
        <v>240</v>
      </c>
      <c r="Q73" s="66">
        <f>1807</f>
        <v>1807</v>
      </c>
      <c r="R73" s="67" t="s">
        <v>240</v>
      </c>
      <c r="S73" s="68">
        <f>1867.22</f>
        <v>1867.22</v>
      </c>
      <c r="T73" s="65">
        <f>17152</f>
        <v>17152</v>
      </c>
      <c r="U73" s="65">
        <f>2202</f>
        <v>2202</v>
      </c>
      <c r="V73" s="65">
        <f>31799555</f>
        <v>31799555</v>
      </c>
      <c r="W73" s="65">
        <f>3970492</f>
        <v>3970492</v>
      </c>
      <c r="X73" s="69">
        <f>18</f>
        <v>18</v>
      </c>
    </row>
    <row r="74" spans="1:24">
      <c r="A74" s="60" t="s">
        <v>852</v>
      </c>
      <c r="B74" s="60" t="s">
        <v>262</v>
      </c>
      <c r="C74" s="60" t="s">
        <v>263</v>
      </c>
      <c r="D74" s="60" t="s">
        <v>264</v>
      </c>
      <c r="E74" s="61" t="s">
        <v>46</v>
      </c>
      <c r="F74" s="62" t="s">
        <v>46</v>
      </c>
      <c r="G74" s="63" t="s">
        <v>46</v>
      </c>
      <c r="H74" s="64"/>
      <c r="I74" s="64" t="s">
        <v>47</v>
      </c>
      <c r="J74" s="65">
        <v>1</v>
      </c>
      <c r="K74" s="66">
        <f>1993</f>
        <v>1993</v>
      </c>
      <c r="L74" s="67" t="s">
        <v>853</v>
      </c>
      <c r="M74" s="66">
        <f>2118</f>
        <v>2118</v>
      </c>
      <c r="N74" s="67" t="s">
        <v>854</v>
      </c>
      <c r="O74" s="66">
        <f>1973</f>
        <v>1973</v>
      </c>
      <c r="P74" s="67" t="s">
        <v>853</v>
      </c>
      <c r="Q74" s="66">
        <f>2065</f>
        <v>2065</v>
      </c>
      <c r="R74" s="67" t="s">
        <v>240</v>
      </c>
      <c r="S74" s="68">
        <f>2064</f>
        <v>2064</v>
      </c>
      <c r="T74" s="65">
        <f>139779</f>
        <v>139779</v>
      </c>
      <c r="U74" s="65" t="str">
        <f>"－"</f>
        <v>－</v>
      </c>
      <c r="V74" s="65">
        <f>287732649</f>
        <v>287732649</v>
      </c>
      <c r="W74" s="65" t="str">
        <f>"－"</f>
        <v>－</v>
      </c>
      <c r="X74" s="69">
        <f>18</f>
        <v>18</v>
      </c>
    </row>
    <row r="75" spans="1:24">
      <c r="A75" s="60" t="s">
        <v>852</v>
      </c>
      <c r="B75" s="60" t="s">
        <v>265</v>
      </c>
      <c r="C75" s="60" t="s">
        <v>266</v>
      </c>
      <c r="D75" s="60" t="s">
        <v>267</v>
      </c>
      <c r="E75" s="61" t="s">
        <v>46</v>
      </c>
      <c r="F75" s="62" t="s">
        <v>46</v>
      </c>
      <c r="G75" s="63" t="s">
        <v>46</v>
      </c>
      <c r="H75" s="64"/>
      <c r="I75" s="64" t="s">
        <v>47</v>
      </c>
      <c r="J75" s="65">
        <v>1</v>
      </c>
      <c r="K75" s="66">
        <f>22370</f>
        <v>22370</v>
      </c>
      <c r="L75" s="67" t="s">
        <v>857</v>
      </c>
      <c r="M75" s="66">
        <f>23890</f>
        <v>23890</v>
      </c>
      <c r="N75" s="67" t="s">
        <v>854</v>
      </c>
      <c r="O75" s="66">
        <f>22370</f>
        <v>22370</v>
      </c>
      <c r="P75" s="67" t="s">
        <v>857</v>
      </c>
      <c r="Q75" s="66">
        <f>22540</f>
        <v>22540</v>
      </c>
      <c r="R75" s="67" t="s">
        <v>240</v>
      </c>
      <c r="S75" s="68">
        <f>23222</f>
        <v>23222</v>
      </c>
      <c r="T75" s="65">
        <f>80</f>
        <v>80</v>
      </c>
      <c r="U75" s="65" t="str">
        <f>"－"</f>
        <v>－</v>
      </c>
      <c r="V75" s="65">
        <f>1860470</f>
        <v>1860470</v>
      </c>
      <c r="W75" s="65" t="str">
        <f>"－"</f>
        <v>－</v>
      </c>
      <c r="X75" s="69">
        <f>10</f>
        <v>10</v>
      </c>
    </row>
    <row r="76" spans="1:24">
      <c r="A76" s="60" t="s">
        <v>852</v>
      </c>
      <c r="B76" s="60" t="s">
        <v>269</v>
      </c>
      <c r="C76" s="60" t="s">
        <v>270</v>
      </c>
      <c r="D76" s="60" t="s">
        <v>271</v>
      </c>
      <c r="E76" s="61" t="s">
        <v>46</v>
      </c>
      <c r="F76" s="62" t="s">
        <v>46</v>
      </c>
      <c r="G76" s="63" t="s">
        <v>46</v>
      </c>
      <c r="H76" s="64"/>
      <c r="I76" s="64" t="s">
        <v>47</v>
      </c>
      <c r="J76" s="65">
        <v>1</v>
      </c>
      <c r="K76" s="66">
        <f>18750</f>
        <v>18750</v>
      </c>
      <c r="L76" s="67" t="s">
        <v>857</v>
      </c>
      <c r="M76" s="66">
        <f>19900</f>
        <v>19900</v>
      </c>
      <c r="N76" s="67" t="s">
        <v>854</v>
      </c>
      <c r="O76" s="66">
        <f>18680</f>
        <v>18680</v>
      </c>
      <c r="P76" s="67" t="s">
        <v>857</v>
      </c>
      <c r="Q76" s="66">
        <f>18720</f>
        <v>18720</v>
      </c>
      <c r="R76" s="67" t="s">
        <v>240</v>
      </c>
      <c r="S76" s="68">
        <f>19295.71</f>
        <v>19295.71</v>
      </c>
      <c r="T76" s="65">
        <f>673</f>
        <v>673</v>
      </c>
      <c r="U76" s="65" t="str">
        <f>"－"</f>
        <v>－</v>
      </c>
      <c r="V76" s="65">
        <f>12827310</f>
        <v>12827310</v>
      </c>
      <c r="W76" s="65" t="str">
        <f>"－"</f>
        <v>－</v>
      </c>
      <c r="X76" s="69">
        <f>14</f>
        <v>14</v>
      </c>
    </row>
    <row r="77" spans="1:24">
      <c r="A77" s="60" t="s">
        <v>852</v>
      </c>
      <c r="B77" s="60" t="s">
        <v>272</v>
      </c>
      <c r="C77" s="60" t="s">
        <v>273</v>
      </c>
      <c r="D77" s="60" t="s">
        <v>274</v>
      </c>
      <c r="E77" s="61" t="s">
        <v>46</v>
      </c>
      <c r="F77" s="62" t="s">
        <v>46</v>
      </c>
      <c r="G77" s="63" t="s">
        <v>46</v>
      </c>
      <c r="H77" s="64"/>
      <c r="I77" s="64" t="s">
        <v>47</v>
      </c>
      <c r="J77" s="65">
        <v>1</v>
      </c>
      <c r="K77" s="66">
        <f>1811</f>
        <v>1811</v>
      </c>
      <c r="L77" s="67" t="s">
        <v>853</v>
      </c>
      <c r="M77" s="66">
        <f>1943</f>
        <v>1943</v>
      </c>
      <c r="N77" s="67" t="s">
        <v>856</v>
      </c>
      <c r="O77" s="66">
        <f>1811</f>
        <v>1811</v>
      </c>
      <c r="P77" s="67" t="s">
        <v>853</v>
      </c>
      <c r="Q77" s="66">
        <f>1825</f>
        <v>1825</v>
      </c>
      <c r="R77" s="67" t="s">
        <v>240</v>
      </c>
      <c r="S77" s="68">
        <f>1871.76</f>
        <v>1871.76</v>
      </c>
      <c r="T77" s="65">
        <f>11283</f>
        <v>11283</v>
      </c>
      <c r="U77" s="65" t="str">
        <f>"－"</f>
        <v>－</v>
      </c>
      <c r="V77" s="65">
        <f>21242597</f>
        <v>21242597</v>
      </c>
      <c r="W77" s="65" t="str">
        <f>"－"</f>
        <v>－</v>
      </c>
      <c r="X77" s="69">
        <f>17</f>
        <v>17</v>
      </c>
    </row>
    <row r="78" spans="1:24">
      <c r="A78" s="60" t="s">
        <v>852</v>
      </c>
      <c r="B78" s="60" t="s">
        <v>275</v>
      </c>
      <c r="C78" s="60" t="s">
        <v>276</v>
      </c>
      <c r="D78" s="60" t="s">
        <v>277</v>
      </c>
      <c r="E78" s="61" t="s">
        <v>46</v>
      </c>
      <c r="F78" s="62" t="s">
        <v>46</v>
      </c>
      <c r="G78" s="63" t="s">
        <v>46</v>
      </c>
      <c r="H78" s="64"/>
      <c r="I78" s="64" t="s">
        <v>47</v>
      </c>
      <c r="J78" s="65">
        <v>1</v>
      </c>
      <c r="K78" s="66">
        <f>2434</f>
        <v>2434</v>
      </c>
      <c r="L78" s="67" t="s">
        <v>853</v>
      </c>
      <c r="M78" s="66">
        <f>2434</f>
        <v>2434</v>
      </c>
      <c r="N78" s="67" t="s">
        <v>853</v>
      </c>
      <c r="O78" s="66">
        <f>2344</f>
        <v>2344</v>
      </c>
      <c r="P78" s="67" t="s">
        <v>240</v>
      </c>
      <c r="Q78" s="66">
        <f>2357</f>
        <v>2357</v>
      </c>
      <c r="R78" s="67" t="s">
        <v>240</v>
      </c>
      <c r="S78" s="68">
        <f>2406.44</f>
        <v>2406.44</v>
      </c>
      <c r="T78" s="65">
        <f>2352381</f>
        <v>2352381</v>
      </c>
      <c r="U78" s="65">
        <f>953000</f>
        <v>953000</v>
      </c>
      <c r="V78" s="65">
        <f>5607757529</f>
        <v>5607757529</v>
      </c>
      <c r="W78" s="65">
        <f>2255160500</f>
        <v>2255160500</v>
      </c>
      <c r="X78" s="69">
        <f>18</f>
        <v>18</v>
      </c>
    </row>
    <row r="79" spans="1:24">
      <c r="A79" s="60" t="s">
        <v>852</v>
      </c>
      <c r="B79" s="60" t="s">
        <v>278</v>
      </c>
      <c r="C79" s="60" t="s">
        <v>279</v>
      </c>
      <c r="D79" s="60" t="s">
        <v>280</v>
      </c>
      <c r="E79" s="61" t="s">
        <v>46</v>
      </c>
      <c r="F79" s="62" t="s">
        <v>46</v>
      </c>
      <c r="G79" s="63" t="s">
        <v>46</v>
      </c>
      <c r="H79" s="64"/>
      <c r="I79" s="64" t="s">
        <v>47</v>
      </c>
      <c r="J79" s="65">
        <v>1</v>
      </c>
      <c r="K79" s="66">
        <f>1798</f>
        <v>1798</v>
      </c>
      <c r="L79" s="67" t="s">
        <v>853</v>
      </c>
      <c r="M79" s="66">
        <f>1919</f>
        <v>1919</v>
      </c>
      <c r="N79" s="67" t="s">
        <v>855</v>
      </c>
      <c r="O79" s="66">
        <f>1770</f>
        <v>1770</v>
      </c>
      <c r="P79" s="67" t="s">
        <v>857</v>
      </c>
      <c r="Q79" s="66">
        <f>1801</f>
        <v>1801</v>
      </c>
      <c r="R79" s="67" t="s">
        <v>240</v>
      </c>
      <c r="S79" s="68">
        <f>1850.56</f>
        <v>1850.56</v>
      </c>
      <c r="T79" s="65">
        <f>2908</f>
        <v>2908</v>
      </c>
      <c r="U79" s="65" t="str">
        <f>"－"</f>
        <v>－</v>
      </c>
      <c r="V79" s="65">
        <f>5450960</f>
        <v>5450960</v>
      </c>
      <c r="W79" s="65" t="str">
        <f>"－"</f>
        <v>－</v>
      </c>
      <c r="X79" s="69">
        <f>18</f>
        <v>18</v>
      </c>
    </row>
    <row r="80" spans="1:24">
      <c r="A80" s="60" t="s">
        <v>852</v>
      </c>
      <c r="B80" s="60" t="s">
        <v>281</v>
      </c>
      <c r="C80" s="60" t="s">
        <v>282</v>
      </c>
      <c r="D80" s="60" t="s">
        <v>283</v>
      </c>
      <c r="E80" s="61" t="s">
        <v>46</v>
      </c>
      <c r="F80" s="62" t="s">
        <v>46</v>
      </c>
      <c r="G80" s="63" t="s">
        <v>46</v>
      </c>
      <c r="H80" s="64"/>
      <c r="I80" s="64" t="s">
        <v>47</v>
      </c>
      <c r="J80" s="65">
        <v>10</v>
      </c>
      <c r="K80" s="66">
        <f>1790</f>
        <v>1790</v>
      </c>
      <c r="L80" s="67" t="s">
        <v>853</v>
      </c>
      <c r="M80" s="66">
        <f>1912</f>
        <v>1912</v>
      </c>
      <c r="N80" s="67" t="s">
        <v>854</v>
      </c>
      <c r="O80" s="66">
        <f>1790</f>
        <v>1790</v>
      </c>
      <c r="P80" s="67" t="s">
        <v>853</v>
      </c>
      <c r="Q80" s="66">
        <f>1801</f>
        <v>1801</v>
      </c>
      <c r="R80" s="67" t="s">
        <v>240</v>
      </c>
      <c r="S80" s="68">
        <f>1851.44</f>
        <v>1851.44</v>
      </c>
      <c r="T80" s="65">
        <f>40490</f>
        <v>40490</v>
      </c>
      <c r="U80" s="65">
        <f>32000</f>
        <v>32000</v>
      </c>
      <c r="V80" s="65">
        <f>75465781</f>
        <v>75465781</v>
      </c>
      <c r="W80" s="65">
        <f>59818291</f>
        <v>59818291</v>
      </c>
      <c r="X80" s="69">
        <f>18</f>
        <v>18</v>
      </c>
    </row>
    <row r="81" spans="1:24">
      <c r="A81" s="60" t="s">
        <v>852</v>
      </c>
      <c r="B81" s="60" t="s">
        <v>284</v>
      </c>
      <c r="C81" s="60" t="s">
        <v>285</v>
      </c>
      <c r="D81" s="60" t="s">
        <v>286</v>
      </c>
      <c r="E81" s="61" t="s">
        <v>46</v>
      </c>
      <c r="F81" s="62" t="s">
        <v>46</v>
      </c>
      <c r="G81" s="63" t="s">
        <v>46</v>
      </c>
      <c r="H81" s="64"/>
      <c r="I81" s="64" t="s">
        <v>47</v>
      </c>
      <c r="J81" s="65">
        <v>1</v>
      </c>
      <c r="K81" s="66">
        <f>29600</f>
        <v>29600</v>
      </c>
      <c r="L81" s="67" t="s">
        <v>853</v>
      </c>
      <c r="M81" s="66">
        <f>31200</f>
        <v>31200</v>
      </c>
      <c r="N81" s="67" t="s">
        <v>132</v>
      </c>
      <c r="O81" s="66">
        <f>29530</f>
        <v>29530</v>
      </c>
      <c r="P81" s="67" t="s">
        <v>853</v>
      </c>
      <c r="Q81" s="66">
        <f>30000</f>
        <v>30000</v>
      </c>
      <c r="R81" s="67" t="s">
        <v>240</v>
      </c>
      <c r="S81" s="68">
        <f>30252.14</f>
        <v>30252.14</v>
      </c>
      <c r="T81" s="65">
        <f>45</f>
        <v>45</v>
      </c>
      <c r="U81" s="65" t="str">
        <f>"－"</f>
        <v>－</v>
      </c>
      <c r="V81" s="65">
        <f>1357030</f>
        <v>1357030</v>
      </c>
      <c r="W81" s="65" t="str">
        <f>"－"</f>
        <v>－</v>
      </c>
      <c r="X81" s="69">
        <f>14</f>
        <v>14</v>
      </c>
    </row>
    <row r="82" spans="1:24">
      <c r="A82" s="60" t="s">
        <v>852</v>
      </c>
      <c r="B82" s="60" t="s">
        <v>287</v>
      </c>
      <c r="C82" s="60" t="s">
        <v>288</v>
      </c>
      <c r="D82" s="60" t="s">
        <v>289</v>
      </c>
      <c r="E82" s="61" t="s">
        <v>46</v>
      </c>
      <c r="F82" s="62" t="s">
        <v>46</v>
      </c>
      <c r="G82" s="63" t="s">
        <v>46</v>
      </c>
      <c r="H82" s="64"/>
      <c r="I82" s="64" t="s">
        <v>47</v>
      </c>
      <c r="J82" s="65">
        <v>1</v>
      </c>
      <c r="K82" s="66">
        <f>21000</f>
        <v>21000</v>
      </c>
      <c r="L82" s="67" t="s">
        <v>853</v>
      </c>
      <c r="M82" s="66">
        <f>21110</f>
        <v>21110</v>
      </c>
      <c r="N82" s="67" t="s">
        <v>84</v>
      </c>
      <c r="O82" s="66">
        <f>20600</f>
        <v>20600</v>
      </c>
      <c r="P82" s="67" t="s">
        <v>240</v>
      </c>
      <c r="Q82" s="66">
        <f>20640</f>
        <v>20640</v>
      </c>
      <c r="R82" s="67" t="s">
        <v>240</v>
      </c>
      <c r="S82" s="68">
        <f>20912.78</f>
        <v>20912.78</v>
      </c>
      <c r="T82" s="65">
        <f>53432</f>
        <v>53432</v>
      </c>
      <c r="U82" s="65">
        <f>34000</f>
        <v>34000</v>
      </c>
      <c r="V82" s="65">
        <f>1117264200</f>
        <v>1117264200</v>
      </c>
      <c r="W82" s="65">
        <f>712264450</f>
        <v>712264450</v>
      </c>
      <c r="X82" s="69">
        <f>18</f>
        <v>18</v>
      </c>
    </row>
    <row r="83" spans="1:24">
      <c r="A83" s="60" t="s">
        <v>852</v>
      </c>
      <c r="B83" s="60" t="s">
        <v>290</v>
      </c>
      <c r="C83" s="60" t="s">
        <v>291</v>
      </c>
      <c r="D83" s="60" t="s">
        <v>292</v>
      </c>
      <c r="E83" s="61" t="s">
        <v>46</v>
      </c>
      <c r="F83" s="62" t="s">
        <v>46</v>
      </c>
      <c r="G83" s="63" t="s">
        <v>46</v>
      </c>
      <c r="H83" s="64"/>
      <c r="I83" s="64" t="s">
        <v>47</v>
      </c>
      <c r="J83" s="65">
        <v>1</v>
      </c>
      <c r="K83" s="66">
        <f>19000</f>
        <v>19000</v>
      </c>
      <c r="L83" s="67" t="s">
        <v>853</v>
      </c>
      <c r="M83" s="66">
        <f>19000</f>
        <v>19000</v>
      </c>
      <c r="N83" s="67" t="s">
        <v>853</v>
      </c>
      <c r="O83" s="66">
        <f>18340</f>
        <v>18340</v>
      </c>
      <c r="P83" s="67" t="s">
        <v>240</v>
      </c>
      <c r="Q83" s="66">
        <f>18400</f>
        <v>18400</v>
      </c>
      <c r="R83" s="67" t="s">
        <v>240</v>
      </c>
      <c r="S83" s="68">
        <f>18788.24</f>
        <v>18788.240000000002</v>
      </c>
      <c r="T83" s="65">
        <f>196238</f>
        <v>196238</v>
      </c>
      <c r="U83" s="65">
        <f>83000</f>
        <v>83000</v>
      </c>
      <c r="V83" s="65">
        <f>3676764335</f>
        <v>3676764335</v>
      </c>
      <c r="W83" s="65">
        <f>1551606985</f>
        <v>1551606985</v>
      </c>
      <c r="X83" s="69">
        <f>17</f>
        <v>17</v>
      </c>
    </row>
    <row r="84" spans="1:24">
      <c r="A84" s="60" t="s">
        <v>852</v>
      </c>
      <c r="B84" s="60" t="s">
        <v>293</v>
      </c>
      <c r="C84" s="60" t="s">
        <v>294</v>
      </c>
      <c r="D84" s="60" t="s">
        <v>295</v>
      </c>
      <c r="E84" s="61" t="s">
        <v>46</v>
      </c>
      <c r="F84" s="62" t="s">
        <v>46</v>
      </c>
      <c r="G84" s="63" t="s">
        <v>46</v>
      </c>
      <c r="H84" s="64"/>
      <c r="I84" s="64" t="s">
        <v>47</v>
      </c>
      <c r="J84" s="65">
        <v>10</v>
      </c>
      <c r="K84" s="66">
        <f>1903</f>
        <v>1903</v>
      </c>
      <c r="L84" s="67" t="s">
        <v>853</v>
      </c>
      <c r="M84" s="66">
        <f>2109</f>
        <v>2109</v>
      </c>
      <c r="N84" s="67" t="s">
        <v>176</v>
      </c>
      <c r="O84" s="66">
        <f>1876</f>
        <v>1876</v>
      </c>
      <c r="P84" s="67" t="s">
        <v>858</v>
      </c>
      <c r="Q84" s="66">
        <f>2012</f>
        <v>2012</v>
      </c>
      <c r="R84" s="67" t="s">
        <v>240</v>
      </c>
      <c r="S84" s="68">
        <f>1970.94</f>
        <v>1970.94</v>
      </c>
      <c r="T84" s="65">
        <f>1475360</f>
        <v>1475360</v>
      </c>
      <c r="U84" s="65">
        <f>350000</f>
        <v>350000</v>
      </c>
      <c r="V84" s="65">
        <f>2953946000</f>
        <v>2953946000</v>
      </c>
      <c r="W84" s="65">
        <f>714822600</f>
        <v>714822600</v>
      </c>
      <c r="X84" s="69">
        <f>18</f>
        <v>18</v>
      </c>
    </row>
    <row r="85" spans="1:24">
      <c r="A85" s="60" t="s">
        <v>852</v>
      </c>
      <c r="B85" s="60" t="s">
        <v>296</v>
      </c>
      <c r="C85" s="60" t="s">
        <v>297</v>
      </c>
      <c r="D85" s="60" t="s">
        <v>298</v>
      </c>
      <c r="E85" s="61" t="s">
        <v>46</v>
      </c>
      <c r="F85" s="62" t="s">
        <v>46</v>
      </c>
      <c r="G85" s="63" t="s">
        <v>46</v>
      </c>
      <c r="H85" s="64"/>
      <c r="I85" s="64" t="s">
        <v>47</v>
      </c>
      <c r="J85" s="65">
        <v>1</v>
      </c>
      <c r="K85" s="66">
        <f>31000</f>
        <v>31000</v>
      </c>
      <c r="L85" s="67" t="s">
        <v>853</v>
      </c>
      <c r="M85" s="66">
        <f>34200</f>
        <v>34200</v>
      </c>
      <c r="N85" s="67" t="s">
        <v>100</v>
      </c>
      <c r="O85" s="66">
        <f>31000</f>
        <v>31000</v>
      </c>
      <c r="P85" s="67" t="s">
        <v>853</v>
      </c>
      <c r="Q85" s="66">
        <f>33100</f>
        <v>33100</v>
      </c>
      <c r="R85" s="67" t="s">
        <v>240</v>
      </c>
      <c r="S85" s="68">
        <f>32947.22</f>
        <v>32947.22</v>
      </c>
      <c r="T85" s="65">
        <f>24009</f>
        <v>24009</v>
      </c>
      <c r="U85" s="65" t="str">
        <f>"－"</f>
        <v>－</v>
      </c>
      <c r="V85" s="65">
        <f>797364200</f>
        <v>797364200</v>
      </c>
      <c r="W85" s="65" t="str">
        <f>"－"</f>
        <v>－</v>
      </c>
      <c r="X85" s="69">
        <f>18</f>
        <v>18</v>
      </c>
    </row>
    <row r="86" spans="1:24">
      <c r="A86" s="60" t="s">
        <v>852</v>
      </c>
      <c r="B86" s="60" t="s">
        <v>299</v>
      </c>
      <c r="C86" s="60" t="s">
        <v>300</v>
      </c>
      <c r="D86" s="60" t="s">
        <v>301</v>
      </c>
      <c r="E86" s="61" t="s">
        <v>46</v>
      </c>
      <c r="F86" s="62" t="s">
        <v>46</v>
      </c>
      <c r="G86" s="63" t="s">
        <v>46</v>
      </c>
      <c r="H86" s="64"/>
      <c r="I86" s="64" t="s">
        <v>47</v>
      </c>
      <c r="J86" s="65">
        <v>10</v>
      </c>
      <c r="K86" s="66">
        <f>7730</f>
        <v>7730</v>
      </c>
      <c r="L86" s="67" t="s">
        <v>96</v>
      </c>
      <c r="M86" s="66">
        <f>7730</f>
        <v>7730</v>
      </c>
      <c r="N86" s="67" t="s">
        <v>96</v>
      </c>
      <c r="O86" s="66">
        <f>7610</f>
        <v>7610</v>
      </c>
      <c r="P86" s="67" t="s">
        <v>854</v>
      </c>
      <c r="Q86" s="66">
        <f>7660</f>
        <v>7660</v>
      </c>
      <c r="R86" s="67" t="s">
        <v>613</v>
      </c>
      <c r="S86" s="68">
        <f>7692</f>
        <v>7692</v>
      </c>
      <c r="T86" s="65">
        <f>160</f>
        <v>160</v>
      </c>
      <c r="U86" s="65" t="str">
        <f>"－"</f>
        <v>－</v>
      </c>
      <c r="V86" s="65">
        <f>1229200</f>
        <v>1229200</v>
      </c>
      <c r="W86" s="65" t="str">
        <f>"－"</f>
        <v>－</v>
      </c>
      <c r="X86" s="69">
        <f>5</f>
        <v>5</v>
      </c>
    </row>
    <row r="87" spans="1:24">
      <c r="A87" s="60" t="s">
        <v>852</v>
      </c>
      <c r="B87" s="60" t="s">
        <v>302</v>
      </c>
      <c r="C87" s="60" t="s">
        <v>303</v>
      </c>
      <c r="D87" s="60" t="s">
        <v>304</v>
      </c>
      <c r="E87" s="61" t="s">
        <v>46</v>
      </c>
      <c r="F87" s="62" t="s">
        <v>46</v>
      </c>
      <c r="G87" s="63" t="s">
        <v>46</v>
      </c>
      <c r="H87" s="64"/>
      <c r="I87" s="64" t="s">
        <v>47</v>
      </c>
      <c r="J87" s="65">
        <v>1</v>
      </c>
      <c r="K87" s="66">
        <f>14900</f>
        <v>14900</v>
      </c>
      <c r="L87" s="67" t="s">
        <v>853</v>
      </c>
      <c r="M87" s="66">
        <f>15810</f>
        <v>15810</v>
      </c>
      <c r="N87" s="67" t="s">
        <v>69</v>
      </c>
      <c r="O87" s="66">
        <f>14900</f>
        <v>14900</v>
      </c>
      <c r="P87" s="67" t="s">
        <v>853</v>
      </c>
      <c r="Q87" s="66">
        <f>15310</f>
        <v>15310</v>
      </c>
      <c r="R87" s="67" t="s">
        <v>240</v>
      </c>
      <c r="S87" s="68">
        <f>15520</f>
        <v>15520</v>
      </c>
      <c r="T87" s="65">
        <f>971</f>
        <v>971</v>
      </c>
      <c r="U87" s="65">
        <f>3</f>
        <v>3</v>
      </c>
      <c r="V87" s="65">
        <f>15037730</f>
        <v>15037730</v>
      </c>
      <c r="W87" s="65">
        <f>46290</f>
        <v>46290</v>
      </c>
      <c r="X87" s="69">
        <f>17</f>
        <v>17</v>
      </c>
    </row>
    <row r="88" spans="1:24">
      <c r="A88" s="60" t="s">
        <v>852</v>
      </c>
      <c r="B88" s="60" t="s">
        <v>305</v>
      </c>
      <c r="C88" s="60" t="s">
        <v>306</v>
      </c>
      <c r="D88" s="60" t="s">
        <v>307</v>
      </c>
      <c r="E88" s="61" t="s">
        <v>46</v>
      </c>
      <c r="F88" s="62" t="s">
        <v>46</v>
      </c>
      <c r="G88" s="63" t="s">
        <v>46</v>
      </c>
      <c r="H88" s="64"/>
      <c r="I88" s="64" t="s">
        <v>47</v>
      </c>
      <c r="J88" s="65">
        <v>1</v>
      </c>
      <c r="K88" s="66">
        <f>15050</f>
        <v>15050</v>
      </c>
      <c r="L88" s="67" t="s">
        <v>853</v>
      </c>
      <c r="M88" s="66">
        <f>15890</f>
        <v>15890</v>
      </c>
      <c r="N88" s="67" t="s">
        <v>854</v>
      </c>
      <c r="O88" s="66">
        <f>15050</f>
        <v>15050</v>
      </c>
      <c r="P88" s="67" t="s">
        <v>853</v>
      </c>
      <c r="Q88" s="66">
        <f>15230</f>
        <v>15230</v>
      </c>
      <c r="R88" s="67" t="s">
        <v>240</v>
      </c>
      <c r="S88" s="68">
        <f>15616.67</f>
        <v>15616.67</v>
      </c>
      <c r="T88" s="65">
        <f>995</f>
        <v>995</v>
      </c>
      <c r="U88" s="65" t="str">
        <f>"－"</f>
        <v>－</v>
      </c>
      <c r="V88" s="65">
        <f>15561160</f>
        <v>15561160</v>
      </c>
      <c r="W88" s="65" t="str">
        <f>"－"</f>
        <v>－</v>
      </c>
      <c r="X88" s="69">
        <f>18</f>
        <v>18</v>
      </c>
    </row>
    <row r="89" spans="1:24">
      <c r="A89" s="60" t="s">
        <v>852</v>
      </c>
      <c r="B89" s="60" t="s">
        <v>308</v>
      </c>
      <c r="C89" s="60" t="s">
        <v>309</v>
      </c>
      <c r="D89" s="60" t="s">
        <v>310</v>
      </c>
      <c r="E89" s="61" t="s">
        <v>46</v>
      </c>
      <c r="F89" s="62" t="s">
        <v>46</v>
      </c>
      <c r="G89" s="63" t="s">
        <v>46</v>
      </c>
      <c r="H89" s="64"/>
      <c r="I89" s="64" t="s">
        <v>47</v>
      </c>
      <c r="J89" s="65">
        <v>1</v>
      </c>
      <c r="K89" s="66">
        <f>18000</f>
        <v>18000</v>
      </c>
      <c r="L89" s="67" t="s">
        <v>853</v>
      </c>
      <c r="M89" s="66">
        <f>19320</f>
        <v>19320</v>
      </c>
      <c r="N89" s="67" t="s">
        <v>855</v>
      </c>
      <c r="O89" s="66">
        <f>17800</f>
        <v>17800</v>
      </c>
      <c r="P89" s="67" t="s">
        <v>853</v>
      </c>
      <c r="Q89" s="66">
        <f>18680</f>
        <v>18680</v>
      </c>
      <c r="R89" s="67" t="s">
        <v>240</v>
      </c>
      <c r="S89" s="68">
        <f>18712.78</f>
        <v>18712.78</v>
      </c>
      <c r="T89" s="65">
        <f>3327</f>
        <v>3327</v>
      </c>
      <c r="U89" s="65" t="str">
        <f>"－"</f>
        <v>－</v>
      </c>
      <c r="V89" s="65">
        <f>63126060</f>
        <v>63126060</v>
      </c>
      <c r="W89" s="65" t="str">
        <f>"－"</f>
        <v>－</v>
      </c>
      <c r="X89" s="69">
        <f>18</f>
        <v>18</v>
      </c>
    </row>
    <row r="90" spans="1:24">
      <c r="A90" s="60" t="s">
        <v>852</v>
      </c>
      <c r="B90" s="60" t="s">
        <v>311</v>
      </c>
      <c r="C90" s="60" t="s">
        <v>312</v>
      </c>
      <c r="D90" s="60" t="s">
        <v>313</v>
      </c>
      <c r="E90" s="61" t="s">
        <v>46</v>
      </c>
      <c r="F90" s="62" t="s">
        <v>46</v>
      </c>
      <c r="G90" s="63" t="s">
        <v>46</v>
      </c>
      <c r="H90" s="64"/>
      <c r="I90" s="64" t="s">
        <v>47</v>
      </c>
      <c r="J90" s="65">
        <v>10</v>
      </c>
      <c r="K90" s="66">
        <f>10250</f>
        <v>10250</v>
      </c>
      <c r="L90" s="67" t="s">
        <v>853</v>
      </c>
      <c r="M90" s="66">
        <f>10250</f>
        <v>10250</v>
      </c>
      <c r="N90" s="67" t="s">
        <v>853</v>
      </c>
      <c r="O90" s="66">
        <f>9840</f>
        <v>9840</v>
      </c>
      <c r="P90" s="67" t="s">
        <v>240</v>
      </c>
      <c r="Q90" s="66">
        <f>9910</f>
        <v>9910</v>
      </c>
      <c r="R90" s="67" t="s">
        <v>240</v>
      </c>
      <c r="S90" s="68">
        <f>10008.89</f>
        <v>10008.89</v>
      </c>
      <c r="T90" s="65">
        <f>33340</f>
        <v>33340</v>
      </c>
      <c r="U90" s="65">
        <f>20</f>
        <v>20</v>
      </c>
      <c r="V90" s="65">
        <f>332821400</f>
        <v>332821400</v>
      </c>
      <c r="W90" s="65">
        <f>198400</f>
        <v>198400</v>
      </c>
      <c r="X90" s="69">
        <f>18</f>
        <v>18</v>
      </c>
    </row>
    <row r="91" spans="1:24">
      <c r="A91" s="60" t="s">
        <v>852</v>
      </c>
      <c r="B91" s="60" t="s">
        <v>314</v>
      </c>
      <c r="C91" s="60" t="s">
        <v>315</v>
      </c>
      <c r="D91" s="60" t="s">
        <v>316</v>
      </c>
      <c r="E91" s="61" t="s">
        <v>46</v>
      </c>
      <c r="F91" s="62" t="s">
        <v>46</v>
      </c>
      <c r="G91" s="63" t="s">
        <v>46</v>
      </c>
      <c r="H91" s="64"/>
      <c r="I91" s="64" t="s">
        <v>47</v>
      </c>
      <c r="J91" s="65">
        <v>1</v>
      </c>
      <c r="K91" s="66">
        <f>2633</f>
        <v>2633</v>
      </c>
      <c r="L91" s="67" t="s">
        <v>853</v>
      </c>
      <c r="M91" s="66">
        <f>2637</f>
        <v>2637</v>
      </c>
      <c r="N91" s="67" t="s">
        <v>857</v>
      </c>
      <c r="O91" s="66">
        <f>2528</f>
        <v>2528</v>
      </c>
      <c r="P91" s="67" t="s">
        <v>240</v>
      </c>
      <c r="Q91" s="66">
        <f>2543</f>
        <v>2543</v>
      </c>
      <c r="R91" s="67" t="s">
        <v>240</v>
      </c>
      <c r="S91" s="68">
        <f>2608.33</f>
        <v>2608.33</v>
      </c>
      <c r="T91" s="65">
        <f>204664</f>
        <v>204664</v>
      </c>
      <c r="U91" s="65">
        <f>100965</f>
        <v>100965</v>
      </c>
      <c r="V91" s="65">
        <f>536216992</f>
        <v>536216992</v>
      </c>
      <c r="W91" s="65">
        <f>265638969</f>
        <v>265638969</v>
      </c>
      <c r="X91" s="69">
        <f>18</f>
        <v>18</v>
      </c>
    </row>
    <row r="92" spans="1:24">
      <c r="A92" s="60" t="s">
        <v>852</v>
      </c>
      <c r="B92" s="60" t="s">
        <v>317</v>
      </c>
      <c r="C92" s="60" t="s">
        <v>318</v>
      </c>
      <c r="D92" s="60" t="s">
        <v>319</v>
      </c>
      <c r="E92" s="61" t="s">
        <v>46</v>
      </c>
      <c r="F92" s="62" t="s">
        <v>46</v>
      </c>
      <c r="G92" s="63" t="s">
        <v>46</v>
      </c>
      <c r="H92" s="64"/>
      <c r="I92" s="64" t="s">
        <v>47</v>
      </c>
      <c r="J92" s="65">
        <v>1</v>
      </c>
      <c r="K92" s="66">
        <f>2346</f>
        <v>2346</v>
      </c>
      <c r="L92" s="67" t="s">
        <v>853</v>
      </c>
      <c r="M92" s="66">
        <f>2381</f>
        <v>2381</v>
      </c>
      <c r="N92" s="67" t="s">
        <v>854</v>
      </c>
      <c r="O92" s="66">
        <f>2340</f>
        <v>2340</v>
      </c>
      <c r="P92" s="67" t="s">
        <v>240</v>
      </c>
      <c r="Q92" s="66">
        <f>2347</f>
        <v>2347</v>
      </c>
      <c r="R92" s="67" t="s">
        <v>240</v>
      </c>
      <c r="S92" s="68">
        <f>2367.83</f>
        <v>2367.83</v>
      </c>
      <c r="T92" s="65">
        <f>134562</f>
        <v>134562</v>
      </c>
      <c r="U92" s="65" t="str">
        <f>"－"</f>
        <v>－</v>
      </c>
      <c r="V92" s="65">
        <f>318433358</f>
        <v>318433358</v>
      </c>
      <c r="W92" s="65" t="str">
        <f>"－"</f>
        <v>－</v>
      </c>
      <c r="X92" s="69">
        <f>18</f>
        <v>18</v>
      </c>
    </row>
    <row r="93" spans="1:24">
      <c r="A93" s="60" t="s">
        <v>852</v>
      </c>
      <c r="B93" s="60" t="s">
        <v>320</v>
      </c>
      <c r="C93" s="60" t="s">
        <v>321</v>
      </c>
      <c r="D93" s="60" t="s">
        <v>322</v>
      </c>
      <c r="E93" s="61" t="s">
        <v>46</v>
      </c>
      <c r="F93" s="62" t="s">
        <v>46</v>
      </c>
      <c r="G93" s="63" t="s">
        <v>46</v>
      </c>
      <c r="H93" s="64"/>
      <c r="I93" s="64" t="s">
        <v>47</v>
      </c>
      <c r="J93" s="65">
        <v>1</v>
      </c>
      <c r="K93" s="66">
        <f>13330</f>
        <v>13330</v>
      </c>
      <c r="L93" s="67" t="s">
        <v>853</v>
      </c>
      <c r="M93" s="66">
        <f>14900</f>
        <v>14900</v>
      </c>
      <c r="N93" s="67" t="s">
        <v>856</v>
      </c>
      <c r="O93" s="66">
        <f>13330</f>
        <v>13330</v>
      </c>
      <c r="P93" s="67" t="s">
        <v>853</v>
      </c>
      <c r="Q93" s="66">
        <f>14070</f>
        <v>14070</v>
      </c>
      <c r="R93" s="67" t="s">
        <v>240</v>
      </c>
      <c r="S93" s="68">
        <f>14296.67</f>
        <v>14296.67</v>
      </c>
      <c r="T93" s="65">
        <f>24443</f>
        <v>24443</v>
      </c>
      <c r="U93" s="65">
        <f>3000</f>
        <v>3000</v>
      </c>
      <c r="V93" s="65">
        <f>351791640</f>
        <v>351791640</v>
      </c>
      <c r="W93" s="65">
        <f>43401990</f>
        <v>43401990</v>
      </c>
      <c r="X93" s="69">
        <f>18</f>
        <v>18</v>
      </c>
    </row>
    <row r="94" spans="1:24">
      <c r="A94" s="60" t="s">
        <v>852</v>
      </c>
      <c r="B94" s="60" t="s">
        <v>323</v>
      </c>
      <c r="C94" s="60" t="s">
        <v>324</v>
      </c>
      <c r="D94" s="60" t="s">
        <v>325</v>
      </c>
      <c r="E94" s="61" t="s">
        <v>46</v>
      </c>
      <c r="F94" s="62" t="s">
        <v>46</v>
      </c>
      <c r="G94" s="63" t="s">
        <v>46</v>
      </c>
      <c r="H94" s="64"/>
      <c r="I94" s="64" t="s">
        <v>47</v>
      </c>
      <c r="J94" s="65">
        <v>1</v>
      </c>
      <c r="K94" s="66">
        <f>7980</f>
        <v>7980</v>
      </c>
      <c r="L94" s="67" t="s">
        <v>853</v>
      </c>
      <c r="M94" s="66">
        <f>8500</f>
        <v>8500</v>
      </c>
      <c r="N94" s="67" t="s">
        <v>84</v>
      </c>
      <c r="O94" s="66">
        <f>7610</f>
        <v>7610</v>
      </c>
      <c r="P94" s="67" t="s">
        <v>176</v>
      </c>
      <c r="Q94" s="66">
        <f>7900</f>
        <v>7900</v>
      </c>
      <c r="R94" s="67" t="s">
        <v>240</v>
      </c>
      <c r="S94" s="68">
        <f>7907.78</f>
        <v>7907.78</v>
      </c>
      <c r="T94" s="65">
        <f>6006</f>
        <v>6006</v>
      </c>
      <c r="U94" s="65">
        <f>1</f>
        <v>1</v>
      </c>
      <c r="V94" s="65">
        <f>47729510</f>
        <v>47729510</v>
      </c>
      <c r="W94" s="65">
        <f>7900</f>
        <v>7900</v>
      </c>
      <c r="X94" s="69">
        <f>18</f>
        <v>18</v>
      </c>
    </row>
    <row r="95" spans="1:24">
      <c r="A95" s="60" t="s">
        <v>852</v>
      </c>
      <c r="B95" s="60" t="s">
        <v>326</v>
      </c>
      <c r="C95" s="60" t="s">
        <v>327</v>
      </c>
      <c r="D95" s="60" t="s">
        <v>328</v>
      </c>
      <c r="E95" s="61" t="s">
        <v>46</v>
      </c>
      <c r="F95" s="62" t="s">
        <v>46</v>
      </c>
      <c r="G95" s="63" t="s">
        <v>46</v>
      </c>
      <c r="H95" s="64"/>
      <c r="I95" s="64" t="s">
        <v>47</v>
      </c>
      <c r="J95" s="65">
        <v>1</v>
      </c>
      <c r="K95" s="66">
        <f>6030</f>
        <v>6030</v>
      </c>
      <c r="L95" s="67" t="s">
        <v>853</v>
      </c>
      <c r="M95" s="66">
        <f>6050</f>
        <v>6050</v>
      </c>
      <c r="N95" s="67" t="s">
        <v>857</v>
      </c>
      <c r="O95" s="66">
        <f>5760</f>
        <v>5760</v>
      </c>
      <c r="P95" s="67" t="s">
        <v>613</v>
      </c>
      <c r="Q95" s="66">
        <f>5770</f>
        <v>5770</v>
      </c>
      <c r="R95" s="67" t="s">
        <v>240</v>
      </c>
      <c r="S95" s="68">
        <f>5915</f>
        <v>5915</v>
      </c>
      <c r="T95" s="65">
        <f>3475100</f>
        <v>3475100</v>
      </c>
      <c r="U95" s="65">
        <f>56433</f>
        <v>56433</v>
      </c>
      <c r="V95" s="65">
        <f>20546691351</f>
        <v>20546691351</v>
      </c>
      <c r="W95" s="65">
        <f>334309141</f>
        <v>334309141</v>
      </c>
      <c r="X95" s="69">
        <f>18</f>
        <v>18</v>
      </c>
    </row>
    <row r="96" spans="1:24">
      <c r="A96" s="60" t="s">
        <v>852</v>
      </c>
      <c r="B96" s="60" t="s">
        <v>329</v>
      </c>
      <c r="C96" s="60" t="s">
        <v>330</v>
      </c>
      <c r="D96" s="60" t="s">
        <v>331</v>
      </c>
      <c r="E96" s="61" t="s">
        <v>46</v>
      </c>
      <c r="F96" s="62" t="s">
        <v>46</v>
      </c>
      <c r="G96" s="63" t="s">
        <v>46</v>
      </c>
      <c r="H96" s="64"/>
      <c r="I96" s="64" t="s">
        <v>47</v>
      </c>
      <c r="J96" s="65">
        <v>1</v>
      </c>
      <c r="K96" s="66">
        <f>3385</f>
        <v>3385</v>
      </c>
      <c r="L96" s="67" t="s">
        <v>853</v>
      </c>
      <c r="M96" s="66">
        <f>4260</f>
        <v>4260</v>
      </c>
      <c r="N96" s="67" t="s">
        <v>854</v>
      </c>
      <c r="O96" s="66">
        <f>3380</f>
        <v>3380</v>
      </c>
      <c r="P96" s="67" t="s">
        <v>853</v>
      </c>
      <c r="Q96" s="66">
        <f>3835</f>
        <v>3835</v>
      </c>
      <c r="R96" s="67" t="s">
        <v>240</v>
      </c>
      <c r="S96" s="68">
        <f>3771.67</f>
        <v>3771.67</v>
      </c>
      <c r="T96" s="65">
        <f>2874696</f>
        <v>2874696</v>
      </c>
      <c r="U96" s="65">
        <f>50</f>
        <v>50</v>
      </c>
      <c r="V96" s="65">
        <f>11071819880</f>
        <v>11071819880</v>
      </c>
      <c r="W96" s="65">
        <f>198750</f>
        <v>198750</v>
      </c>
      <c r="X96" s="69">
        <f>18</f>
        <v>18</v>
      </c>
    </row>
    <row r="97" spans="1:24">
      <c r="A97" s="60" t="s">
        <v>852</v>
      </c>
      <c r="B97" s="60" t="s">
        <v>332</v>
      </c>
      <c r="C97" s="60" t="s">
        <v>333</v>
      </c>
      <c r="D97" s="60" t="s">
        <v>334</v>
      </c>
      <c r="E97" s="61" t="s">
        <v>46</v>
      </c>
      <c r="F97" s="62" t="s">
        <v>46</v>
      </c>
      <c r="G97" s="63" t="s">
        <v>46</v>
      </c>
      <c r="H97" s="64"/>
      <c r="I97" s="64" t="s">
        <v>47</v>
      </c>
      <c r="J97" s="65">
        <v>1</v>
      </c>
      <c r="K97" s="66">
        <f>9200</f>
        <v>9200</v>
      </c>
      <c r="L97" s="67" t="s">
        <v>853</v>
      </c>
      <c r="M97" s="66">
        <f>9310</f>
        <v>9310</v>
      </c>
      <c r="N97" s="67" t="s">
        <v>854</v>
      </c>
      <c r="O97" s="66">
        <f>8390</f>
        <v>8390</v>
      </c>
      <c r="P97" s="67" t="s">
        <v>84</v>
      </c>
      <c r="Q97" s="66">
        <f>8890</f>
        <v>8890</v>
      </c>
      <c r="R97" s="67" t="s">
        <v>240</v>
      </c>
      <c r="S97" s="68">
        <f>8881.67</f>
        <v>8881.67</v>
      </c>
      <c r="T97" s="65">
        <f>1048167</f>
        <v>1048167</v>
      </c>
      <c r="U97" s="65">
        <f>3467</f>
        <v>3467</v>
      </c>
      <c r="V97" s="65">
        <f>9380720865</f>
        <v>9380720865</v>
      </c>
      <c r="W97" s="65">
        <f>32151985</f>
        <v>32151985</v>
      </c>
      <c r="X97" s="69">
        <f>18</f>
        <v>18</v>
      </c>
    </row>
    <row r="98" spans="1:24">
      <c r="A98" s="60" t="s">
        <v>852</v>
      </c>
      <c r="B98" s="60" t="s">
        <v>335</v>
      </c>
      <c r="C98" s="60" t="s">
        <v>336</v>
      </c>
      <c r="D98" s="60" t="s">
        <v>337</v>
      </c>
      <c r="E98" s="61" t="s">
        <v>46</v>
      </c>
      <c r="F98" s="62" t="s">
        <v>46</v>
      </c>
      <c r="G98" s="63" t="s">
        <v>46</v>
      </c>
      <c r="H98" s="64"/>
      <c r="I98" s="64" t="s">
        <v>47</v>
      </c>
      <c r="J98" s="65">
        <v>1</v>
      </c>
      <c r="K98" s="66">
        <f>67800</f>
        <v>67800</v>
      </c>
      <c r="L98" s="67" t="s">
        <v>853</v>
      </c>
      <c r="M98" s="66">
        <f>74600</f>
        <v>74600</v>
      </c>
      <c r="N98" s="67" t="s">
        <v>100</v>
      </c>
      <c r="O98" s="66">
        <f>67300</f>
        <v>67300</v>
      </c>
      <c r="P98" s="67" t="s">
        <v>853</v>
      </c>
      <c r="Q98" s="66">
        <f>71600</f>
        <v>71600</v>
      </c>
      <c r="R98" s="67" t="s">
        <v>240</v>
      </c>
      <c r="S98" s="68">
        <f>70627.78</f>
        <v>70627.78</v>
      </c>
      <c r="T98" s="65">
        <f>5818</f>
        <v>5818</v>
      </c>
      <c r="U98" s="65" t="str">
        <f>"－"</f>
        <v>－</v>
      </c>
      <c r="V98" s="65">
        <f>417365500</f>
        <v>417365500</v>
      </c>
      <c r="W98" s="65" t="str">
        <f>"－"</f>
        <v>－</v>
      </c>
      <c r="X98" s="69">
        <f>18</f>
        <v>18</v>
      </c>
    </row>
    <row r="99" spans="1:24">
      <c r="A99" s="60" t="s">
        <v>852</v>
      </c>
      <c r="B99" s="60" t="s">
        <v>338</v>
      </c>
      <c r="C99" s="60" t="s">
        <v>339</v>
      </c>
      <c r="D99" s="60" t="s">
        <v>340</v>
      </c>
      <c r="E99" s="61" t="s">
        <v>46</v>
      </c>
      <c r="F99" s="62" t="s">
        <v>46</v>
      </c>
      <c r="G99" s="63" t="s">
        <v>46</v>
      </c>
      <c r="H99" s="64"/>
      <c r="I99" s="64" t="s">
        <v>47</v>
      </c>
      <c r="J99" s="65">
        <v>1</v>
      </c>
      <c r="K99" s="66">
        <f>13560</f>
        <v>13560</v>
      </c>
      <c r="L99" s="67" t="s">
        <v>853</v>
      </c>
      <c r="M99" s="66">
        <f>14860</f>
        <v>14860</v>
      </c>
      <c r="N99" s="67" t="s">
        <v>854</v>
      </c>
      <c r="O99" s="66">
        <f>13550</f>
        <v>13550</v>
      </c>
      <c r="P99" s="67" t="s">
        <v>853</v>
      </c>
      <c r="Q99" s="66">
        <f>13660</f>
        <v>13660</v>
      </c>
      <c r="R99" s="67" t="s">
        <v>240</v>
      </c>
      <c r="S99" s="68">
        <f>14404.44</f>
        <v>14404.44</v>
      </c>
      <c r="T99" s="65">
        <f>2055432</f>
        <v>2055432</v>
      </c>
      <c r="U99" s="65">
        <f>79051</f>
        <v>79051</v>
      </c>
      <c r="V99" s="65">
        <f>29302344922</f>
        <v>29302344922</v>
      </c>
      <c r="W99" s="65">
        <f>1132118842</f>
        <v>1132118842</v>
      </c>
      <c r="X99" s="69">
        <f>18</f>
        <v>18</v>
      </c>
    </row>
    <row r="100" spans="1:24">
      <c r="A100" s="60" t="s">
        <v>852</v>
      </c>
      <c r="B100" s="60" t="s">
        <v>341</v>
      </c>
      <c r="C100" s="60" t="s">
        <v>342</v>
      </c>
      <c r="D100" s="60" t="s">
        <v>343</v>
      </c>
      <c r="E100" s="61" t="s">
        <v>46</v>
      </c>
      <c r="F100" s="62" t="s">
        <v>46</v>
      </c>
      <c r="G100" s="63" t="s">
        <v>46</v>
      </c>
      <c r="H100" s="64"/>
      <c r="I100" s="64" t="s">
        <v>47</v>
      </c>
      <c r="J100" s="65">
        <v>1</v>
      </c>
      <c r="K100" s="66">
        <f>30450</f>
        <v>30450</v>
      </c>
      <c r="L100" s="67" t="s">
        <v>853</v>
      </c>
      <c r="M100" s="66">
        <f>33200</f>
        <v>33200</v>
      </c>
      <c r="N100" s="67" t="s">
        <v>176</v>
      </c>
      <c r="O100" s="66">
        <f>30400</f>
        <v>30400</v>
      </c>
      <c r="P100" s="67" t="s">
        <v>853</v>
      </c>
      <c r="Q100" s="66">
        <f>32350</f>
        <v>32350</v>
      </c>
      <c r="R100" s="67" t="s">
        <v>240</v>
      </c>
      <c r="S100" s="68">
        <f>32116.67</f>
        <v>32116.67</v>
      </c>
      <c r="T100" s="65">
        <f>295262</f>
        <v>295262</v>
      </c>
      <c r="U100" s="65">
        <f>88042</f>
        <v>88042</v>
      </c>
      <c r="V100" s="65">
        <f>9570048356</f>
        <v>9570048356</v>
      </c>
      <c r="W100" s="65">
        <f>2873159506</f>
        <v>2873159506</v>
      </c>
      <c r="X100" s="69">
        <f>18</f>
        <v>18</v>
      </c>
    </row>
    <row r="101" spans="1:24">
      <c r="A101" s="60" t="s">
        <v>852</v>
      </c>
      <c r="B101" s="60" t="s">
        <v>344</v>
      </c>
      <c r="C101" s="60" t="s">
        <v>345</v>
      </c>
      <c r="D101" s="60" t="s">
        <v>346</v>
      </c>
      <c r="E101" s="61" t="s">
        <v>46</v>
      </c>
      <c r="F101" s="62" t="s">
        <v>46</v>
      </c>
      <c r="G101" s="63" t="s">
        <v>46</v>
      </c>
      <c r="H101" s="64"/>
      <c r="I101" s="64" t="s">
        <v>47</v>
      </c>
      <c r="J101" s="65">
        <v>10</v>
      </c>
      <c r="K101" s="66">
        <f>4175</f>
        <v>4175</v>
      </c>
      <c r="L101" s="67" t="s">
        <v>853</v>
      </c>
      <c r="M101" s="66">
        <f>4535</f>
        <v>4535</v>
      </c>
      <c r="N101" s="67" t="s">
        <v>854</v>
      </c>
      <c r="O101" s="66">
        <f>4170</f>
        <v>4170</v>
      </c>
      <c r="P101" s="67" t="s">
        <v>853</v>
      </c>
      <c r="Q101" s="66">
        <f>4385</f>
        <v>4385</v>
      </c>
      <c r="R101" s="67" t="s">
        <v>240</v>
      </c>
      <c r="S101" s="68">
        <f>4426.39</f>
        <v>4426.3900000000003</v>
      </c>
      <c r="T101" s="65">
        <f>989740</f>
        <v>989740</v>
      </c>
      <c r="U101" s="65">
        <f>273510</f>
        <v>273510</v>
      </c>
      <c r="V101" s="65">
        <f>4390344172</f>
        <v>4390344172</v>
      </c>
      <c r="W101" s="65">
        <f>1224973572</f>
        <v>1224973572</v>
      </c>
      <c r="X101" s="69">
        <f>18</f>
        <v>18</v>
      </c>
    </row>
    <row r="102" spans="1:24">
      <c r="A102" s="60" t="s">
        <v>852</v>
      </c>
      <c r="B102" s="60" t="s">
        <v>347</v>
      </c>
      <c r="C102" s="60" t="s">
        <v>348</v>
      </c>
      <c r="D102" s="60" t="s">
        <v>349</v>
      </c>
      <c r="E102" s="61" t="s">
        <v>46</v>
      </c>
      <c r="F102" s="62" t="s">
        <v>46</v>
      </c>
      <c r="G102" s="63" t="s">
        <v>46</v>
      </c>
      <c r="H102" s="64"/>
      <c r="I102" s="64" t="s">
        <v>47</v>
      </c>
      <c r="J102" s="65">
        <v>10</v>
      </c>
      <c r="K102" s="66">
        <f>2801</f>
        <v>2801</v>
      </c>
      <c r="L102" s="67" t="s">
        <v>853</v>
      </c>
      <c r="M102" s="66">
        <f>3045</f>
        <v>3045</v>
      </c>
      <c r="N102" s="67" t="s">
        <v>854</v>
      </c>
      <c r="O102" s="66">
        <f>2800</f>
        <v>2800</v>
      </c>
      <c r="P102" s="67" t="s">
        <v>853</v>
      </c>
      <c r="Q102" s="66">
        <f>2948</f>
        <v>2948</v>
      </c>
      <c r="R102" s="67" t="s">
        <v>240</v>
      </c>
      <c r="S102" s="68">
        <f>2963.06</f>
        <v>2963.06</v>
      </c>
      <c r="T102" s="65">
        <f>116680</f>
        <v>116680</v>
      </c>
      <c r="U102" s="65">
        <f>16800</f>
        <v>16800</v>
      </c>
      <c r="V102" s="65">
        <f>346226629</f>
        <v>346226629</v>
      </c>
      <c r="W102" s="65">
        <f>49977849</f>
        <v>49977849</v>
      </c>
      <c r="X102" s="69">
        <f>18</f>
        <v>18</v>
      </c>
    </row>
    <row r="103" spans="1:24">
      <c r="A103" s="60" t="s">
        <v>852</v>
      </c>
      <c r="B103" s="60" t="s">
        <v>350</v>
      </c>
      <c r="C103" s="60" t="s">
        <v>351</v>
      </c>
      <c r="D103" s="60" t="s">
        <v>352</v>
      </c>
      <c r="E103" s="61" t="s">
        <v>46</v>
      </c>
      <c r="F103" s="62" t="s">
        <v>46</v>
      </c>
      <c r="G103" s="63" t="s">
        <v>46</v>
      </c>
      <c r="H103" s="64"/>
      <c r="I103" s="64" t="s">
        <v>47</v>
      </c>
      <c r="J103" s="65">
        <v>10</v>
      </c>
      <c r="K103" s="66">
        <f>5010</f>
        <v>5010</v>
      </c>
      <c r="L103" s="67" t="s">
        <v>853</v>
      </c>
      <c r="M103" s="66">
        <f>5290</f>
        <v>5290</v>
      </c>
      <c r="N103" s="67" t="s">
        <v>854</v>
      </c>
      <c r="O103" s="66">
        <f>4975</f>
        <v>4975</v>
      </c>
      <c r="P103" s="67" t="s">
        <v>853</v>
      </c>
      <c r="Q103" s="66">
        <f>5080</f>
        <v>5080</v>
      </c>
      <c r="R103" s="67" t="s">
        <v>240</v>
      </c>
      <c r="S103" s="68">
        <f>5153.89</f>
        <v>5153.8900000000003</v>
      </c>
      <c r="T103" s="65">
        <f>20710</f>
        <v>20710</v>
      </c>
      <c r="U103" s="65" t="str">
        <f>"－"</f>
        <v>－</v>
      </c>
      <c r="V103" s="65">
        <f>106502100</f>
        <v>106502100</v>
      </c>
      <c r="W103" s="65" t="str">
        <f>"－"</f>
        <v>－</v>
      </c>
      <c r="X103" s="69">
        <f>18</f>
        <v>18</v>
      </c>
    </row>
    <row r="104" spans="1:24">
      <c r="A104" s="60" t="s">
        <v>852</v>
      </c>
      <c r="B104" s="60" t="s">
        <v>353</v>
      </c>
      <c r="C104" s="60" t="s">
        <v>354</v>
      </c>
      <c r="D104" s="60" t="s">
        <v>355</v>
      </c>
      <c r="E104" s="61" t="s">
        <v>46</v>
      </c>
      <c r="F104" s="62" t="s">
        <v>46</v>
      </c>
      <c r="G104" s="63" t="s">
        <v>46</v>
      </c>
      <c r="H104" s="64"/>
      <c r="I104" s="64" t="s">
        <v>47</v>
      </c>
      <c r="J104" s="65">
        <v>1</v>
      </c>
      <c r="K104" s="66">
        <f>7240</f>
        <v>7240</v>
      </c>
      <c r="L104" s="67" t="s">
        <v>853</v>
      </c>
      <c r="M104" s="66">
        <f>7270</f>
        <v>7270</v>
      </c>
      <c r="N104" s="67" t="s">
        <v>853</v>
      </c>
      <c r="O104" s="66">
        <f>4930</f>
        <v>4930</v>
      </c>
      <c r="P104" s="67" t="s">
        <v>176</v>
      </c>
      <c r="Q104" s="66">
        <f>5630</f>
        <v>5630</v>
      </c>
      <c r="R104" s="67" t="s">
        <v>240</v>
      </c>
      <c r="S104" s="68">
        <f>5597.78</f>
        <v>5597.78</v>
      </c>
      <c r="T104" s="65">
        <f>16985754</f>
        <v>16985754</v>
      </c>
      <c r="U104" s="65">
        <f>406979</f>
        <v>406979</v>
      </c>
      <c r="V104" s="65">
        <f>95314487480</f>
        <v>95314487480</v>
      </c>
      <c r="W104" s="65">
        <f>2265075485</f>
        <v>2265075485</v>
      </c>
      <c r="X104" s="69">
        <f>18</f>
        <v>18</v>
      </c>
    </row>
    <row r="105" spans="1:24">
      <c r="A105" s="60" t="s">
        <v>852</v>
      </c>
      <c r="B105" s="60" t="s">
        <v>356</v>
      </c>
      <c r="C105" s="60" t="s">
        <v>357</v>
      </c>
      <c r="D105" s="60" t="s">
        <v>358</v>
      </c>
      <c r="E105" s="61" t="s">
        <v>46</v>
      </c>
      <c r="F105" s="62" t="s">
        <v>46</v>
      </c>
      <c r="G105" s="63" t="s">
        <v>46</v>
      </c>
      <c r="H105" s="64"/>
      <c r="I105" s="64" t="s">
        <v>47</v>
      </c>
      <c r="J105" s="65">
        <v>10</v>
      </c>
      <c r="K105" s="66">
        <f>2451</f>
        <v>2451</v>
      </c>
      <c r="L105" s="67" t="s">
        <v>853</v>
      </c>
      <c r="M105" s="66">
        <f>2678</f>
        <v>2678</v>
      </c>
      <c r="N105" s="67" t="s">
        <v>854</v>
      </c>
      <c r="O105" s="66">
        <f>2450</f>
        <v>2450</v>
      </c>
      <c r="P105" s="67" t="s">
        <v>853</v>
      </c>
      <c r="Q105" s="66">
        <f>2569</f>
        <v>2569</v>
      </c>
      <c r="R105" s="67" t="s">
        <v>240</v>
      </c>
      <c r="S105" s="68">
        <f>2598.56</f>
        <v>2598.56</v>
      </c>
      <c r="T105" s="65">
        <f>73090</f>
        <v>73090</v>
      </c>
      <c r="U105" s="65" t="str">
        <f>"－"</f>
        <v>－</v>
      </c>
      <c r="V105" s="65">
        <f>189843720</f>
        <v>189843720</v>
      </c>
      <c r="W105" s="65" t="str">
        <f>"－"</f>
        <v>－</v>
      </c>
      <c r="X105" s="69">
        <f>18</f>
        <v>18</v>
      </c>
    </row>
    <row r="106" spans="1:24">
      <c r="A106" s="60" t="s">
        <v>852</v>
      </c>
      <c r="B106" s="60" t="s">
        <v>359</v>
      </c>
      <c r="C106" s="60" t="s">
        <v>360</v>
      </c>
      <c r="D106" s="60" t="s">
        <v>361</v>
      </c>
      <c r="E106" s="61" t="s">
        <v>46</v>
      </c>
      <c r="F106" s="62" t="s">
        <v>46</v>
      </c>
      <c r="G106" s="63" t="s">
        <v>46</v>
      </c>
      <c r="H106" s="64"/>
      <c r="I106" s="64" t="s">
        <v>47</v>
      </c>
      <c r="J106" s="65">
        <v>10</v>
      </c>
      <c r="K106" s="66">
        <f>1470</f>
        <v>1470</v>
      </c>
      <c r="L106" s="67" t="s">
        <v>853</v>
      </c>
      <c r="M106" s="66">
        <f>1538</f>
        <v>1538</v>
      </c>
      <c r="N106" s="67" t="s">
        <v>176</v>
      </c>
      <c r="O106" s="66">
        <f>1466</f>
        <v>1466</v>
      </c>
      <c r="P106" s="67" t="s">
        <v>853</v>
      </c>
      <c r="Q106" s="66">
        <f>1490</f>
        <v>1490</v>
      </c>
      <c r="R106" s="67" t="s">
        <v>240</v>
      </c>
      <c r="S106" s="68">
        <f>1500</f>
        <v>1500</v>
      </c>
      <c r="T106" s="65">
        <f>235680</f>
        <v>235680</v>
      </c>
      <c r="U106" s="65">
        <f>20</f>
        <v>20</v>
      </c>
      <c r="V106" s="65">
        <f>353507980</f>
        <v>353507980</v>
      </c>
      <c r="W106" s="65">
        <f>27780</f>
        <v>27780</v>
      </c>
      <c r="X106" s="69">
        <f>18</f>
        <v>18</v>
      </c>
    </row>
    <row r="107" spans="1:24">
      <c r="A107" s="60" t="s">
        <v>852</v>
      </c>
      <c r="B107" s="60" t="s">
        <v>362</v>
      </c>
      <c r="C107" s="60" t="s">
        <v>363</v>
      </c>
      <c r="D107" s="60" t="s">
        <v>364</v>
      </c>
      <c r="E107" s="61" t="s">
        <v>46</v>
      </c>
      <c r="F107" s="62" t="s">
        <v>46</v>
      </c>
      <c r="G107" s="63" t="s">
        <v>46</v>
      </c>
      <c r="H107" s="64"/>
      <c r="I107" s="64" t="s">
        <v>47</v>
      </c>
      <c r="J107" s="65">
        <v>1</v>
      </c>
      <c r="K107" s="66">
        <f>38500</f>
        <v>38500</v>
      </c>
      <c r="L107" s="67" t="s">
        <v>853</v>
      </c>
      <c r="M107" s="66">
        <f>41800</f>
        <v>41800</v>
      </c>
      <c r="N107" s="67" t="s">
        <v>854</v>
      </c>
      <c r="O107" s="66">
        <f>38450</f>
        <v>38450</v>
      </c>
      <c r="P107" s="67" t="s">
        <v>853</v>
      </c>
      <c r="Q107" s="66">
        <f>40450</f>
        <v>40450</v>
      </c>
      <c r="R107" s="67" t="s">
        <v>240</v>
      </c>
      <c r="S107" s="68">
        <f>40836.11</f>
        <v>40836.11</v>
      </c>
      <c r="T107" s="65">
        <f>151657</f>
        <v>151657</v>
      </c>
      <c r="U107" s="65">
        <f>39000</f>
        <v>39000</v>
      </c>
      <c r="V107" s="65">
        <f>6204293872</f>
        <v>6204293872</v>
      </c>
      <c r="W107" s="65">
        <f>1618659172</f>
        <v>1618659172</v>
      </c>
      <c r="X107" s="69">
        <f>18</f>
        <v>18</v>
      </c>
    </row>
    <row r="108" spans="1:24">
      <c r="A108" s="60" t="s">
        <v>852</v>
      </c>
      <c r="B108" s="60" t="s">
        <v>365</v>
      </c>
      <c r="C108" s="60" t="s">
        <v>366</v>
      </c>
      <c r="D108" s="60" t="s">
        <v>367</v>
      </c>
      <c r="E108" s="61" t="s">
        <v>46</v>
      </c>
      <c r="F108" s="62" t="s">
        <v>46</v>
      </c>
      <c r="G108" s="63" t="s">
        <v>46</v>
      </c>
      <c r="H108" s="64"/>
      <c r="I108" s="64" t="s">
        <v>47</v>
      </c>
      <c r="J108" s="65">
        <v>1</v>
      </c>
      <c r="K108" s="66">
        <f>2952</f>
        <v>2952</v>
      </c>
      <c r="L108" s="67" t="s">
        <v>853</v>
      </c>
      <c r="M108" s="66">
        <f>3150</f>
        <v>3150</v>
      </c>
      <c r="N108" s="67" t="s">
        <v>100</v>
      </c>
      <c r="O108" s="66">
        <f>2930</f>
        <v>2930</v>
      </c>
      <c r="P108" s="67" t="s">
        <v>857</v>
      </c>
      <c r="Q108" s="66">
        <f>3040</f>
        <v>3040</v>
      </c>
      <c r="R108" s="67" t="s">
        <v>240</v>
      </c>
      <c r="S108" s="68">
        <f>3061.33</f>
        <v>3061.33</v>
      </c>
      <c r="T108" s="65">
        <f>18627</f>
        <v>18627</v>
      </c>
      <c r="U108" s="65" t="str">
        <f>"－"</f>
        <v>－</v>
      </c>
      <c r="V108" s="65">
        <f>57623105</f>
        <v>57623105</v>
      </c>
      <c r="W108" s="65" t="str">
        <f>"－"</f>
        <v>－</v>
      </c>
      <c r="X108" s="69">
        <f>18</f>
        <v>18</v>
      </c>
    </row>
    <row r="109" spans="1:24">
      <c r="A109" s="60" t="s">
        <v>852</v>
      </c>
      <c r="B109" s="60" t="s">
        <v>368</v>
      </c>
      <c r="C109" s="60" t="s">
        <v>369</v>
      </c>
      <c r="D109" s="60" t="s">
        <v>370</v>
      </c>
      <c r="E109" s="61" t="s">
        <v>46</v>
      </c>
      <c r="F109" s="62" t="s">
        <v>46</v>
      </c>
      <c r="G109" s="63" t="s">
        <v>46</v>
      </c>
      <c r="H109" s="64"/>
      <c r="I109" s="64" t="s">
        <v>47</v>
      </c>
      <c r="J109" s="65">
        <v>1</v>
      </c>
      <c r="K109" s="66">
        <f>4075</f>
        <v>4075</v>
      </c>
      <c r="L109" s="67" t="s">
        <v>853</v>
      </c>
      <c r="M109" s="66">
        <f>4270</f>
        <v>4270</v>
      </c>
      <c r="N109" s="67" t="s">
        <v>132</v>
      </c>
      <c r="O109" s="66">
        <f>4045</f>
        <v>4045</v>
      </c>
      <c r="P109" s="67" t="s">
        <v>84</v>
      </c>
      <c r="Q109" s="66">
        <f>4125</f>
        <v>4125</v>
      </c>
      <c r="R109" s="67" t="s">
        <v>240</v>
      </c>
      <c r="S109" s="68">
        <f>4122.78</f>
        <v>4122.78</v>
      </c>
      <c r="T109" s="65">
        <f>4549</f>
        <v>4549</v>
      </c>
      <c r="U109" s="65" t="str">
        <f>"－"</f>
        <v>－</v>
      </c>
      <c r="V109" s="65">
        <f>18771615</f>
        <v>18771615</v>
      </c>
      <c r="W109" s="65" t="str">
        <f>"－"</f>
        <v>－</v>
      </c>
      <c r="X109" s="69">
        <f>18</f>
        <v>18</v>
      </c>
    </row>
    <row r="110" spans="1:24">
      <c r="A110" s="60" t="s">
        <v>852</v>
      </c>
      <c r="B110" s="60" t="s">
        <v>372</v>
      </c>
      <c r="C110" s="60" t="s">
        <v>373</v>
      </c>
      <c r="D110" s="60" t="s">
        <v>374</v>
      </c>
      <c r="E110" s="61" t="s">
        <v>46</v>
      </c>
      <c r="F110" s="62" t="s">
        <v>46</v>
      </c>
      <c r="G110" s="63" t="s">
        <v>46</v>
      </c>
      <c r="H110" s="64"/>
      <c r="I110" s="64" t="s">
        <v>47</v>
      </c>
      <c r="J110" s="65">
        <v>1</v>
      </c>
      <c r="K110" s="66">
        <f>3265</f>
        <v>3265</v>
      </c>
      <c r="L110" s="67" t="s">
        <v>853</v>
      </c>
      <c r="M110" s="66">
        <f>3480</f>
        <v>3480</v>
      </c>
      <c r="N110" s="67" t="s">
        <v>858</v>
      </c>
      <c r="O110" s="66">
        <f>3205</f>
        <v>3205</v>
      </c>
      <c r="P110" s="67" t="s">
        <v>613</v>
      </c>
      <c r="Q110" s="66">
        <f>3325</f>
        <v>3325</v>
      </c>
      <c r="R110" s="67" t="s">
        <v>240</v>
      </c>
      <c r="S110" s="68">
        <f>3382.5</f>
        <v>3382.5</v>
      </c>
      <c r="T110" s="65">
        <f>157641</f>
        <v>157641</v>
      </c>
      <c r="U110" s="65" t="str">
        <f>"－"</f>
        <v>－</v>
      </c>
      <c r="V110" s="65">
        <f>531979690</f>
        <v>531979690</v>
      </c>
      <c r="W110" s="65" t="str">
        <f>"－"</f>
        <v>－</v>
      </c>
      <c r="X110" s="69">
        <f>18</f>
        <v>18</v>
      </c>
    </row>
    <row r="111" spans="1:24">
      <c r="A111" s="60" t="s">
        <v>852</v>
      </c>
      <c r="B111" s="60" t="s">
        <v>375</v>
      </c>
      <c r="C111" s="60" t="s">
        <v>376</v>
      </c>
      <c r="D111" s="60" t="s">
        <v>377</v>
      </c>
      <c r="E111" s="61" t="s">
        <v>46</v>
      </c>
      <c r="F111" s="62" t="s">
        <v>46</v>
      </c>
      <c r="G111" s="63" t="s">
        <v>46</v>
      </c>
      <c r="H111" s="64"/>
      <c r="I111" s="64" t="s">
        <v>47</v>
      </c>
      <c r="J111" s="65">
        <v>1</v>
      </c>
      <c r="K111" s="66">
        <f>44600</f>
        <v>44600</v>
      </c>
      <c r="L111" s="67" t="s">
        <v>853</v>
      </c>
      <c r="M111" s="66">
        <f>45650</f>
        <v>45650</v>
      </c>
      <c r="N111" s="67" t="s">
        <v>854</v>
      </c>
      <c r="O111" s="66">
        <f>44200</f>
        <v>44200</v>
      </c>
      <c r="P111" s="67" t="s">
        <v>240</v>
      </c>
      <c r="Q111" s="66">
        <f>44200</f>
        <v>44200</v>
      </c>
      <c r="R111" s="67" t="s">
        <v>240</v>
      </c>
      <c r="S111" s="68">
        <f>44991.67</f>
        <v>44991.67</v>
      </c>
      <c r="T111" s="65">
        <f>24458</f>
        <v>24458</v>
      </c>
      <c r="U111" s="65">
        <f>10000</f>
        <v>10000</v>
      </c>
      <c r="V111" s="65">
        <f>1091869200</f>
        <v>1091869200</v>
      </c>
      <c r="W111" s="65">
        <f>442105000</f>
        <v>442105000</v>
      </c>
      <c r="X111" s="69">
        <f>18</f>
        <v>18</v>
      </c>
    </row>
    <row r="112" spans="1:24">
      <c r="A112" s="60" t="s">
        <v>852</v>
      </c>
      <c r="B112" s="60" t="s">
        <v>378</v>
      </c>
      <c r="C112" s="60" t="s">
        <v>379</v>
      </c>
      <c r="D112" s="60" t="s">
        <v>380</v>
      </c>
      <c r="E112" s="61" t="s">
        <v>46</v>
      </c>
      <c r="F112" s="62" t="s">
        <v>46</v>
      </c>
      <c r="G112" s="63" t="s">
        <v>46</v>
      </c>
      <c r="H112" s="64"/>
      <c r="I112" s="64" t="s">
        <v>47</v>
      </c>
      <c r="J112" s="65">
        <v>10</v>
      </c>
      <c r="K112" s="66">
        <f>1160</f>
        <v>1160</v>
      </c>
      <c r="L112" s="67" t="s">
        <v>96</v>
      </c>
      <c r="M112" s="66">
        <f>1285</f>
        <v>1285</v>
      </c>
      <c r="N112" s="67" t="s">
        <v>240</v>
      </c>
      <c r="O112" s="66">
        <f>1160</f>
        <v>1160</v>
      </c>
      <c r="P112" s="67" t="s">
        <v>96</v>
      </c>
      <c r="Q112" s="66">
        <f>1285</f>
        <v>1285</v>
      </c>
      <c r="R112" s="67" t="s">
        <v>240</v>
      </c>
      <c r="S112" s="68">
        <f>1222.5</f>
        <v>1222.5</v>
      </c>
      <c r="T112" s="65">
        <f>60</f>
        <v>60</v>
      </c>
      <c r="U112" s="65" t="str">
        <f>"－"</f>
        <v>－</v>
      </c>
      <c r="V112" s="65">
        <f>72340</f>
        <v>72340</v>
      </c>
      <c r="W112" s="65" t="str">
        <f>"－"</f>
        <v>－</v>
      </c>
      <c r="X112" s="69">
        <f>2</f>
        <v>2</v>
      </c>
    </row>
    <row r="113" spans="1:24">
      <c r="A113" s="60" t="s">
        <v>852</v>
      </c>
      <c r="B113" s="60" t="s">
        <v>381</v>
      </c>
      <c r="C113" s="60" t="s">
        <v>382</v>
      </c>
      <c r="D113" s="60" t="s">
        <v>383</v>
      </c>
      <c r="E113" s="61" t="s">
        <v>46</v>
      </c>
      <c r="F113" s="62" t="s">
        <v>46</v>
      </c>
      <c r="G113" s="63" t="s">
        <v>46</v>
      </c>
      <c r="H113" s="64"/>
      <c r="I113" s="64" t="s">
        <v>47</v>
      </c>
      <c r="J113" s="65">
        <v>10</v>
      </c>
      <c r="K113" s="66">
        <f>20440</f>
        <v>20440</v>
      </c>
      <c r="L113" s="67" t="s">
        <v>853</v>
      </c>
      <c r="M113" s="66">
        <f>24470</f>
        <v>24470</v>
      </c>
      <c r="N113" s="67" t="s">
        <v>854</v>
      </c>
      <c r="O113" s="66">
        <f>20410</f>
        <v>20410</v>
      </c>
      <c r="P113" s="67" t="s">
        <v>853</v>
      </c>
      <c r="Q113" s="66">
        <f>21690</f>
        <v>21690</v>
      </c>
      <c r="R113" s="67" t="s">
        <v>240</v>
      </c>
      <c r="S113" s="68">
        <f>22902.78</f>
        <v>22902.78</v>
      </c>
      <c r="T113" s="65">
        <f>2034880</f>
        <v>2034880</v>
      </c>
      <c r="U113" s="65">
        <f>14980</f>
        <v>14980</v>
      </c>
      <c r="V113" s="65">
        <f>46476358500</f>
        <v>46476358500</v>
      </c>
      <c r="W113" s="65">
        <f>354063100</f>
        <v>354063100</v>
      </c>
      <c r="X113" s="69">
        <f>18</f>
        <v>18</v>
      </c>
    </row>
    <row r="114" spans="1:24">
      <c r="A114" s="60" t="s">
        <v>852</v>
      </c>
      <c r="B114" s="60" t="s">
        <v>384</v>
      </c>
      <c r="C114" s="60" t="s">
        <v>385</v>
      </c>
      <c r="D114" s="60" t="s">
        <v>386</v>
      </c>
      <c r="E114" s="61" t="s">
        <v>46</v>
      </c>
      <c r="F114" s="62" t="s">
        <v>46</v>
      </c>
      <c r="G114" s="63" t="s">
        <v>46</v>
      </c>
      <c r="H114" s="64"/>
      <c r="I114" s="64" t="s">
        <v>47</v>
      </c>
      <c r="J114" s="65">
        <v>10</v>
      </c>
      <c r="K114" s="66">
        <f>2470</f>
        <v>2470</v>
      </c>
      <c r="L114" s="67" t="s">
        <v>853</v>
      </c>
      <c r="M114" s="66">
        <f>2470</f>
        <v>2470</v>
      </c>
      <c r="N114" s="67" t="s">
        <v>853</v>
      </c>
      <c r="O114" s="66">
        <f>2250</f>
        <v>2250</v>
      </c>
      <c r="P114" s="67" t="s">
        <v>854</v>
      </c>
      <c r="Q114" s="66">
        <f>2377</f>
        <v>2377</v>
      </c>
      <c r="R114" s="67" t="s">
        <v>240</v>
      </c>
      <c r="S114" s="68">
        <f>2327</f>
        <v>2327</v>
      </c>
      <c r="T114" s="65">
        <f>1154770</f>
        <v>1154770</v>
      </c>
      <c r="U114" s="65">
        <f>434690</f>
        <v>434690</v>
      </c>
      <c r="V114" s="65">
        <f>2678714381</f>
        <v>2678714381</v>
      </c>
      <c r="W114" s="65">
        <f>1000422111</f>
        <v>1000422111</v>
      </c>
      <c r="X114" s="69">
        <f>18</f>
        <v>18</v>
      </c>
    </row>
    <row r="115" spans="1:24">
      <c r="A115" s="60" t="s">
        <v>852</v>
      </c>
      <c r="B115" s="60" t="s">
        <v>387</v>
      </c>
      <c r="C115" s="60" t="s">
        <v>388</v>
      </c>
      <c r="D115" s="60" t="s">
        <v>389</v>
      </c>
      <c r="E115" s="61" t="s">
        <v>46</v>
      </c>
      <c r="F115" s="62" t="s">
        <v>46</v>
      </c>
      <c r="G115" s="63" t="s">
        <v>46</v>
      </c>
      <c r="H115" s="64"/>
      <c r="I115" s="64" t="s">
        <v>47</v>
      </c>
      <c r="J115" s="65">
        <v>1</v>
      </c>
      <c r="K115" s="66">
        <f>29190</f>
        <v>29190</v>
      </c>
      <c r="L115" s="67" t="s">
        <v>853</v>
      </c>
      <c r="M115" s="66">
        <f>36000</f>
        <v>36000</v>
      </c>
      <c r="N115" s="67" t="s">
        <v>854</v>
      </c>
      <c r="O115" s="66">
        <f>29150</f>
        <v>29150</v>
      </c>
      <c r="P115" s="67" t="s">
        <v>853</v>
      </c>
      <c r="Q115" s="66">
        <f>32050</f>
        <v>32050</v>
      </c>
      <c r="R115" s="67" t="s">
        <v>240</v>
      </c>
      <c r="S115" s="68">
        <f>33152.78</f>
        <v>33152.78</v>
      </c>
      <c r="T115" s="65">
        <f>72376374</f>
        <v>72376374</v>
      </c>
      <c r="U115" s="65">
        <f>147725</f>
        <v>147725</v>
      </c>
      <c r="V115" s="65">
        <f>2398701662155</f>
        <v>2398701662155</v>
      </c>
      <c r="W115" s="65">
        <f>4927267425</f>
        <v>4927267425</v>
      </c>
      <c r="X115" s="69">
        <f>18</f>
        <v>18</v>
      </c>
    </row>
    <row r="116" spans="1:24">
      <c r="A116" s="60" t="s">
        <v>852</v>
      </c>
      <c r="B116" s="60" t="s">
        <v>390</v>
      </c>
      <c r="C116" s="60" t="s">
        <v>391</v>
      </c>
      <c r="D116" s="60" t="s">
        <v>392</v>
      </c>
      <c r="E116" s="61" t="s">
        <v>46</v>
      </c>
      <c r="F116" s="62" t="s">
        <v>46</v>
      </c>
      <c r="G116" s="63" t="s">
        <v>46</v>
      </c>
      <c r="H116" s="64"/>
      <c r="I116" s="64" t="s">
        <v>47</v>
      </c>
      <c r="J116" s="65">
        <v>1</v>
      </c>
      <c r="K116" s="66">
        <f>1084</f>
        <v>1084</v>
      </c>
      <c r="L116" s="67" t="s">
        <v>853</v>
      </c>
      <c r="M116" s="66">
        <f>1085</f>
        <v>1085</v>
      </c>
      <c r="N116" s="67" t="s">
        <v>853</v>
      </c>
      <c r="O116" s="66">
        <f>972</f>
        <v>972</v>
      </c>
      <c r="P116" s="67" t="s">
        <v>854</v>
      </c>
      <c r="Q116" s="66">
        <f>1027</f>
        <v>1027</v>
      </c>
      <c r="R116" s="67" t="s">
        <v>240</v>
      </c>
      <c r="S116" s="68">
        <f>1015.94</f>
        <v>1015.94</v>
      </c>
      <c r="T116" s="65">
        <f>14303969</f>
        <v>14303969</v>
      </c>
      <c r="U116" s="65">
        <f>688266</f>
        <v>688266</v>
      </c>
      <c r="V116" s="65">
        <f>14361464096</f>
        <v>14361464096</v>
      </c>
      <c r="W116" s="65">
        <f>690124247</f>
        <v>690124247</v>
      </c>
      <c r="X116" s="69">
        <f>18</f>
        <v>18</v>
      </c>
    </row>
    <row r="117" spans="1:24">
      <c r="A117" s="60" t="s">
        <v>852</v>
      </c>
      <c r="B117" s="60" t="s">
        <v>393</v>
      </c>
      <c r="C117" s="60" t="s">
        <v>394</v>
      </c>
      <c r="D117" s="60" t="s">
        <v>395</v>
      </c>
      <c r="E117" s="61" t="s">
        <v>46</v>
      </c>
      <c r="F117" s="62" t="s">
        <v>46</v>
      </c>
      <c r="G117" s="63" t="s">
        <v>46</v>
      </c>
      <c r="H117" s="64"/>
      <c r="I117" s="64" t="s">
        <v>47</v>
      </c>
      <c r="J117" s="65">
        <v>10</v>
      </c>
      <c r="K117" s="66">
        <f>11680</f>
        <v>11680</v>
      </c>
      <c r="L117" s="67" t="s">
        <v>853</v>
      </c>
      <c r="M117" s="66">
        <f>14300</f>
        <v>14300</v>
      </c>
      <c r="N117" s="67" t="s">
        <v>100</v>
      </c>
      <c r="O117" s="66">
        <f>11650</f>
        <v>11650</v>
      </c>
      <c r="P117" s="67" t="s">
        <v>853</v>
      </c>
      <c r="Q117" s="66">
        <f>12380</f>
        <v>12380</v>
      </c>
      <c r="R117" s="67" t="s">
        <v>240</v>
      </c>
      <c r="S117" s="68">
        <f>13082.78</f>
        <v>13082.78</v>
      </c>
      <c r="T117" s="65">
        <f>27820</f>
        <v>27820</v>
      </c>
      <c r="U117" s="65" t="str">
        <f t="shared" ref="U117:U123" si="2">"－"</f>
        <v>－</v>
      </c>
      <c r="V117" s="65">
        <f>363836800</f>
        <v>363836800</v>
      </c>
      <c r="W117" s="65" t="str">
        <f t="shared" ref="W117:W123" si="3">"－"</f>
        <v>－</v>
      </c>
      <c r="X117" s="69">
        <f>18</f>
        <v>18</v>
      </c>
    </row>
    <row r="118" spans="1:24">
      <c r="A118" s="60" t="s">
        <v>852</v>
      </c>
      <c r="B118" s="60" t="s">
        <v>396</v>
      </c>
      <c r="C118" s="60" t="s">
        <v>397</v>
      </c>
      <c r="D118" s="60" t="s">
        <v>398</v>
      </c>
      <c r="E118" s="61" t="s">
        <v>46</v>
      </c>
      <c r="F118" s="62" t="s">
        <v>46</v>
      </c>
      <c r="G118" s="63" t="s">
        <v>46</v>
      </c>
      <c r="H118" s="64"/>
      <c r="I118" s="64" t="s">
        <v>47</v>
      </c>
      <c r="J118" s="65">
        <v>10</v>
      </c>
      <c r="K118" s="66">
        <f>6220</f>
        <v>6220</v>
      </c>
      <c r="L118" s="67" t="s">
        <v>853</v>
      </c>
      <c r="M118" s="66">
        <f>6270</f>
        <v>6270</v>
      </c>
      <c r="N118" s="67" t="s">
        <v>853</v>
      </c>
      <c r="O118" s="66">
        <f>5810</f>
        <v>5810</v>
      </c>
      <c r="P118" s="67" t="s">
        <v>100</v>
      </c>
      <c r="Q118" s="66">
        <f>6230</f>
        <v>6230</v>
      </c>
      <c r="R118" s="67" t="s">
        <v>240</v>
      </c>
      <c r="S118" s="68">
        <f>6010</f>
        <v>6010</v>
      </c>
      <c r="T118" s="65">
        <f>3350</f>
        <v>3350</v>
      </c>
      <c r="U118" s="65" t="str">
        <f t="shared" si="2"/>
        <v>－</v>
      </c>
      <c r="V118" s="65">
        <f>20149800</f>
        <v>20149800</v>
      </c>
      <c r="W118" s="65" t="str">
        <f t="shared" si="3"/>
        <v>－</v>
      </c>
      <c r="X118" s="69">
        <f>17</f>
        <v>17</v>
      </c>
    </row>
    <row r="119" spans="1:24">
      <c r="A119" s="60" t="s">
        <v>852</v>
      </c>
      <c r="B119" s="60" t="s">
        <v>399</v>
      </c>
      <c r="C119" s="60" t="s">
        <v>400</v>
      </c>
      <c r="D119" s="60" t="s">
        <v>401</v>
      </c>
      <c r="E119" s="61" t="s">
        <v>46</v>
      </c>
      <c r="F119" s="62" t="s">
        <v>46</v>
      </c>
      <c r="G119" s="63" t="s">
        <v>46</v>
      </c>
      <c r="H119" s="64"/>
      <c r="I119" s="64" t="s">
        <v>47</v>
      </c>
      <c r="J119" s="65">
        <v>10</v>
      </c>
      <c r="K119" s="66">
        <f>1579</f>
        <v>1579</v>
      </c>
      <c r="L119" s="67" t="s">
        <v>858</v>
      </c>
      <c r="M119" s="66">
        <f>1665</f>
        <v>1665</v>
      </c>
      <c r="N119" s="67" t="s">
        <v>855</v>
      </c>
      <c r="O119" s="66">
        <f>1570</f>
        <v>1570</v>
      </c>
      <c r="P119" s="67" t="s">
        <v>854</v>
      </c>
      <c r="Q119" s="66">
        <f>1660</f>
        <v>1660</v>
      </c>
      <c r="R119" s="67" t="s">
        <v>100</v>
      </c>
      <c r="S119" s="68">
        <f>1614.71</f>
        <v>1614.71</v>
      </c>
      <c r="T119" s="65">
        <f>190</f>
        <v>190</v>
      </c>
      <c r="U119" s="65" t="str">
        <f t="shared" si="2"/>
        <v>－</v>
      </c>
      <c r="V119" s="65">
        <f>310930</f>
        <v>310930</v>
      </c>
      <c r="W119" s="65" t="str">
        <f t="shared" si="3"/>
        <v>－</v>
      </c>
      <c r="X119" s="69">
        <f>7</f>
        <v>7</v>
      </c>
    </row>
    <row r="120" spans="1:24">
      <c r="A120" s="60" t="s">
        <v>852</v>
      </c>
      <c r="B120" s="60" t="s">
        <v>402</v>
      </c>
      <c r="C120" s="60" t="s">
        <v>403</v>
      </c>
      <c r="D120" s="60" t="s">
        <v>404</v>
      </c>
      <c r="E120" s="61" t="s">
        <v>46</v>
      </c>
      <c r="F120" s="62" t="s">
        <v>46</v>
      </c>
      <c r="G120" s="63" t="s">
        <v>46</v>
      </c>
      <c r="H120" s="64"/>
      <c r="I120" s="64" t="s">
        <v>47</v>
      </c>
      <c r="J120" s="65">
        <v>10</v>
      </c>
      <c r="K120" s="66">
        <f>985</f>
        <v>985</v>
      </c>
      <c r="L120" s="67" t="s">
        <v>853</v>
      </c>
      <c r="M120" s="66">
        <f>1913</f>
        <v>1913</v>
      </c>
      <c r="N120" s="67" t="s">
        <v>854</v>
      </c>
      <c r="O120" s="66">
        <f>885</f>
        <v>885</v>
      </c>
      <c r="P120" s="67" t="s">
        <v>240</v>
      </c>
      <c r="Q120" s="66">
        <f>885</f>
        <v>885</v>
      </c>
      <c r="R120" s="67" t="s">
        <v>240</v>
      </c>
      <c r="S120" s="68">
        <f>1136.11</f>
        <v>1136.1099999999999</v>
      </c>
      <c r="T120" s="65">
        <f>274990</f>
        <v>274990</v>
      </c>
      <c r="U120" s="65" t="str">
        <f t="shared" si="2"/>
        <v>－</v>
      </c>
      <c r="V120" s="65">
        <f>321125370</f>
        <v>321125370</v>
      </c>
      <c r="W120" s="65" t="str">
        <f t="shared" si="3"/>
        <v>－</v>
      </c>
      <c r="X120" s="69">
        <f>18</f>
        <v>18</v>
      </c>
    </row>
    <row r="121" spans="1:24">
      <c r="A121" s="60" t="s">
        <v>852</v>
      </c>
      <c r="B121" s="60" t="s">
        <v>405</v>
      </c>
      <c r="C121" s="60" t="s">
        <v>406</v>
      </c>
      <c r="D121" s="60" t="s">
        <v>407</v>
      </c>
      <c r="E121" s="61" t="s">
        <v>46</v>
      </c>
      <c r="F121" s="62" t="s">
        <v>46</v>
      </c>
      <c r="G121" s="63" t="s">
        <v>46</v>
      </c>
      <c r="H121" s="64" t="s">
        <v>540</v>
      </c>
      <c r="I121" s="64" t="s">
        <v>47</v>
      </c>
      <c r="J121" s="65">
        <v>10</v>
      </c>
      <c r="K121" s="66">
        <f>823</f>
        <v>823</v>
      </c>
      <c r="L121" s="67" t="s">
        <v>853</v>
      </c>
      <c r="M121" s="66">
        <f>1028</f>
        <v>1028</v>
      </c>
      <c r="N121" s="67" t="s">
        <v>100</v>
      </c>
      <c r="O121" s="66">
        <f>823</f>
        <v>823</v>
      </c>
      <c r="P121" s="67" t="s">
        <v>853</v>
      </c>
      <c r="Q121" s="66">
        <f>838</f>
        <v>838</v>
      </c>
      <c r="R121" s="67" t="s">
        <v>240</v>
      </c>
      <c r="S121" s="68">
        <f>894.39</f>
        <v>894.39</v>
      </c>
      <c r="T121" s="65">
        <f>48490</f>
        <v>48490</v>
      </c>
      <c r="U121" s="65" t="str">
        <f t="shared" si="2"/>
        <v>－</v>
      </c>
      <c r="V121" s="65">
        <f>44120460</f>
        <v>44120460</v>
      </c>
      <c r="W121" s="65" t="str">
        <f t="shared" si="3"/>
        <v>－</v>
      </c>
      <c r="X121" s="69">
        <f>18</f>
        <v>18</v>
      </c>
    </row>
    <row r="122" spans="1:24">
      <c r="A122" s="60" t="s">
        <v>852</v>
      </c>
      <c r="B122" s="60" t="s">
        <v>408</v>
      </c>
      <c r="C122" s="60" t="s">
        <v>409</v>
      </c>
      <c r="D122" s="60" t="s">
        <v>410</v>
      </c>
      <c r="E122" s="61" t="s">
        <v>46</v>
      </c>
      <c r="F122" s="62" t="s">
        <v>46</v>
      </c>
      <c r="G122" s="63" t="s">
        <v>46</v>
      </c>
      <c r="H122" s="64"/>
      <c r="I122" s="64" t="s">
        <v>47</v>
      </c>
      <c r="J122" s="65">
        <v>1</v>
      </c>
      <c r="K122" s="66">
        <f>20180</f>
        <v>20180</v>
      </c>
      <c r="L122" s="67" t="s">
        <v>853</v>
      </c>
      <c r="M122" s="66">
        <f>22290</f>
        <v>22290</v>
      </c>
      <c r="N122" s="67" t="s">
        <v>176</v>
      </c>
      <c r="O122" s="66">
        <f>20180</f>
        <v>20180</v>
      </c>
      <c r="P122" s="67" t="s">
        <v>853</v>
      </c>
      <c r="Q122" s="66">
        <f>21530</f>
        <v>21530</v>
      </c>
      <c r="R122" s="67" t="s">
        <v>240</v>
      </c>
      <c r="S122" s="68">
        <f>21571.67</f>
        <v>21571.67</v>
      </c>
      <c r="T122" s="65">
        <f>30177</f>
        <v>30177</v>
      </c>
      <c r="U122" s="65" t="str">
        <f t="shared" si="2"/>
        <v>－</v>
      </c>
      <c r="V122" s="65">
        <f>650135780</f>
        <v>650135780</v>
      </c>
      <c r="W122" s="65" t="str">
        <f t="shared" si="3"/>
        <v>－</v>
      </c>
      <c r="X122" s="69">
        <f>18</f>
        <v>18</v>
      </c>
    </row>
    <row r="123" spans="1:24">
      <c r="A123" s="60" t="s">
        <v>852</v>
      </c>
      <c r="B123" s="60" t="s">
        <v>411</v>
      </c>
      <c r="C123" s="60" t="s">
        <v>412</v>
      </c>
      <c r="D123" s="60" t="s">
        <v>413</v>
      </c>
      <c r="E123" s="61" t="s">
        <v>46</v>
      </c>
      <c r="F123" s="62" t="s">
        <v>46</v>
      </c>
      <c r="G123" s="63" t="s">
        <v>46</v>
      </c>
      <c r="H123" s="64"/>
      <c r="I123" s="64" t="s">
        <v>47</v>
      </c>
      <c r="J123" s="65">
        <v>1</v>
      </c>
      <c r="K123" s="66">
        <f>2195</f>
        <v>2195</v>
      </c>
      <c r="L123" s="67" t="s">
        <v>853</v>
      </c>
      <c r="M123" s="66">
        <f>2441</f>
        <v>2441</v>
      </c>
      <c r="N123" s="67" t="s">
        <v>854</v>
      </c>
      <c r="O123" s="66">
        <f>2194</f>
        <v>2194</v>
      </c>
      <c r="P123" s="67" t="s">
        <v>853</v>
      </c>
      <c r="Q123" s="66">
        <f>2304</f>
        <v>2304</v>
      </c>
      <c r="R123" s="67" t="s">
        <v>240</v>
      </c>
      <c r="S123" s="68">
        <f>2342.56</f>
        <v>2342.56</v>
      </c>
      <c r="T123" s="65">
        <f>45744</f>
        <v>45744</v>
      </c>
      <c r="U123" s="65" t="str">
        <f t="shared" si="2"/>
        <v>－</v>
      </c>
      <c r="V123" s="65">
        <f>107327931</f>
        <v>107327931</v>
      </c>
      <c r="W123" s="65" t="str">
        <f t="shared" si="3"/>
        <v>－</v>
      </c>
      <c r="X123" s="69">
        <f>18</f>
        <v>18</v>
      </c>
    </row>
    <row r="124" spans="1:24">
      <c r="A124" s="60" t="s">
        <v>852</v>
      </c>
      <c r="B124" s="60" t="s">
        <v>414</v>
      </c>
      <c r="C124" s="60" t="s">
        <v>415</v>
      </c>
      <c r="D124" s="60" t="s">
        <v>416</v>
      </c>
      <c r="E124" s="61" t="s">
        <v>46</v>
      </c>
      <c r="F124" s="62" t="s">
        <v>46</v>
      </c>
      <c r="G124" s="63" t="s">
        <v>46</v>
      </c>
      <c r="H124" s="64"/>
      <c r="I124" s="64" t="s">
        <v>47</v>
      </c>
      <c r="J124" s="65">
        <v>10</v>
      </c>
      <c r="K124" s="66">
        <f>31050</f>
        <v>31050</v>
      </c>
      <c r="L124" s="67" t="s">
        <v>853</v>
      </c>
      <c r="M124" s="66">
        <f>38300</f>
        <v>38300</v>
      </c>
      <c r="N124" s="67" t="s">
        <v>854</v>
      </c>
      <c r="O124" s="66">
        <f>31000</f>
        <v>31000</v>
      </c>
      <c r="P124" s="67" t="s">
        <v>853</v>
      </c>
      <c r="Q124" s="66">
        <f>34250</f>
        <v>34250</v>
      </c>
      <c r="R124" s="67" t="s">
        <v>240</v>
      </c>
      <c r="S124" s="68">
        <f>35277.78</f>
        <v>35277.78</v>
      </c>
      <c r="T124" s="65">
        <f>4769490</f>
        <v>4769490</v>
      </c>
      <c r="U124" s="65">
        <f>820</f>
        <v>820</v>
      </c>
      <c r="V124" s="65">
        <f>167979743270</f>
        <v>167979743270</v>
      </c>
      <c r="W124" s="65">
        <f>28993270</f>
        <v>28993270</v>
      </c>
      <c r="X124" s="69">
        <f>18</f>
        <v>18</v>
      </c>
    </row>
    <row r="125" spans="1:24">
      <c r="A125" s="60" t="s">
        <v>852</v>
      </c>
      <c r="B125" s="60" t="s">
        <v>417</v>
      </c>
      <c r="C125" s="60" t="s">
        <v>418</v>
      </c>
      <c r="D125" s="60" t="s">
        <v>419</v>
      </c>
      <c r="E125" s="61" t="s">
        <v>46</v>
      </c>
      <c r="F125" s="62" t="s">
        <v>46</v>
      </c>
      <c r="G125" s="63" t="s">
        <v>46</v>
      </c>
      <c r="H125" s="64"/>
      <c r="I125" s="64" t="s">
        <v>47</v>
      </c>
      <c r="J125" s="65">
        <v>10</v>
      </c>
      <c r="K125" s="66">
        <f>2891</f>
        <v>2891</v>
      </c>
      <c r="L125" s="67" t="s">
        <v>853</v>
      </c>
      <c r="M125" s="66">
        <f>2891</f>
        <v>2891</v>
      </c>
      <c r="N125" s="67" t="s">
        <v>853</v>
      </c>
      <c r="O125" s="66">
        <f>2593</f>
        <v>2593</v>
      </c>
      <c r="P125" s="67" t="s">
        <v>854</v>
      </c>
      <c r="Q125" s="66">
        <f>2739</f>
        <v>2739</v>
      </c>
      <c r="R125" s="67" t="s">
        <v>240</v>
      </c>
      <c r="S125" s="68">
        <f>2707.33</f>
        <v>2707.33</v>
      </c>
      <c r="T125" s="65">
        <f>1317610</f>
        <v>1317610</v>
      </c>
      <c r="U125" s="65">
        <f>100</f>
        <v>100</v>
      </c>
      <c r="V125" s="65">
        <f>3567771210</f>
        <v>3567771210</v>
      </c>
      <c r="W125" s="65">
        <f>263800</f>
        <v>263800</v>
      </c>
      <c r="X125" s="69">
        <f>18</f>
        <v>18</v>
      </c>
    </row>
    <row r="126" spans="1:24">
      <c r="A126" s="60" t="s">
        <v>852</v>
      </c>
      <c r="B126" s="60" t="s">
        <v>420</v>
      </c>
      <c r="C126" s="60" t="s">
        <v>421</v>
      </c>
      <c r="D126" s="60" t="s">
        <v>422</v>
      </c>
      <c r="E126" s="61" t="s">
        <v>46</v>
      </c>
      <c r="F126" s="62" t="s">
        <v>46</v>
      </c>
      <c r="G126" s="63" t="s">
        <v>46</v>
      </c>
      <c r="H126" s="64"/>
      <c r="I126" s="64" t="s">
        <v>47</v>
      </c>
      <c r="J126" s="65">
        <v>10</v>
      </c>
      <c r="K126" s="66">
        <f>932</f>
        <v>932</v>
      </c>
      <c r="L126" s="67" t="s">
        <v>853</v>
      </c>
      <c r="M126" s="66">
        <f>1079</f>
        <v>1079</v>
      </c>
      <c r="N126" s="67" t="s">
        <v>132</v>
      </c>
      <c r="O126" s="66">
        <f>930</f>
        <v>930</v>
      </c>
      <c r="P126" s="67" t="s">
        <v>853</v>
      </c>
      <c r="Q126" s="66">
        <f>942</f>
        <v>942</v>
      </c>
      <c r="R126" s="67" t="s">
        <v>240</v>
      </c>
      <c r="S126" s="68">
        <f>986.28</f>
        <v>986.28</v>
      </c>
      <c r="T126" s="65">
        <f>9040</f>
        <v>9040</v>
      </c>
      <c r="U126" s="65" t="str">
        <f>"－"</f>
        <v>－</v>
      </c>
      <c r="V126" s="65">
        <f>8790720</f>
        <v>8790720</v>
      </c>
      <c r="W126" s="65" t="str">
        <f>"－"</f>
        <v>－</v>
      </c>
      <c r="X126" s="69">
        <f>18</f>
        <v>18</v>
      </c>
    </row>
    <row r="127" spans="1:24">
      <c r="A127" s="60" t="s">
        <v>852</v>
      </c>
      <c r="B127" s="60" t="s">
        <v>423</v>
      </c>
      <c r="C127" s="60" t="s">
        <v>424</v>
      </c>
      <c r="D127" s="60" t="s">
        <v>425</v>
      </c>
      <c r="E127" s="61" t="s">
        <v>46</v>
      </c>
      <c r="F127" s="62" t="s">
        <v>46</v>
      </c>
      <c r="G127" s="63" t="s">
        <v>46</v>
      </c>
      <c r="H127" s="64"/>
      <c r="I127" s="64" t="s">
        <v>47</v>
      </c>
      <c r="J127" s="65">
        <v>10</v>
      </c>
      <c r="K127" s="66">
        <f>1442</f>
        <v>1442</v>
      </c>
      <c r="L127" s="67" t="s">
        <v>857</v>
      </c>
      <c r="M127" s="66">
        <f>1543</f>
        <v>1543</v>
      </c>
      <c r="N127" s="67" t="s">
        <v>854</v>
      </c>
      <c r="O127" s="66">
        <f>1442</f>
        <v>1442</v>
      </c>
      <c r="P127" s="67" t="s">
        <v>857</v>
      </c>
      <c r="Q127" s="66">
        <f>1520</f>
        <v>1520</v>
      </c>
      <c r="R127" s="67" t="s">
        <v>613</v>
      </c>
      <c r="S127" s="68">
        <f>1503.67</f>
        <v>1503.67</v>
      </c>
      <c r="T127" s="65">
        <f>710</f>
        <v>710</v>
      </c>
      <c r="U127" s="65" t="str">
        <f>"－"</f>
        <v>－</v>
      </c>
      <c r="V127" s="65">
        <f>1070110</f>
        <v>1070110</v>
      </c>
      <c r="W127" s="65" t="str">
        <f>"－"</f>
        <v>－</v>
      </c>
      <c r="X127" s="69">
        <f>9</f>
        <v>9</v>
      </c>
    </row>
    <row r="128" spans="1:24">
      <c r="A128" s="60" t="s">
        <v>852</v>
      </c>
      <c r="B128" s="60" t="s">
        <v>426</v>
      </c>
      <c r="C128" s="60" t="s">
        <v>427</v>
      </c>
      <c r="D128" s="60" t="s">
        <v>428</v>
      </c>
      <c r="E128" s="61" t="s">
        <v>46</v>
      </c>
      <c r="F128" s="62" t="s">
        <v>46</v>
      </c>
      <c r="G128" s="63" t="s">
        <v>46</v>
      </c>
      <c r="H128" s="64"/>
      <c r="I128" s="64" t="s">
        <v>47</v>
      </c>
      <c r="J128" s="65">
        <v>1</v>
      </c>
      <c r="K128" s="66">
        <f>1661</f>
        <v>1661</v>
      </c>
      <c r="L128" s="67" t="s">
        <v>853</v>
      </c>
      <c r="M128" s="66">
        <f>1764</f>
        <v>1764</v>
      </c>
      <c r="N128" s="67" t="s">
        <v>854</v>
      </c>
      <c r="O128" s="66">
        <f>1625</f>
        <v>1625</v>
      </c>
      <c r="P128" s="67" t="s">
        <v>853</v>
      </c>
      <c r="Q128" s="66">
        <f>1661</f>
        <v>1661</v>
      </c>
      <c r="R128" s="67" t="s">
        <v>240</v>
      </c>
      <c r="S128" s="68">
        <f>1688.27</f>
        <v>1688.27</v>
      </c>
      <c r="T128" s="65">
        <f>873</f>
        <v>873</v>
      </c>
      <c r="U128" s="65" t="str">
        <f>"－"</f>
        <v>－</v>
      </c>
      <c r="V128" s="65">
        <f>1462937</f>
        <v>1462937</v>
      </c>
      <c r="W128" s="65" t="str">
        <f>"－"</f>
        <v>－</v>
      </c>
      <c r="X128" s="69">
        <f>15</f>
        <v>15</v>
      </c>
    </row>
    <row r="129" spans="1:24">
      <c r="A129" s="60" t="s">
        <v>852</v>
      </c>
      <c r="B129" s="60" t="s">
        <v>429</v>
      </c>
      <c r="C129" s="60" t="s">
        <v>430</v>
      </c>
      <c r="D129" s="60" t="s">
        <v>431</v>
      </c>
      <c r="E129" s="61" t="s">
        <v>46</v>
      </c>
      <c r="F129" s="62" t="s">
        <v>46</v>
      </c>
      <c r="G129" s="63" t="s">
        <v>46</v>
      </c>
      <c r="H129" s="64"/>
      <c r="I129" s="64" t="s">
        <v>47</v>
      </c>
      <c r="J129" s="65">
        <v>1</v>
      </c>
      <c r="K129" s="66">
        <f>16460</f>
        <v>16460</v>
      </c>
      <c r="L129" s="67" t="s">
        <v>853</v>
      </c>
      <c r="M129" s="66">
        <f>17970</f>
        <v>17970</v>
      </c>
      <c r="N129" s="67" t="s">
        <v>854</v>
      </c>
      <c r="O129" s="66">
        <f>16430</f>
        <v>16430</v>
      </c>
      <c r="P129" s="67" t="s">
        <v>853</v>
      </c>
      <c r="Q129" s="66">
        <f>16900</f>
        <v>16900</v>
      </c>
      <c r="R129" s="67" t="s">
        <v>240</v>
      </c>
      <c r="S129" s="68">
        <f>17350.56</f>
        <v>17350.560000000001</v>
      </c>
      <c r="T129" s="65">
        <f>176883</f>
        <v>176883</v>
      </c>
      <c r="U129" s="65">
        <f>40103</f>
        <v>40103</v>
      </c>
      <c r="V129" s="65">
        <f>3031313749</f>
        <v>3031313749</v>
      </c>
      <c r="W129" s="65">
        <f>682083359</f>
        <v>682083359</v>
      </c>
      <c r="X129" s="69">
        <f>18</f>
        <v>18</v>
      </c>
    </row>
    <row r="130" spans="1:24">
      <c r="A130" s="60" t="s">
        <v>852</v>
      </c>
      <c r="B130" s="60" t="s">
        <v>432</v>
      </c>
      <c r="C130" s="60" t="s">
        <v>433</v>
      </c>
      <c r="D130" s="60" t="s">
        <v>434</v>
      </c>
      <c r="E130" s="61" t="s">
        <v>46</v>
      </c>
      <c r="F130" s="62" t="s">
        <v>46</v>
      </c>
      <c r="G130" s="63" t="s">
        <v>46</v>
      </c>
      <c r="H130" s="64"/>
      <c r="I130" s="64" t="s">
        <v>47</v>
      </c>
      <c r="J130" s="65">
        <v>1</v>
      </c>
      <c r="K130" s="66">
        <f>1500</f>
        <v>1500</v>
      </c>
      <c r="L130" s="67" t="s">
        <v>853</v>
      </c>
      <c r="M130" s="66">
        <f>1638</f>
        <v>1638</v>
      </c>
      <c r="N130" s="67" t="s">
        <v>854</v>
      </c>
      <c r="O130" s="66">
        <f>1500</f>
        <v>1500</v>
      </c>
      <c r="P130" s="67" t="s">
        <v>853</v>
      </c>
      <c r="Q130" s="66">
        <f>1548</f>
        <v>1548</v>
      </c>
      <c r="R130" s="67" t="s">
        <v>240</v>
      </c>
      <c r="S130" s="68">
        <f>1584.22</f>
        <v>1584.22</v>
      </c>
      <c r="T130" s="65">
        <f>419901</f>
        <v>419901</v>
      </c>
      <c r="U130" s="65" t="str">
        <f>"－"</f>
        <v>－</v>
      </c>
      <c r="V130" s="65">
        <f>681863262</f>
        <v>681863262</v>
      </c>
      <c r="W130" s="65" t="str">
        <f>"－"</f>
        <v>－</v>
      </c>
      <c r="X130" s="69">
        <f>18</f>
        <v>18</v>
      </c>
    </row>
    <row r="131" spans="1:24">
      <c r="A131" s="60" t="s">
        <v>852</v>
      </c>
      <c r="B131" s="60" t="s">
        <v>435</v>
      </c>
      <c r="C131" s="60" t="s">
        <v>436</v>
      </c>
      <c r="D131" s="60" t="s">
        <v>437</v>
      </c>
      <c r="E131" s="61" t="s">
        <v>46</v>
      </c>
      <c r="F131" s="62" t="s">
        <v>46</v>
      </c>
      <c r="G131" s="63" t="s">
        <v>46</v>
      </c>
      <c r="H131" s="64"/>
      <c r="I131" s="64" t="s">
        <v>47</v>
      </c>
      <c r="J131" s="65">
        <v>1</v>
      </c>
      <c r="K131" s="66">
        <f>16730</f>
        <v>16730</v>
      </c>
      <c r="L131" s="67" t="s">
        <v>853</v>
      </c>
      <c r="M131" s="66">
        <f>18290</f>
        <v>18290</v>
      </c>
      <c r="N131" s="67" t="s">
        <v>854</v>
      </c>
      <c r="O131" s="66">
        <f>16730</f>
        <v>16730</v>
      </c>
      <c r="P131" s="67" t="s">
        <v>853</v>
      </c>
      <c r="Q131" s="66">
        <f>17220</f>
        <v>17220</v>
      </c>
      <c r="R131" s="67" t="s">
        <v>240</v>
      </c>
      <c r="S131" s="68">
        <f>17678.33</f>
        <v>17678.330000000002</v>
      </c>
      <c r="T131" s="65">
        <f>53737</f>
        <v>53737</v>
      </c>
      <c r="U131" s="65">
        <f>28550</f>
        <v>28550</v>
      </c>
      <c r="V131" s="65">
        <f>947349950</f>
        <v>947349950</v>
      </c>
      <c r="W131" s="65">
        <f>500024700</f>
        <v>500024700</v>
      </c>
      <c r="X131" s="69">
        <f>18</f>
        <v>18</v>
      </c>
    </row>
    <row r="132" spans="1:24">
      <c r="A132" s="60" t="s">
        <v>852</v>
      </c>
      <c r="B132" s="60" t="s">
        <v>438</v>
      </c>
      <c r="C132" s="60" t="s">
        <v>439</v>
      </c>
      <c r="D132" s="60" t="s">
        <v>440</v>
      </c>
      <c r="E132" s="61" t="s">
        <v>46</v>
      </c>
      <c r="F132" s="62" t="s">
        <v>46</v>
      </c>
      <c r="G132" s="63" t="s">
        <v>46</v>
      </c>
      <c r="H132" s="64"/>
      <c r="I132" s="64" t="s">
        <v>47</v>
      </c>
      <c r="J132" s="65">
        <v>10</v>
      </c>
      <c r="K132" s="66">
        <f>1876</f>
        <v>1876</v>
      </c>
      <c r="L132" s="67" t="s">
        <v>853</v>
      </c>
      <c r="M132" s="66">
        <f>2027</f>
        <v>2027</v>
      </c>
      <c r="N132" s="67" t="s">
        <v>176</v>
      </c>
      <c r="O132" s="66">
        <f>1830</f>
        <v>1830</v>
      </c>
      <c r="P132" s="67" t="s">
        <v>859</v>
      </c>
      <c r="Q132" s="66">
        <f>2025</f>
        <v>2025</v>
      </c>
      <c r="R132" s="67" t="s">
        <v>240</v>
      </c>
      <c r="S132" s="68">
        <f>1942.89</f>
        <v>1942.89</v>
      </c>
      <c r="T132" s="65">
        <f>12752710</f>
        <v>12752710</v>
      </c>
      <c r="U132" s="65">
        <f>5551000</f>
        <v>5551000</v>
      </c>
      <c r="V132" s="65">
        <f>24211109660</f>
        <v>24211109660</v>
      </c>
      <c r="W132" s="65">
        <f>10547837860</f>
        <v>10547837860</v>
      </c>
      <c r="X132" s="69">
        <f>18</f>
        <v>18</v>
      </c>
    </row>
    <row r="133" spans="1:24">
      <c r="A133" s="60" t="s">
        <v>852</v>
      </c>
      <c r="B133" s="60" t="s">
        <v>441</v>
      </c>
      <c r="C133" s="60" t="s">
        <v>442</v>
      </c>
      <c r="D133" s="60" t="s">
        <v>443</v>
      </c>
      <c r="E133" s="61" t="s">
        <v>46</v>
      </c>
      <c r="F133" s="62" t="s">
        <v>46</v>
      </c>
      <c r="G133" s="63" t="s">
        <v>46</v>
      </c>
      <c r="H133" s="64"/>
      <c r="I133" s="64" t="s">
        <v>47</v>
      </c>
      <c r="J133" s="65">
        <v>10</v>
      </c>
      <c r="K133" s="66">
        <f>1628</f>
        <v>1628</v>
      </c>
      <c r="L133" s="67" t="s">
        <v>853</v>
      </c>
      <c r="M133" s="66">
        <f>1736</f>
        <v>1736</v>
      </c>
      <c r="N133" s="67" t="s">
        <v>854</v>
      </c>
      <c r="O133" s="66">
        <f>1628</f>
        <v>1628</v>
      </c>
      <c r="P133" s="67" t="s">
        <v>853</v>
      </c>
      <c r="Q133" s="66">
        <f>1658</f>
        <v>1658</v>
      </c>
      <c r="R133" s="67" t="s">
        <v>240</v>
      </c>
      <c r="S133" s="68">
        <f>1687.89</f>
        <v>1687.89</v>
      </c>
      <c r="T133" s="65">
        <f>2250</f>
        <v>2250</v>
      </c>
      <c r="U133" s="65" t="str">
        <f>"－"</f>
        <v>－</v>
      </c>
      <c r="V133" s="65">
        <f>3730780</f>
        <v>3730780</v>
      </c>
      <c r="W133" s="65" t="str">
        <f>"－"</f>
        <v>－</v>
      </c>
      <c r="X133" s="69">
        <f>9</f>
        <v>9</v>
      </c>
    </row>
    <row r="134" spans="1:24">
      <c r="A134" s="60" t="s">
        <v>852</v>
      </c>
      <c r="B134" s="60" t="s">
        <v>444</v>
      </c>
      <c r="C134" s="60" t="s">
        <v>445</v>
      </c>
      <c r="D134" s="60" t="s">
        <v>446</v>
      </c>
      <c r="E134" s="61" t="s">
        <v>46</v>
      </c>
      <c r="F134" s="62" t="s">
        <v>46</v>
      </c>
      <c r="G134" s="63" t="s">
        <v>46</v>
      </c>
      <c r="H134" s="64"/>
      <c r="I134" s="64" t="s">
        <v>47</v>
      </c>
      <c r="J134" s="65">
        <v>10</v>
      </c>
      <c r="K134" s="66">
        <f>1889</f>
        <v>1889</v>
      </c>
      <c r="L134" s="67" t="s">
        <v>853</v>
      </c>
      <c r="M134" s="66">
        <f>2053</f>
        <v>2053</v>
      </c>
      <c r="N134" s="67" t="s">
        <v>855</v>
      </c>
      <c r="O134" s="66">
        <f>1865</f>
        <v>1865</v>
      </c>
      <c r="P134" s="67" t="s">
        <v>858</v>
      </c>
      <c r="Q134" s="66">
        <f>1997</f>
        <v>1997</v>
      </c>
      <c r="R134" s="67" t="s">
        <v>240</v>
      </c>
      <c r="S134" s="68">
        <f>1958</f>
        <v>1958</v>
      </c>
      <c r="T134" s="65">
        <f>1218310</f>
        <v>1218310</v>
      </c>
      <c r="U134" s="65">
        <f>505940</f>
        <v>505940</v>
      </c>
      <c r="V134" s="65">
        <f>2404791540</f>
        <v>2404791540</v>
      </c>
      <c r="W134" s="65">
        <f>1021098120</f>
        <v>1021098120</v>
      </c>
      <c r="X134" s="69">
        <f>18</f>
        <v>18</v>
      </c>
    </row>
    <row r="135" spans="1:24">
      <c r="A135" s="60" t="s">
        <v>852</v>
      </c>
      <c r="B135" s="60" t="s">
        <v>447</v>
      </c>
      <c r="C135" s="60" t="s">
        <v>448</v>
      </c>
      <c r="D135" s="60" t="s">
        <v>449</v>
      </c>
      <c r="E135" s="61" t="s">
        <v>46</v>
      </c>
      <c r="F135" s="62" t="s">
        <v>46</v>
      </c>
      <c r="G135" s="63" t="s">
        <v>46</v>
      </c>
      <c r="H135" s="64"/>
      <c r="I135" s="64" t="s">
        <v>47</v>
      </c>
      <c r="J135" s="65">
        <v>1</v>
      </c>
      <c r="K135" s="66">
        <f>18270</f>
        <v>18270</v>
      </c>
      <c r="L135" s="67" t="s">
        <v>858</v>
      </c>
      <c r="M135" s="66">
        <f>19770</f>
        <v>19770</v>
      </c>
      <c r="N135" s="67" t="s">
        <v>854</v>
      </c>
      <c r="O135" s="66">
        <f>18270</f>
        <v>18270</v>
      </c>
      <c r="P135" s="67" t="s">
        <v>858</v>
      </c>
      <c r="Q135" s="66">
        <f>19050</f>
        <v>19050</v>
      </c>
      <c r="R135" s="67" t="s">
        <v>240</v>
      </c>
      <c r="S135" s="68">
        <f>19149</f>
        <v>19149</v>
      </c>
      <c r="T135" s="65">
        <f>93</f>
        <v>93</v>
      </c>
      <c r="U135" s="65" t="str">
        <f>"－"</f>
        <v>－</v>
      </c>
      <c r="V135" s="65">
        <f>1810660</f>
        <v>1810660</v>
      </c>
      <c r="W135" s="65" t="str">
        <f>"－"</f>
        <v>－</v>
      </c>
      <c r="X135" s="69">
        <f>10</f>
        <v>10</v>
      </c>
    </row>
    <row r="136" spans="1:24">
      <c r="A136" s="60" t="s">
        <v>852</v>
      </c>
      <c r="B136" s="60" t="s">
        <v>450</v>
      </c>
      <c r="C136" s="60" t="s">
        <v>451</v>
      </c>
      <c r="D136" s="60" t="s">
        <v>452</v>
      </c>
      <c r="E136" s="61" t="s">
        <v>46</v>
      </c>
      <c r="F136" s="62" t="s">
        <v>46</v>
      </c>
      <c r="G136" s="63" t="s">
        <v>46</v>
      </c>
      <c r="H136" s="64"/>
      <c r="I136" s="64" t="s">
        <v>47</v>
      </c>
      <c r="J136" s="65">
        <v>1</v>
      </c>
      <c r="K136" s="66">
        <f>16520</f>
        <v>16520</v>
      </c>
      <c r="L136" s="67" t="s">
        <v>853</v>
      </c>
      <c r="M136" s="66">
        <f>18130</f>
        <v>18130</v>
      </c>
      <c r="N136" s="67" t="s">
        <v>854</v>
      </c>
      <c r="O136" s="66">
        <f>16520</f>
        <v>16520</v>
      </c>
      <c r="P136" s="67" t="s">
        <v>853</v>
      </c>
      <c r="Q136" s="66">
        <f>17150</f>
        <v>17150</v>
      </c>
      <c r="R136" s="67" t="s">
        <v>240</v>
      </c>
      <c r="S136" s="68">
        <f>17508.89</f>
        <v>17508.89</v>
      </c>
      <c r="T136" s="65">
        <f>4823</f>
        <v>4823</v>
      </c>
      <c r="U136" s="65">
        <f>2</f>
        <v>2</v>
      </c>
      <c r="V136" s="65">
        <f>85305660</f>
        <v>85305660</v>
      </c>
      <c r="W136" s="65">
        <f>34850</f>
        <v>34850</v>
      </c>
      <c r="X136" s="69">
        <f>18</f>
        <v>18</v>
      </c>
    </row>
    <row r="137" spans="1:24">
      <c r="A137" s="60" t="s">
        <v>852</v>
      </c>
      <c r="B137" s="60" t="s">
        <v>453</v>
      </c>
      <c r="C137" s="60" t="s">
        <v>454</v>
      </c>
      <c r="D137" s="60" t="s">
        <v>455</v>
      </c>
      <c r="E137" s="61" t="s">
        <v>46</v>
      </c>
      <c r="F137" s="62" t="s">
        <v>46</v>
      </c>
      <c r="G137" s="63" t="s">
        <v>46</v>
      </c>
      <c r="H137" s="64"/>
      <c r="I137" s="64" t="s">
        <v>47</v>
      </c>
      <c r="J137" s="65">
        <v>100</v>
      </c>
      <c r="K137" s="66">
        <f>126</f>
        <v>126</v>
      </c>
      <c r="L137" s="67" t="s">
        <v>853</v>
      </c>
      <c r="M137" s="66">
        <f>148</f>
        <v>148</v>
      </c>
      <c r="N137" s="67" t="s">
        <v>854</v>
      </c>
      <c r="O137" s="66">
        <f>125</f>
        <v>125</v>
      </c>
      <c r="P137" s="67" t="s">
        <v>853</v>
      </c>
      <c r="Q137" s="66">
        <f>144</f>
        <v>144</v>
      </c>
      <c r="R137" s="67" t="s">
        <v>240</v>
      </c>
      <c r="S137" s="68">
        <f>139.06</f>
        <v>139.06</v>
      </c>
      <c r="T137" s="65">
        <f>73465700</f>
        <v>73465700</v>
      </c>
      <c r="U137" s="65">
        <f>266600</f>
        <v>266600</v>
      </c>
      <c r="V137" s="65">
        <f>10269490504</f>
        <v>10269490504</v>
      </c>
      <c r="W137" s="65">
        <f>38815004</f>
        <v>38815004</v>
      </c>
      <c r="X137" s="69">
        <f>18</f>
        <v>18</v>
      </c>
    </row>
    <row r="138" spans="1:24">
      <c r="A138" s="60" t="s">
        <v>852</v>
      </c>
      <c r="B138" s="60" t="s">
        <v>456</v>
      </c>
      <c r="C138" s="60" t="s">
        <v>457</v>
      </c>
      <c r="D138" s="60" t="s">
        <v>458</v>
      </c>
      <c r="E138" s="61" t="s">
        <v>46</v>
      </c>
      <c r="F138" s="62" t="s">
        <v>46</v>
      </c>
      <c r="G138" s="63" t="s">
        <v>46</v>
      </c>
      <c r="H138" s="64"/>
      <c r="I138" s="64" t="s">
        <v>47</v>
      </c>
      <c r="J138" s="65">
        <v>1</v>
      </c>
      <c r="K138" s="66">
        <f>27200</f>
        <v>27200</v>
      </c>
      <c r="L138" s="67" t="s">
        <v>853</v>
      </c>
      <c r="M138" s="66">
        <f>27940</f>
        <v>27940</v>
      </c>
      <c r="N138" s="67" t="s">
        <v>131</v>
      </c>
      <c r="O138" s="66">
        <f>26500</f>
        <v>26500</v>
      </c>
      <c r="P138" s="67" t="s">
        <v>240</v>
      </c>
      <c r="Q138" s="66">
        <f>26500</f>
        <v>26500</v>
      </c>
      <c r="R138" s="67" t="s">
        <v>240</v>
      </c>
      <c r="S138" s="68">
        <f>27294.12</f>
        <v>27294.12</v>
      </c>
      <c r="T138" s="65">
        <f>762</f>
        <v>762</v>
      </c>
      <c r="U138" s="65" t="str">
        <f t="shared" ref="U138:U148" si="4">"－"</f>
        <v>－</v>
      </c>
      <c r="V138" s="65">
        <f>20804470</f>
        <v>20804470</v>
      </c>
      <c r="W138" s="65" t="str">
        <f t="shared" ref="W138:W148" si="5">"－"</f>
        <v>－</v>
      </c>
      <c r="X138" s="69">
        <f>17</f>
        <v>17</v>
      </c>
    </row>
    <row r="139" spans="1:24">
      <c r="A139" s="60" t="s">
        <v>852</v>
      </c>
      <c r="B139" s="60" t="s">
        <v>459</v>
      </c>
      <c r="C139" s="60" t="s">
        <v>460</v>
      </c>
      <c r="D139" s="60" t="s">
        <v>461</v>
      </c>
      <c r="E139" s="61" t="s">
        <v>46</v>
      </c>
      <c r="F139" s="62" t="s">
        <v>46</v>
      </c>
      <c r="G139" s="63" t="s">
        <v>46</v>
      </c>
      <c r="H139" s="64"/>
      <c r="I139" s="64" t="s">
        <v>47</v>
      </c>
      <c r="J139" s="65">
        <v>1</v>
      </c>
      <c r="K139" s="66">
        <f>8560</f>
        <v>8560</v>
      </c>
      <c r="L139" s="67" t="s">
        <v>853</v>
      </c>
      <c r="M139" s="66">
        <f>10370</f>
        <v>10370</v>
      </c>
      <c r="N139" s="67" t="s">
        <v>100</v>
      </c>
      <c r="O139" s="66">
        <f>8410</f>
        <v>8410</v>
      </c>
      <c r="P139" s="67" t="s">
        <v>853</v>
      </c>
      <c r="Q139" s="66">
        <f>10060</f>
        <v>10060</v>
      </c>
      <c r="R139" s="67" t="s">
        <v>240</v>
      </c>
      <c r="S139" s="68">
        <f>9526.67</f>
        <v>9526.67</v>
      </c>
      <c r="T139" s="65">
        <f>24496</f>
        <v>24496</v>
      </c>
      <c r="U139" s="65" t="str">
        <f t="shared" si="4"/>
        <v>－</v>
      </c>
      <c r="V139" s="65">
        <f>237178260</f>
        <v>237178260</v>
      </c>
      <c r="W139" s="65" t="str">
        <f t="shared" si="5"/>
        <v>－</v>
      </c>
      <c r="X139" s="69">
        <f>18</f>
        <v>18</v>
      </c>
    </row>
    <row r="140" spans="1:24">
      <c r="A140" s="60" t="s">
        <v>852</v>
      </c>
      <c r="B140" s="60" t="s">
        <v>462</v>
      </c>
      <c r="C140" s="60" t="s">
        <v>463</v>
      </c>
      <c r="D140" s="60" t="s">
        <v>464</v>
      </c>
      <c r="E140" s="61" t="s">
        <v>46</v>
      </c>
      <c r="F140" s="62" t="s">
        <v>46</v>
      </c>
      <c r="G140" s="63" t="s">
        <v>46</v>
      </c>
      <c r="H140" s="64"/>
      <c r="I140" s="64" t="s">
        <v>47</v>
      </c>
      <c r="J140" s="65">
        <v>1</v>
      </c>
      <c r="K140" s="66">
        <f>20500</f>
        <v>20500</v>
      </c>
      <c r="L140" s="67" t="s">
        <v>857</v>
      </c>
      <c r="M140" s="66">
        <f>21970</f>
        <v>21970</v>
      </c>
      <c r="N140" s="67" t="s">
        <v>854</v>
      </c>
      <c r="O140" s="66">
        <f>20500</f>
        <v>20500</v>
      </c>
      <c r="P140" s="67" t="s">
        <v>857</v>
      </c>
      <c r="Q140" s="66">
        <f>20910</f>
        <v>20910</v>
      </c>
      <c r="R140" s="67" t="s">
        <v>240</v>
      </c>
      <c r="S140" s="68">
        <f>21437.65</f>
        <v>21437.65</v>
      </c>
      <c r="T140" s="65">
        <f>1237</f>
        <v>1237</v>
      </c>
      <c r="U140" s="65" t="str">
        <f t="shared" si="4"/>
        <v>－</v>
      </c>
      <c r="V140" s="65">
        <f>26498150</f>
        <v>26498150</v>
      </c>
      <c r="W140" s="65" t="str">
        <f t="shared" si="5"/>
        <v>－</v>
      </c>
      <c r="X140" s="69">
        <f>17</f>
        <v>17</v>
      </c>
    </row>
    <row r="141" spans="1:24">
      <c r="A141" s="60" t="s">
        <v>852</v>
      </c>
      <c r="B141" s="60" t="s">
        <v>465</v>
      </c>
      <c r="C141" s="60" t="s">
        <v>466</v>
      </c>
      <c r="D141" s="60" t="s">
        <v>467</v>
      </c>
      <c r="E141" s="61" t="s">
        <v>46</v>
      </c>
      <c r="F141" s="62" t="s">
        <v>46</v>
      </c>
      <c r="G141" s="63" t="s">
        <v>46</v>
      </c>
      <c r="H141" s="64"/>
      <c r="I141" s="64" t="s">
        <v>47</v>
      </c>
      <c r="J141" s="65">
        <v>1</v>
      </c>
      <c r="K141" s="66">
        <f>26530</f>
        <v>26530</v>
      </c>
      <c r="L141" s="67" t="s">
        <v>853</v>
      </c>
      <c r="M141" s="66">
        <f>28040</f>
        <v>28040</v>
      </c>
      <c r="N141" s="67" t="s">
        <v>100</v>
      </c>
      <c r="O141" s="66">
        <f>26430</f>
        <v>26430</v>
      </c>
      <c r="P141" s="67" t="s">
        <v>240</v>
      </c>
      <c r="Q141" s="66">
        <f>26430</f>
        <v>26430</v>
      </c>
      <c r="R141" s="67" t="s">
        <v>240</v>
      </c>
      <c r="S141" s="68">
        <f>27377.78</f>
        <v>27377.78</v>
      </c>
      <c r="T141" s="65">
        <f>1500</f>
        <v>1500</v>
      </c>
      <c r="U141" s="65" t="str">
        <f t="shared" si="4"/>
        <v>－</v>
      </c>
      <c r="V141" s="65">
        <f>40963940</f>
        <v>40963940</v>
      </c>
      <c r="W141" s="65" t="str">
        <f t="shared" si="5"/>
        <v>－</v>
      </c>
      <c r="X141" s="69">
        <f>18</f>
        <v>18</v>
      </c>
    </row>
    <row r="142" spans="1:24">
      <c r="A142" s="60" t="s">
        <v>852</v>
      </c>
      <c r="B142" s="60" t="s">
        <v>468</v>
      </c>
      <c r="C142" s="60" t="s">
        <v>469</v>
      </c>
      <c r="D142" s="60" t="s">
        <v>470</v>
      </c>
      <c r="E142" s="61" t="s">
        <v>46</v>
      </c>
      <c r="F142" s="62" t="s">
        <v>46</v>
      </c>
      <c r="G142" s="63" t="s">
        <v>46</v>
      </c>
      <c r="H142" s="64"/>
      <c r="I142" s="64" t="s">
        <v>47</v>
      </c>
      <c r="J142" s="65">
        <v>1</v>
      </c>
      <c r="K142" s="66">
        <f>25000</f>
        <v>25000</v>
      </c>
      <c r="L142" s="67" t="s">
        <v>853</v>
      </c>
      <c r="M142" s="66">
        <f>25500</f>
        <v>25500</v>
      </c>
      <c r="N142" s="67" t="s">
        <v>857</v>
      </c>
      <c r="O142" s="66">
        <f>23410</f>
        <v>23410</v>
      </c>
      <c r="P142" s="67" t="s">
        <v>240</v>
      </c>
      <c r="Q142" s="66">
        <f>23510</f>
        <v>23510</v>
      </c>
      <c r="R142" s="67" t="s">
        <v>240</v>
      </c>
      <c r="S142" s="68">
        <f>24924.44</f>
        <v>24924.44</v>
      </c>
      <c r="T142" s="65">
        <f>3653</f>
        <v>3653</v>
      </c>
      <c r="U142" s="65" t="str">
        <f t="shared" si="4"/>
        <v>－</v>
      </c>
      <c r="V142" s="65">
        <f>90697350</f>
        <v>90697350</v>
      </c>
      <c r="W142" s="65" t="str">
        <f t="shared" si="5"/>
        <v>－</v>
      </c>
      <c r="X142" s="69">
        <f>18</f>
        <v>18</v>
      </c>
    </row>
    <row r="143" spans="1:24">
      <c r="A143" s="60" t="s">
        <v>852</v>
      </c>
      <c r="B143" s="60" t="s">
        <v>471</v>
      </c>
      <c r="C143" s="60" t="s">
        <v>472</v>
      </c>
      <c r="D143" s="60" t="s">
        <v>473</v>
      </c>
      <c r="E143" s="61" t="s">
        <v>46</v>
      </c>
      <c r="F143" s="62" t="s">
        <v>46</v>
      </c>
      <c r="G143" s="63" t="s">
        <v>46</v>
      </c>
      <c r="H143" s="64"/>
      <c r="I143" s="64" t="s">
        <v>47</v>
      </c>
      <c r="J143" s="65">
        <v>1</v>
      </c>
      <c r="K143" s="66">
        <f>19070</f>
        <v>19070</v>
      </c>
      <c r="L143" s="67" t="s">
        <v>853</v>
      </c>
      <c r="M143" s="66">
        <f>21670</f>
        <v>21670</v>
      </c>
      <c r="N143" s="67" t="s">
        <v>69</v>
      </c>
      <c r="O143" s="66">
        <f>19070</f>
        <v>19070</v>
      </c>
      <c r="P143" s="67" t="s">
        <v>853</v>
      </c>
      <c r="Q143" s="66">
        <f>20260</f>
        <v>20260</v>
      </c>
      <c r="R143" s="67" t="s">
        <v>240</v>
      </c>
      <c r="S143" s="68">
        <f>20780</f>
        <v>20780</v>
      </c>
      <c r="T143" s="65">
        <f>3841</f>
        <v>3841</v>
      </c>
      <c r="U143" s="65" t="str">
        <f t="shared" si="4"/>
        <v>－</v>
      </c>
      <c r="V143" s="65">
        <f>80327580</f>
        <v>80327580</v>
      </c>
      <c r="W143" s="65" t="str">
        <f t="shared" si="5"/>
        <v>－</v>
      </c>
      <c r="X143" s="69">
        <f>18</f>
        <v>18</v>
      </c>
    </row>
    <row r="144" spans="1:24">
      <c r="A144" s="60" t="s">
        <v>852</v>
      </c>
      <c r="B144" s="60" t="s">
        <v>474</v>
      </c>
      <c r="C144" s="60" t="s">
        <v>475</v>
      </c>
      <c r="D144" s="60" t="s">
        <v>476</v>
      </c>
      <c r="E144" s="61" t="s">
        <v>46</v>
      </c>
      <c r="F144" s="62" t="s">
        <v>46</v>
      </c>
      <c r="G144" s="63" t="s">
        <v>46</v>
      </c>
      <c r="H144" s="64"/>
      <c r="I144" s="64" t="s">
        <v>47</v>
      </c>
      <c r="J144" s="65">
        <v>1</v>
      </c>
      <c r="K144" s="66">
        <f>12830</f>
        <v>12830</v>
      </c>
      <c r="L144" s="67" t="s">
        <v>853</v>
      </c>
      <c r="M144" s="66">
        <f>15170</f>
        <v>15170</v>
      </c>
      <c r="N144" s="67" t="s">
        <v>176</v>
      </c>
      <c r="O144" s="66">
        <f>12830</f>
        <v>12830</v>
      </c>
      <c r="P144" s="67" t="s">
        <v>853</v>
      </c>
      <c r="Q144" s="66">
        <f>14620</f>
        <v>14620</v>
      </c>
      <c r="R144" s="67" t="s">
        <v>240</v>
      </c>
      <c r="S144" s="68">
        <f>14387.22</f>
        <v>14387.22</v>
      </c>
      <c r="T144" s="65">
        <f>7151</f>
        <v>7151</v>
      </c>
      <c r="U144" s="65" t="str">
        <f t="shared" si="4"/>
        <v>－</v>
      </c>
      <c r="V144" s="65">
        <f>103344780</f>
        <v>103344780</v>
      </c>
      <c r="W144" s="65" t="str">
        <f t="shared" si="5"/>
        <v>－</v>
      </c>
      <c r="X144" s="69">
        <f>18</f>
        <v>18</v>
      </c>
    </row>
    <row r="145" spans="1:24">
      <c r="A145" s="60" t="s">
        <v>852</v>
      </c>
      <c r="B145" s="60" t="s">
        <v>477</v>
      </c>
      <c r="C145" s="60" t="s">
        <v>478</v>
      </c>
      <c r="D145" s="60" t="s">
        <v>479</v>
      </c>
      <c r="E145" s="61" t="s">
        <v>46</v>
      </c>
      <c r="F145" s="62" t="s">
        <v>46</v>
      </c>
      <c r="G145" s="63" t="s">
        <v>46</v>
      </c>
      <c r="H145" s="64"/>
      <c r="I145" s="64" t="s">
        <v>47</v>
      </c>
      <c r="J145" s="65">
        <v>1</v>
      </c>
      <c r="K145" s="66">
        <f>38700</f>
        <v>38700</v>
      </c>
      <c r="L145" s="67" t="s">
        <v>853</v>
      </c>
      <c r="M145" s="66">
        <f>41600</f>
        <v>41600</v>
      </c>
      <c r="N145" s="67" t="s">
        <v>854</v>
      </c>
      <c r="O145" s="66">
        <f>38700</f>
        <v>38700</v>
      </c>
      <c r="P145" s="67" t="s">
        <v>853</v>
      </c>
      <c r="Q145" s="66">
        <f>38900</f>
        <v>38900</v>
      </c>
      <c r="R145" s="67" t="s">
        <v>240</v>
      </c>
      <c r="S145" s="68">
        <f>40283.33</f>
        <v>40283.33</v>
      </c>
      <c r="T145" s="65">
        <f>925</f>
        <v>925</v>
      </c>
      <c r="U145" s="65" t="str">
        <f t="shared" si="4"/>
        <v>－</v>
      </c>
      <c r="V145" s="65">
        <f>37042100</f>
        <v>37042100</v>
      </c>
      <c r="W145" s="65" t="str">
        <f t="shared" si="5"/>
        <v>－</v>
      </c>
      <c r="X145" s="69">
        <f>18</f>
        <v>18</v>
      </c>
    </row>
    <row r="146" spans="1:24">
      <c r="A146" s="60" t="s">
        <v>852</v>
      </c>
      <c r="B146" s="60" t="s">
        <v>480</v>
      </c>
      <c r="C146" s="60" t="s">
        <v>481</v>
      </c>
      <c r="D146" s="60" t="s">
        <v>482</v>
      </c>
      <c r="E146" s="61" t="s">
        <v>46</v>
      </c>
      <c r="F146" s="62" t="s">
        <v>46</v>
      </c>
      <c r="G146" s="63" t="s">
        <v>46</v>
      </c>
      <c r="H146" s="64"/>
      <c r="I146" s="64" t="s">
        <v>47</v>
      </c>
      <c r="J146" s="65">
        <v>1</v>
      </c>
      <c r="K146" s="66">
        <f>26480</f>
        <v>26480</v>
      </c>
      <c r="L146" s="67" t="s">
        <v>853</v>
      </c>
      <c r="M146" s="66">
        <f>29680</f>
        <v>29680</v>
      </c>
      <c r="N146" s="67" t="s">
        <v>854</v>
      </c>
      <c r="O146" s="66">
        <f>26430</f>
        <v>26430</v>
      </c>
      <c r="P146" s="67" t="s">
        <v>853</v>
      </c>
      <c r="Q146" s="66">
        <f>26780</f>
        <v>26780</v>
      </c>
      <c r="R146" s="67" t="s">
        <v>240</v>
      </c>
      <c r="S146" s="68">
        <f>28124.44</f>
        <v>28124.44</v>
      </c>
      <c r="T146" s="65">
        <f>5475</f>
        <v>5475</v>
      </c>
      <c r="U146" s="65" t="str">
        <f t="shared" si="4"/>
        <v>－</v>
      </c>
      <c r="V146" s="65">
        <f>153313800</f>
        <v>153313800</v>
      </c>
      <c r="W146" s="65" t="str">
        <f t="shared" si="5"/>
        <v>－</v>
      </c>
      <c r="X146" s="69">
        <f>18</f>
        <v>18</v>
      </c>
    </row>
    <row r="147" spans="1:24">
      <c r="A147" s="60" t="s">
        <v>852</v>
      </c>
      <c r="B147" s="60" t="s">
        <v>483</v>
      </c>
      <c r="C147" s="60" t="s">
        <v>484</v>
      </c>
      <c r="D147" s="60" t="s">
        <v>485</v>
      </c>
      <c r="E147" s="61" t="s">
        <v>46</v>
      </c>
      <c r="F147" s="62" t="s">
        <v>46</v>
      </c>
      <c r="G147" s="63" t="s">
        <v>46</v>
      </c>
      <c r="H147" s="64"/>
      <c r="I147" s="64" t="s">
        <v>47</v>
      </c>
      <c r="J147" s="65">
        <v>1</v>
      </c>
      <c r="K147" s="66">
        <f>28450</f>
        <v>28450</v>
      </c>
      <c r="L147" s="67" t="s">
        <v>853</v>
      </c>
      <c r="M147" s="66">
        <f>31850</f>
        <v>31850</v>
      </c>
      <c r="N147" s="67" t="s">
        <v>854</v>
      </c>
      <c r="O147" s="66">
        <f>28450</f>
        <v>28450</v>
      </c>
      <c r="P147" s="67" t="s">
        <v>853</v>
      </c>
      <c r="Q147" s="66">
        <f>30350</f>
        <v>30350</v>
      </c>
      <c r="R147" s="67" t="s">
        <v>240</v>
      </c>
      <c r="S147" s="68">
        <f>30628.89</f>
        <v>30628.89</v>
      </c>
      <c r="T147" s="65">
        <f>4560</f>
        <v>4560</v>
      </c>
      <c r="U147" s="65" t="str">
        <f t="shared" si="4"/>
        <v>－</v>
      </c>
      <c r="V147" s="65">
        <f>140291440</f>
        <v>140291440</v>
      </c>
      <c r="W147" s="65" t="str">
        <f t="shared" si="5"/>
        <v>－</v>
      </c>
      <c r="X147" s="69">
        <f>18</f>
        <v>18</v>
      </c>
    </row>
    <row r="148" spans="1:24">
      <c r="A148" s="60" t="s">
        <v>852</v>
      </c>
      <c r="B148" s="60" t="s">
        <v>486</v>
      </c>
      <c r="C148" s="60" t="s">
        <v>487</v>
      </c>
      <c r="D148" s="60" t="s">
        <v>488</v>
      </c>
      <c r="E148" s="61" t="s">
        <v>46</v>
      </c>
      <c r="F148" s="62" t="s">
        <v>46</v>
      </c>
      <c r="G148" s="63" t="s">
        <v>46</v>
      </c>
      <c r="H148" s="64"/>
      <c r="I148" s="64" t="s">
        <v>47</v>
      </c>
      <c r="J148" s="65">
        <v>1</v>
      </c>
      <c r="K148" s="66">
        <f>6200</f>
        <v>6200</v>
      </c>
      <c r="L148" s="67" t="s">
        <v>853</v>
      </c>
      <c r="M148" s="66">
        <f>6510</f>
        <v>6510</v>
      </c>
      <c r="N148" s="67" t="s">
        <v>860</v>
      </c>
      <c r="O148" s="66">
        <f>6170</f>
        <v>6170</v>
      </c>
      <c r="P148" s="67" t="s">
        <v>240</v>
      </c>
      <c r="Q148" s="66">
        <f>6180</f>
        <v>6180</v>
      </c>
      <c r="R148" s="67" t="s">
        <v>240</v>
      </c>
      <c r="S148" s="68">
        <f>6340</f>
        <v>6340</v>
      </c>
      <c r="T148" s="65">
        <f>11284</f>
        <v>11284</v>
      </c>
      <c r="U148" s="65" t="str">
        <f t="shared" si="4"/>
        <v>－</v>
      </c>
      <c r="V148" s="65">
        <f>71507190</f>
        <v>71507190</v>
      </c>
      <c r="W148" s="65" t="str">
        <f t="shared" si="5"/>
        <v>－</v>
      </c>
      <c r="X148" s="69">
        <f>18</f>
        <v>18</v>
      </c>
    </row>
    <row r="149" spans="1:24">
      <c r="A149" s="60" t="s">
        <v>852</v>
      </c>
      <c r="B149" s="60" t="s">
        <v>489</v>
      </c>
      <c r="C149" s="60" t="s">
        <v>490</v>
      </c>
      <c r="D149" s="60" t="s">
        <v>491</v>
      </c>
      <c r="E149" s="61" t="s">
        <v>46</v>
      </c>
      <c r="F149" s="62" t="s">
        <v>46</v>
      </c>
      <c r="G149" s="63" t="s">
        <v>46</v>
      </c>
      <c r="H149" s="64"/>
      <c r="I149" s="64" t="s">
        <v>47</v>
      </c>
      <c r="J149" s="65">
        <v>1</v>
      </c>
      <c r="K149" s="66">
        <f>13700</f>
        <v>13700</v>
      </c>
      <c r="L149" s="67" t="s">
        <v>853</v>
      </c>
      <c r="M149" s="66">
        <f>18000</f>
        <v>18000</v>
      </c>
      <c r="N149" s="67" t="s">
        <v>176</v>
      </c>
      <c r="O149" s="66">
        <f>13650</f>
        <v>13650</v>
      </c>
      <c r="P149" s="67" t="s">
        <v>853</v>
      </c>
      <c r="Q149" s="66">
        <f>15310</f>
        <v>15310</v>
      </c>
      <c r="R149" s="67" t="s">
        <v>240</v>
      </c>
      <c r="S149" s="68">
        <f>15361.11</f>
        <v>15361.11</v>
      </c>
      <c r="T149" s="65">
        <f>38150</f>
        <v>38150</v>
      </c>
      <c r="U149" s="65">
        <f>1</f>
        <v>1</v>
      </c>
      <c r="V149" s="65">
        <f>595219600</f>
        <v>595219600</v>
      </c>
      <c r="W149" s="65">
        <f>13980</f>
        <v>13980</v>
      </c>
      <c r="X149" s="69">
        <f>18</f>
        <v>18</v>
      </c>
    </row>
    <row r="150" spans="1:24">
      <c r="A150" s="60" t="s">
        <v>852</v>
      </c>
      <c r="B150" s="60" t="s">
        <v>492</v>
      </c>
      <c r="C150" s="60" t="s">
        <v>493</v>
      </c>
      <c r="D150" s="60" t="s">
        <v>494</v>
      </c>
      <c r="E150" s="61" t="s">
        <v>46</v>
      </c>
      <c r="F150" s="62" t="s">
        <v>46</v>
      </c>
      <c r="G150" s="63" t="s">
        <v>46</v>
      </c>
      <c r="H150" s="64"/>
      <c r="I150" s="64" t="s">
        <v>47</v>
      </c>
      <c r="J150" s="65">
        <v>1</v>
      </c>
      <c r="K150" s="66">
        <f>34350</f>
        <v>34350</v>
      </c>
      <c r="L150" s="67" t="s">
        <v>853</v>
      </c>
      <c r="M150" s="66">
        <f>38100</f>
        <v>38100</v>
      </c>
      <c r="N150" s="67" t="s">
        <v>176</v>
      </c>
      <c r="O150" s="66">
        <f>34350</f>
        <v>34350</v>
      </c>
      <c r="P150" s="67" t="s">
        <v>853</v>
      </c>
      <c r="Q150" s="66">
        <f>36900</f>
        <v>36900</v>
      </c>
      <c r="R150" s="67" t="s">
        <v>240</v>
      </c>
      <c r="S150" s="68">
        <f>36491.67</f>
        <v>36491.67</v>
      </c>
      <c r="T150" s="65">
        <f>8141</f>
        <v>8141</v>
      </c>
      <c r="U150" s="65" t="str">
        <f t="shared" ref="U150:U156" si="6">"－"</f>
        <v>－</v>
      </c>
      <c r="V150" s="65">
        <f>300991300</f>
        <v>300991300</v>
      </c>
      <c r="W150" s="65" t="str">
        <f t="shared" ref="W150:W156" si="7">"－"</f>
        <v>－</v>
      </c>
      <c r="X150" s="69">
        <f>18</f>
        <v>18</v>
      </c>
    </row>
    <row r="151" spans="1:24">
      <c r="A151" s="60" t="s">
        <v>852</v>
      </c>
      <c r="B151" s="60" t="s">
        <v>495</v>
      </c>
      <c r="C151" s="60" t="s">
        <v>496</v>
      </c>
      <c r="D151" s="60" t="s">
        <v>497</v>
      </c>
      <c r="E151" s="61" t="s">
        <v>46</v>
      </c>
      <c r="F151" s="62" t="s">
        <v>46</v>
      </c>
      <c r="G151" s="63" t="s">
        <v>46</v>
      </c>
      <c r="H151" s="64"/>
      <c r="I151" s="64" t="s">
        <v>47</v>
      </c>
      <c r="J151" s="65">
        <v>1</v>
      </c>
      <c r="K151" s="66">
        <f>22810</f>
        <v>22810</v>
      </c>
      <c r="L151" s="67" t="s">
        <v>857</v>
      </c>
      <c r="M151" s="66">
        <f>24420</f>
        <v>24420</v>
      </c>
      <c r="N151" s="67" t="s">
        <v>854</v>
      </c>
      <c r="O151" s="66">
        <f>22810</f>
        <v>22810</v>
      </c>
      <c r="P151" s="67" t="s">
        <v>857</v>
      </c>
      <c r="Q151" s="66">
        <f>23500</f>
        <v>23500</v>
      </c>
      <c r="R151" s="67" t="s">
        <v>240</v>
      </c>
      <c r="S151" s="68">
        <f>23849.41</f>
        <v>23849.41</v>
      </c>
      <c r="T151" s="65">
        <f>207</f>
        <v>207</v>
      </c>
      <c r="U151" s="65" t="str">
        <f t="shared" si="6"/>
        <v>－</v>
      </c>
      <c r="V151" s="65">
        <f>4868860</f>
        <v>4868860</v>
      </c>
      <c r="W151" s="65" t="str">
        <f t="shared" si="7"/>
        <v>－</v>
      </c>
      <c r="X151" s="69">
        <f>17</f>
        <v>17</v>
      </c>
    </row>
    <row r="152" spans="1:24">
      <c r="A152" s="60" t="s">
        <v>852</v>
      </c>
      <c r="B152" s="60" t="s">
        <v>498</v>
      </c>
      <c r="C152" s="60" t="s">
        <v>499</v>
      </c>
      <c r="D152" s="60" t="s">
        <v>500</v>
      </c>
      <c r="E152" s="61" t="s">
        <v>46</v>
      </c>
      <c r="F152" s="62" t="s">
        <v>46</v>
      </c>
      <c r="G152" s="63" t="s">
        <v>46</v>
      </c>
      <c r="H152" s="64"/>
      <c r="I152" s="64" t="s">
        <v>47</v>
      </c>
      <c r="J152" s="65">
        <v>1</v>
      </c>
      <c r="K152" s="66">
        <f>6540</f>
        <v>6540</v>
      </c>
      <c r="L152" s="67" t="s">
        <v>853</v>
      </c>
      <c r="M152" s="66">
        <f>7900</f>
        <v>7900</v>
      </c>
      <c r="N152" s="67" t="s">
        <v>854</v>
      </c>
      <c r="O152" s="66">
        <f>6540</f>
        <v>6540</v>
      </c>
      <c r="P152" s="67" t="s">
        <v>853</v>
      </c>
      <c r="Q152" s="66">
        <f>7430</f>
        <v>7430</v>
      </c>
      <c r="R152" s="67" t="s">
        <v>240</v>
      </c>
      <c r="S152" s="68">
        <f>7265</f>
        <v>7265</v>
      </c>
      <c r="T152" s="65">
        <f>44842</f>
        <v>44842</v>
      </c>
      <c r="U152" s="65" t="str">
        <f t="shared" si="6"/>
        <v>－</v>
      </c>
      <c r="V152" s="65">
        <f>328997660</f>
        <v>328997660</v>
      </c>
      <c r="W152" s="65" t="str">
        <f t="shared" si="7"/>
        <v>－</v>
      </c>
      <c r="X152" s="69">
        <f>18</f>
        <v>18</v>
      </c>
    </row>
    <row r="153" spans="1:24">
      <c r="A153" s="60" t="s">
        <v>852</v>
      </c>
      <c r="B153" s="60" t="s">
        <v>501</v>
      </c>
      <c r="C153" s="60" t="s">
        <v>502</v>
      </c>
      <c r="D153" s="60" t="s">
        <v>503</v>
      </c>
      <c r="E153" s="61" t="s">
        <v>46</v>
      </c>
      <c r="F153" s="62" t="s">
        <v>46</v>
      </c>
      <c r="G153" s="63" t="s">
        <v>46</v>
      </c>
      <c r="H153" s="64"/>
      <c r="I153" s="64" t="s">
        <v>47</v>
      </c>
      <c r="J153" s="65">
        <v>1</v>
      </c>
      <c r="K153" s="66">
        <f>11960</f>
        <v>11960</v>
      </c>
      <c r="L153" s="67" t="s">
        <v>853</v>
      </c>
      <c r="M153" s="66">
        <f>13200</f>
        <v>13200</v>
      </c>
      <c r="N153" s="67" t="s">
        <v>855</v>
      </c>
      <c r="O153" s="66">
        <f>11910</f>
        <v>11910</v>
      </c>
      <c r="P153" s="67" t="s">
        <v>857</v>
      </c>
      <c r="Q153" s="66">
        <f>12500</f>
        <v>12500</v>
      </c>
      <c r="R153" s="67" t="s">
        <v>240</v>
      </c>
      <c r="S153" s="68">
        <f>12673.89</f>
        <v>12673.89</v>
      </c>
      <c r="T153" s="65">
        <f>4064</f>
        <v>4064</v>
      </c>
      <c r="U153" s="65" t="str">
        <f t="shared" si="6"/>
        <v>－</v>
      </c>
      <c r="V153" s="65">
        <f>51561310</f>
        <v>51561310</v>
      </c>
      <c r="W153" s="65" t="str">
        <f t="shared" si="7"/>
        <v>－</v>
      </c>
      <c r="X153" s="69">
        <f>18</f>
        <v>18</v>
      </c>
    </row>
    <row r="154" spans="1:24">
      <c r="A154" s="60" t="s">
        <v>852</v>
      </c>
      <c r="B154" s="60" t="s">
        <v>504</v>
      </c>
      <c r="C154" s="60" t="s">
        <v>505</v>
      </c>
      <c r="D154" s="60" t="s">
        <v>506</v>
      </c>
      <c r="E154" s="61" t="s">
        <v>46</v>
      </c>
      <c r="F154" s="62" t="s">
        <v>46</v>
      </c>
      <c r="G154" s="63" t="s">
        <v>46</v>
      </c>
      <c r="H154" s="64"/>
      <c r="I154" s="64" t="s">
        <v>47</v>
      </c>
      <c r="J154" s="65">
        <v>1</v>
      </c>
      <c r="K154" s="66">
        <f>26010</f>
        <v>26010</v>
      </c>
      <c r="L154" s="67" t="s">
        <v>853</v>
      </c>
      <c r="M154" s="66">
        <f>29690</f>
        <v>29690</v>
      </c>
      <c r="N154" s="67" t="s">
        <v>176</v>
      </c>
      <c r="O154" s="66">
        <f>26010</f>
        <v>26010</v>
      </c>
      <c r="P154" s="67" t="s">
        <v>853</v>
      </c>
      <c r="Q154" s="66">
        <f>28470</f>
        <v>28470</v>
      </c>
      <c r="R154" s="67" t="s">
        <v>240</v>
      </c>
      <c r="S154" s="68">
        <f>28281.11</f>
        <v>28281.11</v>
      </c>
      <c r="T154" s="65">
        <f>3686</f>
        <v>3686</v>
      </c>
      <c r="U154" s="65" t="str">
        <f t="shared" si="6"/>
        <v>－</v>
      </c>
      <c r="V154" s="65">
        <f>104274880</f>
        <v>104274880</v>
      </c>
      <c r="W154" s="65" t="str">
        <f t="shared" si="7"/>
        <v>－</v>
      </c>
      <c r="X154" s="69">
        <f>18</f>
        <v>18</v>
      </c>
    </row>
    <row r="155" spans="1:24">
      <c r="A155" s="60" t="s">
        <v>852</v>
      </c>
      <c r="B155" s="60" t="s">
        <v>507</v>
      </c>
      <c r="C155" s="60" t="s">
        <v>508</v>
      </c>
      <c r="D155" s="60" t="s">
        <v>509</v>
      </c>
      <c r="E155" s="61" t="s">
        <v>46</v>
      </c>
      <c r="F155" s="62" t="s">
        <v>46</v>
      </c>
      <c r="G155" s="63" t="s">
        <v>46</v>
      </c>
      <c r="H155" s="64"/>
      <c r="I155" s="64" t="s">
        <v>47</v>
      </c>
      <c r="J155" s="65">
        <v>10</v>
      </c>
      <c r="K155" s="66">
        <f>940</f>
        <v>940</v>
      </c>
      <c r="L155" s="67" t="s">
        <v>853</v>
      </c>
      <c r="M155" s="66">
        <f>1030</f>
        <v>1030</v>
      </c>
      <c r="N155" s="67" t="s">
        <v>100</v>
      </c>
      <c r="O155" s="66">
        <f>929</f>
        <v>929</v>
      </c>
      <c r="P155" s="67" t="s">
        <v>853</v>
      </c>
      <c r="Q155" s="66">
        <f>1002</f>
        <v>1002</v>
      </c>
      <c r="R155" s="67" t="s">
        <v>240</v>
      </c>
      <c r="S155" s="68">
        <f>993.22</f>
        <v>993.22</v>
      </c>
      <c r="T155" s="65">
        <f>146430</f>
        <v>146430</v>
      </c>
      <c r="U155" s="65" t="str">
        <f t="shared" si="6"/>
        <v>－</v>
      </c>
      <c r="V155" s="65">
        <f>145702920</f>
        <v>145702920</v>
      </c>
      <c r="W155" s="65" t="str">
        <f t="shared" si="7"/>
        <v>－</v>
      </c>
      <c r="X155" s="69">
        <f>18</f>
        <v>18</v>
      </c>
    </row>
    <row r="156" spans="1:24">
      <c r="A156" s="60" t="s">
        <v>852</v>
      </c>
      <c r="B156" s="60" t="s">
        <v>510</v>
      </c>
      <c r="C156" s="60" t="s">
        <v>511</v>
      </c>
      <c r="D156" s="60" t="s">
        <v>512</v>
      </c>
      <c r="E156" s="61" t="s">
        <v>46</v>
      </c>
      <c r="F156" s="62" t="s">
        <v>46</v>
      </c>
      <c r="G156" s="63" t="s">
        <v>46</v>
      </c>
      <c r="H156" s="64"/>
      <c r="I156" s="64" t="s">
        <v>47</v>
      </c>
      <c r="J156" s="65">
        <v>10</v>
      </c>
      <c r="K156" s="66">
        <f>2262</f>
        <v>2262</v>
      </c>
      <c r="L156" s="67" t="s">
        <v>853</v>
      </c>
      <c r="M156" s="66">
        <f>2436</f>
        <v>2436</v>
      </c>
      <c r="N156" s="67" t="s">
        <v>854</v>
      </c>
      <c r="O156" s="66">
        <f>2262</f>
        <v>2262</v>
      </c>
      <c r="P156" s="67" t="s">
        <v>853</v>
      </c>
      <c r="Q156" s="66">
        <f>2330</f>
        <v>2330</v>
      </c>
      <c r="R156" s="67" t="s">
        <v>240</v>
      </c>
      <c r="S156" s="68">
        <f>2360.65</f>
        <v>2360.65</v>
      </c>
      <c r="T156" s="65">
        <f>12650</f>
        <v>12650</v>
      </c>
      <c r="U156" s="65" t="str">
        <f t="shared" si="6"/>
        <v>－</v>
      </c>
      <c r="V156" s="65">
        <f>29939690</f>
        <v>29939690</v>
      </c>
      <c r="W156" s="65" t="str">
        <f t="shared" si="7"/>
        <v>－</v>
      </c>
      <c r="X156" s="69">
        <f>17</f>
        <v>17</v>
      </c>
    </row>
    <row r="157" spans="1:24">
      <c r="A157" s="60" t="s">
        <v>852</v>
      </c>
      <c r="B157" s="60" t="s">
        <v>513</v>
      </c>
      <c r="C157" s="60" t="s">
        <v>514</v>
      </c>
      <c r="D157" s="60" t="s">
        <v>515</v>
      </c>
      <c r="E157" s="61" t="s">
        <v>46</v>
      </c>
      <c r="F157" s="62" t="s">
        <v>46</v>
      </c>
      <c r="G157" s="63" t="s">
        <v>46</v>
      </c>
      <c r="H157" s="64"/>
      <c r="I157" s="64" t="s">
        <v>47</v>
      </c>
      <c r="J157" s="65">
        <v>10</v>
      </c>
      <c r="K157" s="66">
        <f>2297</f>
        <v>2297</v>
      </c>
      <c r="L157" s="67" t="s">
        <v>853</v>
      </c>
      <c r="M157" s="66">
        <f>2518</f>
        <v>2518</v>
      </c>
      <c r="N157" s="67" t="s">
        <v>854</v>
      </c>
      <c r="O157" s="66">
        <f>2297</f>
        <v>2297</v>
      </c>
      <c r="P157" s="67" t="s">
        <v>853</v>
      </c>
      <c r="Q157" s="66">
        <f>2365</f>
        <v>2365</v>
      </c>
      <c r="R157" s="67" t="s">
        <v>240</v>
      </c>
      <c r="S157" s="68">
        <f>2433.89</f>
        <v>2433.89</v>
      </c>
      <c r="T157" s="65">
        <f>125230</f>
        <v>125230</v>
      </c>
      <c r="U157" s="65">
        <f>81700</f>
        <v>81700</v>
      </c>
      <c r="V157" s="65">
        <f>305025105</f>
        <v>305025105</v>
      </c>
      <c r="W157" s="65">
        <f>200003205</f>
        <v>200003205</v>
      </c>
      <c r="X157" s="69">
        <f>18</f>
        <v>18</v>
      </c>
    </row>
    <row r="158" spans="1:24">
      <c r="A158" s="60" t="s">
        <v>852</v>
      </c>
      <c r="B158" s="60" t="s">
        <v>516</v>
      </c>
      <c r="C158" s="60" t="s">
        <v>517</v>
      </c>
      <c r="D158" s="60" t="s">
        <v>518</v>
      </c>
      <c r="E158" s="61" t="s">
        <v>46</v>
      </c>
      <c r="F158" s="62" t="s">
        <v>46</v>
      </c>
      <c r="G158" s="63" t="s">
        <v>46</v>
      </c>
      <c r="H158" s="64"/>
      <c r="I158" s="64" t="s">
        <v>47</v>
      </c>
      <c r="J158" s="65">
        <v>10</v>
      </c>
      <c r="K158" s="66">
        <f>1404</f>
        <v>1404</v>
      </c>
      <c r="L158" s="67" t="s">
        <v>858</v>
      </c>
      <c r="M158" s="66">
        <f>1493</f>
        <v>1493</v>
      </c>
      <c r="N158" s="67" t="s">
        <v>854</v>
      </c>
      <c r="O158" s="66">
        <f>1404</f>
        <v>1404</v>
      </c>
      <c r="P158" s="67" t="s">
        <v>858</v>
      </c>
      <c r="Q158" s="66">
        <f>1441</f>
        <v>1441</v>
      </c>
      <c r="R158" s="67" t="s">
        <v>240</v>
      </c>
      <c r="S158" s="68">
        <f>1458.5</f>
        <v>1458.5</v>
      </c>
      <c r="T158" s="65">
        <f>1130</f>
        <v>1130</v>
      </c>
      <c r="U158" s="65" t="str">
        <f>"－"</f>
        <v>－</v>
      </c>
      <c r="V158" s="65">
        <f>1654170</f>
        <v>1654170</v>
      </c>
      <c r="W158" s="65" t="str">
        <f>"－"</f>
        <v>－</v>
      </c>
      <c r="X158" s="69">
        <f>10</f>
        <v>10</v>
      </c>
    </row>
    <row r="159" spans="1:24">
      <c r="A159" s="60" t="s">
        <v>852</v>
      </c>
      <c r="B159" s="60" t="s">
        <v>519</v>
      </c>
      <c r="C159" s="60" t="s">
        <v>520</v>
      </c>
      <c r="D159" s="60" t="s">
        <v>521</v>
      </c>
      <c r="E159" s="61" t="s">
        <v>46</v>
      </c>
      <c r="F159" s="62" t="s">
        <v>46</v>
      </c>
      <c r="G159" s="63" t="s">
        <v>46</v>
      </c>
      <c r="H159" s="64"/>
      <c r="I159" s="64" t="s">
        <v>47</v>
      </c>
      <c r="J159" s="65">
        <v>1</v>
      </c>
      <c r="K159" s="66">
        <f>2767</f>
        <v>2767</v>
      </c>
      <c r="L159" s="67" t="s">
        <v>853</v>
      </c>
      <c r="M159" s="66">
        <f>2990</f>
        <v>2990</v>
      </c>
      <c r="N159" s="67" t="s">
        <v>854</v>
      </c>
      <c r="O159" s="66">
        <f>2767</f>
        <v>2767</v>
      </c>
      <c r="P159" s="67" t="s">
        <v>853</v>
      </c>
      <c r="Q159" s="66">
        <f>2892</f>
        <v>2892</v>
      </c>
      <c r="R159" s="67" t="s">
        <v>240</v>
      </c>
      <c r="S159" s="68">
        <f>2926.06</f>
        <v>2926.06</v>
      </c>
      <c r="T159" s="65">
        <f>2178563</f>
        <v>2178563</v>
      </c>
      <c r="U159" s="65">
        <f>69019</f>
        <v>69019</v>
      </c>
      <c r="V159" s="65">
        <f>6345697376</f>
        <v>6345697376</v>
      </c>
      <c r="W159" s="65">
        <f>199459555</f>
        <v>199459555</v>
      </c>
      <c r="X159" s="69">
        <f>18</f>
        <v>18</v>
      </c>
    </row>
    <row r="160" spans="1:24">
      <c r="A160" s="60" t="s">
        <v>852</v>
      </c>
      <c r="B160" s="60" t="s">
        <v>522</v>
      </c>
      <c r="C160" s="60" t="s">
        <v>523</v>
      </c>
      <c r="D160" s="60" t="s">
        <v>524</v>
      </c>
      <c r="E160" s="61" t="s">
        <v>46</v>
      </c>
      <c r="F160" s="62" t="s">
        <v>46</v>
      </c>
      <c r="G160" s="63" t="s">
        <v>46</v>
      </c>
      <c r="H160" s="64"/>
      <c r="I160" s="64" t="s">
        <v>47</v>
      </c>
      <c r="J160" s="65">
        <v>1</v>
      </c>
      <c r="K160" s="66">
        <f>2572</f>
        <v>2572</v>
      </c>
      <c r="L160" s="67" t="s">
        <v>853</v>
      </c>
      <c r="M160" s="66">
        <f>2580</f>
        <v>2580</v>
      </c>
      <c r="N160" s="67" t="s">
        <v>84</v>
      </c>
      <c r="O160" s="66">
        <f>2518</f>
        <v>2518</v>
      </c>
      <c r="P160" s="67" t="s">
        <v>240</v>
      </c>
      <c r="Q160" s="66">
        <f>2528</f>
        <v>2528</v>
      </c>
      <c r="R160" s="67" t="s">
        <v>240</v>
      </c>
      <c r="S160" s="68">
        <f>2558.39</f>
        <v>2558.39</v>
      </c>
      <c r="T160" s="65">
        <f>797064</f>
        <v>797064</v>
      </c>
      <c r="U160" s="65">
        <f>434094</f>
        <v>434094</v>
      </c>
      <c r="V160" s="65">
        <f>2029726589</f>
        <v>2029726589</v>
      </c>
      <c r="W160" s="65">
        <f>1102355935</f>
        <v>1102355935</v>
      </c>
      <c r="X160" s="69">
        <f>18</f>
        <v>18</v>
      </c>
    </row>
    <row r="161" spans="1:24">
      <c r="A161" s="60" t="s">
        <v>852</v>
      </c>
      <c r="B161" s="60" t="s">
        <v>525</v>
      </c>
      <c r="C161" s="60" t="s">
        <v>526</v>
      </c>
      <c r="D161" s="60" t="s">
        <v>527</v>
      </c>
      <c r="E161" s="61" t="s">
        <v>46</v>
      </c>
      <c r="F161" s="62" t="s">
        <v>46</v>
      </c>
      <c r="G161" s="63" t="s">
        <v>46</v>
      </c>
      <c r="H161" s="64"/>
      <c r="I161" s="64" t="s">
        <v>47</v>
      </c>
      <c r="J161" s="65">
        <v>1</v>
      </c>
      <c r="K161" s="66">
        <f>2495</f>
        <v>2495</v>
      </c>
      <c r="L161" s="67" t="s">
        <v>853</v>
      </c>
      <c r="M161" s="66">
        <f>2689</f>
        <v>2689</v>
      </c>
      <c r="N161" s="67" t="s">
        <v>854</v>
      </c>
      <c r="O161" s="66">
        <f>2489</f>
        <v>2489</v>
      </c>
      <c r="P161" s="67" t="s">
        <v>853</v>
      </c>
      <c r="Q161" s="66">
        <f>2606</f>
        <v>2606</v>
      </c>
      <c r="R161" s="67" t="s">
        <v>240</v>
      </c>
      <c r="S161" s="68">
        <f>2626.67</f>
        <v>2626.67</v>
      </c>
      <c r="T161" s="65">
        <f>83575</f>
        <v>83575</v>
      </c>
      <c r="U161" s="65" t="str">
        <f>"－"</f>
        <v>－</v>
      </c>
      <c r="V161" s="65">
        <f>219172282</f>
        <v>219172282</v>
      </c>
      <c r="W161" s="65" t="str">
        <f>"－"</f>
        <v>－</v>
      </c>
      <c r="X161" s="69">
        <f>18</f>
        <v>18</v>
      </c>
    </row>
    <row r="162" spans="1:24">
      <c r="A162" s="60" t="s">
        <v>852</v>
      </c>
      <c r="B162" s="60" t="s">
        <v>528</v>
      </c>
      <c r="C162" s="60" t="s">
        <v>529</v>
      </c>
      <c r="D162" s="60" t="s">
        <v>530</v>
      </c>
      <c r="E162" s="61" t="s">
        <v>46</v>
      </c>
      <c r="F162" s="62" t="s">
        <v>46</v>
      </c>
      <c r="G162" s="63" t="s">
        <v>46</v>
      </c>
      <c r="H162" s="64"/>
      <c r="I162" s="64" t="s">
        <v>47</v>
      </c>
      <c r="J162" s="65">
        <v>1</v>
      </c>
      <c r="K162" s="66">
        <f>2236</f>
        <v>2236</v>
      </c>
      <c r="L162" s="67" t="s">
        <v>853</v>
      </c>
      <c r="M162" s="66">
        <f>2484</f>
        <v>2484</v>
      </c>
      <c r="N162" s="67" t="s">
        <v>854</v>
      </c>
      <c r="O162" s="66">
        <f>2208</f>
        <v>2208</v>
      </c>
      <c r="P162" s="67" t="s">
        <v>853</v>
      </c>
      <c r="Q162" s="66">
        <f>2299</f>
        <v>2299</v>
      </c>
      <c r="R162" s="67" t="s">
        <v>240</v>
      </c>
      <c r="S162" s="68">
        <f>2388.06</f>
        <v>2388.06</v>
      </c>
      <c r="T162" s="65">
        <f>133140</f>
        <v>133140</v>
      </c>
      <c r="U162" s="65" t="str">
        <f>"－"</f>
        <v>－</v>
      </c>
      <c r="V162" s="65">
        <f>318322333</f>
        <v>318322333</v>
      </c>
      <c r="W162" s="65" t="str">
        <f>"－"</f>
        <v>－</v>
      </c>
      <c r="X162" s="69">
        <f>18</f>
        <v>18</v>
      </c>
    </row>
    <row r="163" spans="1:24">
      <c r="A163" s="60" t="s">
        <v>852</v>
      </c>
      <c r="B163" s="60" t="s">
        <v>531</v>
      </c>
      <c r="C163" s="60" t="s">
        <v>532</v>
      </c>
      <c r="D163" s="60" t="s">
        <v>533</v>
      </c>
      <c r="E163" s="61" t="s">
        <v>46</v>
      </c>
      <c r="F163" s="62" t="s">
        <v>46</v>
      </c>
      <c r="G163" s="63" t="s">
        <v>46</v>
      </c>
      <c r="H163" s="64"/>
      <c r="I163" s="64" t="s">
        <v>47</v>
      </c>
      <c r="J163" s="65">
        <v>1</v>
      </c>
      <c r="K163" s="66">
        <f>1891</f>
        <v>1891</v>
      </c>
      <c r="L163" s="67" t="s">
        <v>853</v>
      </c>
      <c r="M163" s="66">
        <f>2068</f>
        <v>2068</v>
      </c>
      <c r="N163" s="67" t="s">
        <v>176</v>
      </c>
      <c r="O163" s="66">
        <f>1889</f>
        <v>1889</v>
      </c>
      <c r="P163" s="67" t="s">
        <v>853</v>
      </c>
      <c r="Q163" s="66">
        <f>2011</f>
        <v>2011</v>
      </c>
      <c r="R163" s="67" t="s">
        <v>240</v>
      </c>
      <c r="S163" s="68">
        <f>1986.83</f>
        <v>1986.83</v>
      </c>
      <c r="T163" s="65">
        <f>510652</f>
        <v>510652</v>
      </c>
      <c r="U163" s="65">
        <f>22</f>
        <v>22</v>
      </c>
      <c r="V163" s="65">
        <f>1014430480</f>
        <v>1014430480</v>
      </c>
      <c r="W163" s="65">
        <f>43516</f>
        <v>43516</v>
      </c>
      <c r="X163" s="69">
        <f>18</f>
        <v>18</v>
      </c>
    </row>
    <row r="164" spans="1:24">
      <c r="A164" s="60" t="s">
        <v>852</v>
      </c>
      <c r="B164" s="60" t="s">
        <v>534</v>
      </c>
      <c r="C164" s="60" t="s">
        <v>535</v>
      </c>
      <c r="D164" s="60" t="s">
        <v>536</v>
      </c>
      <c r="E164" s="61" t="s">
        <v>46</v>
      </c>
      <c r="F164" s="62" t="s">
        <v>46</v>
      </c>
      <c r="G164" s="63" t="s">
        <v>46</v>
      </c>
      <c r="H164" s="64"/>
      <c r="I164" s="64" t="s">
        <v>47</v>
      </c>
      <c r="J164" s="65">
        <v>1</v>
      </c>
      <c r="K164" s="66">
        <f>10260</f>
        <v>10260</v>
      </c>
      <c r="L164" s="67" t="s">
        <v>853</v>
      </c>
      <c r="M164" s="66">
        <f>11440</f>
        <v>11440</v>
      </c>
      <c r="N164" s="67" t="s">
        <v>855</v>
      </c>
      <c r="O164" s="66">
        <f>10200</f>
        <v>10200</v>
      </c>
      <c r="P164" s="67" t="s">
        <v>858</v>
      </c>
      <c r="Q164" s="66">
        <f>11140</f>
        <v>11140</v>
      </c>
      <c r="R164" s="67" t="s">
        <v>240</v>
      </c>
      <c r="S164" s="68">
        <f>10831.67</f>
        <v>10831.67</v>
      </c>
      <c r="T164" s="65">
        <f>19879</f>
        <v>19879</v>
      </c>
      <c r="U164" s="65" t="str">
        <f>"－"</f>
        <v>－</v>
      </c>
      <c r="V164" s="65">
        <f>216210040</f>
        <v>216210040</v>
      </c>
      <c r="W164" s="65" t="str">
        <f>"－"</f>
        <v>－</v>
      </c>
      <c r="X164" s="69">
        <f>18</f>
        <v>18</v>
      </c>
    </row>
    <row r="165" spans="1:24">
      <c r="A165" s="60" t="s">
        <v>852</v>
      </c>
      <c r="B165" s="60" t="s">
        <v>537</v>
      </c>
      <c r="C165" s="60" t="s">
        <v>538</v>
      </c>
      <c r="D165" s="60" t="s">
        <v>539</v>
      </c>
      <c r="E165" s="61" t="s">
        <v>46</v>
      </c>
      <c r="F165" s="62" t="s">
        <v>46</v>
      </c>
      <c r="G165" s="63" t="s">
        <v>46</v>
      </c>
      <c r="H165" s="64" t="s">
        <v>540</v>
      </c>
      <c r="I165" s="64" t="s">
        <v>47</v>
      </c>
      <c r="J165" s="65">
        <v>100</v>
      </c>
      <c r="K165" s="66">
        <f>121</f>
        <v>121</v>
      </c>
      <c r="L165" s="67" t="s">
        <v>853</v>
      </c>
      <c r="M165" s="66">
        <f>132</f>
        <v>132</v>
      </c>
      <c r="N165" s="67" t="s">
        <v>176</v>
      </c>
      <c r="O165" s="66">
        <f>121</f>
        <v>121</v>
      </c>
      <c r="P165" s="67" t="s">
        <v>853</v>
      </c>
      <c r="Q165" s="66">
        <f>125</f>
        <v>125</v>
      </c>
      <c r="R165" s="67" t="s">
        <v>240</v>
      </c>
      <c r="S165" s="68">
        <f>126.44</f>
        <v>126.44</v>
      </c>
      <c r="T165" s="65">
        <f>95100</f>
        <v>95100</v>
      </c>
      <c r="U165" s="65" t="str">
        <f>"－"</f>
        <v>－</v>
      </c>
      <c r="V165" s="65">
        <f>12037600</f>
        <v>12037600</v>
      </c>
      <c r="W165" s="65" t="str">
        <f>"－"</f>
        <v>－</v>
      </c>
      <c r="X165" s="69">
        <f>18</f>
        <v>18</v>
      </c>
    </row>
    <row r="166" spans="1:24">
      <c r="A166" s="60" t="s">
        <v>852</v>
      </c>
      <c r="B166" s="60" t="s">
        <v>541</v>
      </c>
      <c r="C166" s="60" t="s">
        <v>542</v>
      </c>
      <c r="D166" s="60" t="s">
        <v>543</v>
      </c>
      <c r="E166" s="61" t="s">
        <v>46</v>
      </c>
      <c r="F166" s="62" t="s">
        <v>46</v>
      </c>
      <c r="G166" s="63" t="s">
        <v>46</v>
      </c>
      <c r="H166" s="64"/>
      <c r="I166" s="64" t="s">
        <v>47</v>
      </c>
      <c r="J166" s="65">
        <v>1</v>
      </c>
      <c r="K166" s="66">
        <f>1036</f>
        <v>1036</v>
      </c>
      <c r="L166" s="67" t="s">
        <v>853</v>
      </c>
      <c r="M166" s="66">
        <f>1285</f>
        <v>1285</v>
      </c>
      <c r="N166" s="67" t="s">
        <v>240</v>
      </c>
      <c r="O166" s="66">
        <f>1034</f>
        <v>1034</v>
      </c>
      <c r="P166" s="67" t="s">
        <v>853</v>
      </c>
      <c r="Q166" s="66">
        <f>1265</f>
        <v>1265</v>
      </c>
      <c r="R166" s="67" t="s">
        <v>240</v>
      </c>
      <c r="S166" s="68">
        <f>1176.67</f>
        <v>1176.67</v>
      </c>
      <c r="T166" s="65">
        <f>43542662</f>
        <v>43542662</v>
      </c>
      <c r="U166" s="65">
        <f>17599</f>
        <v>17599</v>
      </c>
      <c r="V166" s="65">
        <f>51318171492</f>
        <v>51318171492</v>
      </c>
      <c r="W166" s="65">
        <f>19441154</f>
        <v>19441154</v>
      </c>
      <c r="X166" s="69">
        <f>18</f>
        <v>18</v>
      </c>
    </row>
    <row r="167" spans="1:24">
      <c r="A167" s="60" t="s">
        <v>852</v>
      </c>
      <c r="B167" s="60" t="s">
        <v>544</v>
      </c>
      <c r="C167" s="60" t="s">
        <v>545</v>
      </c>
      <c r="D167" s="60" t="s">
        <v>546</v>
      </c>
      <c r="E167" s="61" t="s">
        <v>46</v>
      </c>
      <c r="F167" s="62" t="s">
        <v>46</v>
      </c>
      <c r="G167" s="63" t="s">
        <v>46</v>
      </c>
      <c r="H167" s="64"/>
      <c r="I167" s="64" t="s">
        <v>47</v>
      </c>
      <c r="J167" s="65">
        <v>1</v>
      </c>
      <c r="K167" s="66">
        <f>18400</f>
        <v>18400</v>
      </c>
      <c r="L167" s="67" t="s">
        <v>853</v>
      </c>
      <c r="M167" s="66">
        <f>18540</f>
        <v>18540</v>
      </c>
      <c r="N167" s="67" t="s">
        <v>857</v>
      </c>
      <c r="O167" s="66">
        <f>17810</f>
        <v>17810</v>
      </c>
      <c r="P167" s="67" t="s">
        <v>613</v>
      </c>
      <c r="Q167" s="66">
        <f>18140</f>
        <v>18140</v>
      </c>
      <c r="R167" s="67" t="s">
        <v>240</v>
      </c>
      <c r="S167" s="68">
        <f>18193.33</f>
        <v>18193.330000000002</v>
      </c>
      <c r="T167" s="65">
        <f>8951</f>
        <v>8951</v>
      </c>
      <c r="U167" s="65" t="str">
        <f>"－"</f>
        <v>－</v>
      </c>
      <c r="V167" s="65">
        <f>162326820</f>
        <v>162326820</v>
      </c>
      <c r="W167" s="65" t="str">
        <f>"－"</f>
        <v>－</v>
      </c>
      <c r="X167" s="69">
        <f>18</f>
        <v>18</v>
      </c>
    </row>
    <row r="168" spans="1:24">
      <c r="A168" s="60" t="s">
        <v>852</v>
      </c>
      <c r="B168" s="60" t="s">
        <v>547</v>
      </c>
      <c r="C168" s="60" t="s">
        <v>548</v>
      </c>
      <c r="D168" s="60" t="s">
        <v>549</v>
      </c>
      <c r="E168" s="61" t="s">
        <v>46</v>
      </c>
      <c r="F168" s="62" t="s">
        <v>46</v>
      </c>
      <c r="G168" s="63" t="s">
        <v>46</v>
      </c>
      <c r="H168" s="64"/>
      <c r="I168" s="64" t="s">
        <v>47</v>
      </c>
      <c r="J168" s="65">
        <v>10</v>
      </c>
      <c r="K168" s="66">
        <f>2809</f>
        <v>2809</v>
      </c>
      <c r="L168" s="67" t="s">
        <v>853</v>
      </c>
      <c r="M168" s="66">
        <f>2838</f>
        <v>2838</v>
      </c>
      <c r="N168" s="67" t="s">
        <v>855</v>
      </c>
      <c r="O168" s="66">
        <f>2580</f>
        <v>2580</v>
      </c>
      <c r="P168" s="67" t="s">
        <v>48</v>
      </c>
      <c r="Q168" s="66">
        <f>2795</f>
        <v>2795</v>
      </c>
      <c r="R168" s="67" t="s">
        <v>240</v>
      </c>
      <c r="S168" s="68">
        <f>2716.22</f>
        <v>2716.22</v>
      </c>
      <c r="T168" s="65">
        <f>138270</f>
        <v>138270</v>
      </c>
      <c r="U168" s="65">
        <f>100</f>
        <v>100</v>
      </c>
      <c r="V168" s="65">
        <f>379631280</f>
        <v>379631280</v>
      </c>
      <c r="W168" s="65">
        <f>263600</f>
        <v>263600</v>
      </c>
      <c r="X168" s="69">
        <f>18</f>
        <v>18</v>
      </c>
    </row>
    <row r="169" spans="1:24">
      <c r="A169" s="60" t="s">
        <v>852</v>
      </c>
      <c r="B169" s="60" t="s">
        <v>550</v>
      </c>
      <c r="C169" s="60" t="s">
        <v>551</v>
      </c>
      <c r="D169" s="60" t="s">
        <v>552</v>
      </c>
      <c r="E169" s="61" t="s">
        <v>46</v>
      </c>
      <c r="F169" s="62" t="s">
        <v>46</v>
      </c>
      <c r="G169" s="63" t="s">
        <v>46</v>
      </c>
      <c r="H169" s="64"/>
      <c r="I169" s="64" t="s">
        <v>47</v>
      </c>
      <c r="J169" s="65">
        <v>1</v>
      </c>
      <c r="K169" s="66">
        <f>10560</f>
        <v>10560</v>
      </c>
      <c r="L169" s="67" t="s">
        <v>853</v>
      </c>
      <c r="M169" s="66">
        <f>13200</f>
        <v>13200</v>
      </c>
      <c r="N169" s="67" t="s">
        <v>854</v>
      </c>
      <c r="O169" s="66">
        <f>10560</f>
        <v>10560</v>
      </c>
      <c r="P169" s="67" t="s">
        <v>853</v>
      </c>
      <c r="Q169" s="66">
        <f>12000</f>
        <v>12000</v>
      </c>
      <c r="R169" s="67" t="s">
        <v>240</v>
      </c>
      <c r="S169" s="68">
        <f>11868.89</f>
        <v>11868.89</v>
      </c>
      <c r="T169" s="65">
        <f>19534</f>
        <v>19534</v>
      </c>
      <c r="U169" s="65" t="str">
        <f>"－"</f>
        <v>－</v>
      </c>
      <c r="V169" s="65">
        <f>236314920</f>
        <v>236314920</v>
      </c>
      <c r="W169" s="65" t="str">
        <f>"－"</f>
        <v>－</v>
      </c>
      <c r="X169" s="69">
        <f>18</f>
        <v>18</v>
      </c>
    </row>
    <row r="170" spans="1:24">
      <c r="A170" s="60" t="s">
        <v>852</v>
      </c>
      <c r="B170" s="60" t="s">
        <v>553</v>
      </c>
      <c r="C170" s="60" t="s">
        <v>554</v>
      </c>
      <c r="D170" s="60" t="s">
        <v>555</v>
      </c>
      <c r="E170" s="61" t="s">
        <v>46</v>
      </c>
      <c r="F170" s="62" t="s">
        <v>46</v>
      </c>
      <c r="G170" s="63" t="s">
        <v>46</v>
      </c>
      <c r="H170" s="64"/>
      <c r="I170" s="64" t="s">
        <v>47</v>
      </c>
      <c r="J170" s="65">
        <v>1</v>
      </c>
      <c r="K170" s="66">
        <f>22660</f>
        <v>22660</v>
      </c>
      <c r="L170" s="67" t="s">
        <v>853</v>
      </c>
      <c r="M170" s="66">
        <f>24490</f>
        <v>24490</v>
      </c>
      <c r="N170" s="67" t="s">
        <v>132</v>
      </c>
      <c r="O170" s="66">
        <f>22150</f>
        <v>22150</v>
      </c>
      <c r="P170" s="67" t="s">
        <v>853</v>
      </c>
      <c r="Q170" s="66">
        <f>23850</f>
        <v>23850</v>
      </c>
      <c r="R170" s="67" t="s">
        <v>240</v>
      </c>
      <c r="S170" s="68">
        <f>23310</f>
        <v>23310</v>
      </c>
      <c r="T170" s="65">
        <f>932</f>
        <v>932</v>
      </c>
      <c r="U170" s="65" t="str">
        <f>"－"</f>
        <v>－</v>
      </c>
      <c r="V170" s="65">
        <f>21585130</f>
        <v>21585130</v>
      </c>
      <c r="W170" s="65" t="str">
        <f>"－"</f>
        <v>－</v>
      </c>
      <c r="X170" s="69">
        <f>18</f>
        <v>18</v>
      </c>
    </row>
    <row r="171" spans="1:24">
      <c r="A171" s="60" t="s">
        <v>852</v>
      </c>
      <c r="B171" s="60" t="s">
        <v>556</v>
      </c>
      <c r="C171" s="60" t="s">
        <v>557</v>
      </c>
      <c r="D171" s="60" t="s">
        <v>558</v>
      </c>
      <c r="E171" s="61" t="s">
        <v>46</v>
      </c>
      <c r="F171" s="62" t="s">
        <v>46</v>
      </c>
      <c r="G171" s="63" t="s">
        <v>46</v>
      </c>
      <c r="H171" s="64"/>
      <c r="I171" s="64" t="s">
        <v>47</v>
      </c>
      <c r="J171" s="65">
        <v>1</v>
      </c>
      <c r="K171" s="66">
        <f>17200</f>
        <v>17200</v>
      </c>
      <c r="L171" s="67" t="s">
        <v>857</v>
      </c>
      <c r="M171" s="66">
        <f>17590</f>
        <v>17590</v>
      </c>
      <c r="N171" s="67" t="s">
        <v>132</v>
      </c>
      <c r="O171" s="66">
        <f>15920</f>
        <v>15920</v>
      </c>
      <c r="P171" s="67" t="s">
        <v>858</v>
      </c>
      <c r="Q171" s="66">
        <f>16510</f>
        <v>16510</v>
      </c>
      <c r="R171" s="67" t="s">
        <v>240</v>
      </c>
      <c r="S171" s="68">
        <f>17145</f>
        <v>17145</v>
      </c>
      <c r="T171" s="65">
        <f>87</f>
        <v>87</v>
      </c>
      <c r="U171" s="65" t="str">
        <f>"－"</f>
        <v>－</v>
      </c>
      <c r="V171" s="65">
        <f>1482460</f>
        <v>1482460</v>
      </c>
      <c r="W171" s="65" t="str">
        <f>"－"</f>
        <v>－</v>
      </c>
      <c r="X171" s="69">
        <f>10</f>
        <v>10</v>
      </c>
    </row>
    <row r="172" spans="1:24">
      <c r="A172" s="60" t="s">
        <v>852</v>
      </c>
      <c r="B172" s="60" t="s">
        <v>559</v>
      </c>
      <c r="C172" s="60" t="s">
        <v>560</v>
      </c>
      <c r="D172" s="60" t="s">
        <v>561</v>
      </c>
      <c r="E172" s="61" t="s">
        <v>46</v>
      </c>
      <c r="F172" s="62" t="s">
        <v>46</v>
      </c>
      <c r="G172" s="63" t="s">
        <v>46</v>
      </c>
      <c r="H172" s="64"/>
      <c r="I172" s="64" t="s">
        <v>47</v>
      </c>
      <c r="J172" s="65">
        <v>10</v>
      </c>
      <c r="K172" s="66">
        <f>51200</f>
        <v>51200</v>
      </c>
      <c r="L172" s="67" t="s">
        <v>853</v>
      </c>
      <c r="M172" s="66">
        <f>51500</f>
        <v>51500</v>
      </c>
      <c r="N172" s="67" t="s">
        <v>854</v>
      </c>
      <c r="O172" s="66">
        <f>50600</f>
        <v>50600</v>
      </c>
      <c r="P172" s="67" t="s">
        <v>240</v>
      </c>
      <c r="Q172" s="66">
        <f>50700</f>
        <v>50700</v>
      </c>
      <c r="R172" s="67" t="s">
        <v>240</v>
      </c>
      <c r="S172" s="68">
        <f>51111.11</f>
        <v>51111.11</v>
      </c>
      <c r="T172" s="65">
        <f>7090</f>
        <v>7090</v>
      </c>
      <c r="U172" s="65" t="str">
        <f>"－"</f>
        <v>－</v>
      </c>
      <c r="V172" s="65">
        <f>362500000</f>
        <v>362500000</v>
      </c>
      <c r="W172" s="65" t="str">
        <f>"－"</f>
        <v>－</v>
      </c>
      <c r="X172" s="69">
        <f>18</f>
        <v>18</v>
      </c>
    </row>
    <row r="173" spans="1:24">
      <c r="A173" s="60" t="s">
        <v>852</v>
      </c>
      <c r="B173" s="60" t="s">
        <v>562</v>
      </c>
      <c r="C173" s="60" t="s">
        <v>563</v>
      </c>
      <c r="D173" s="60" t="s">
        <v>564</v>
      </c>
      <c r="E173" s="61" t="s">
        <v>46</v>
      </c>
      <c r="F173" s="62" t="s">
        <v>46</v>
      </c>
      <c r="G173" s="63" t="s">
        <v>46</v>
      </c>
      <c r="H173" s="64"/>
      <c r="I173" s="64" t="s">
        <v>47</v>
      </c>
      <c r="J173" s="65">
        <v>100</v>
      </c>
      <c r="K173" s="66">
        <f>175</f>
        <v>175</v>
      </c>
      <c r="L173" s="67" t="s">
        <v>853</v>
      </c>
      <c r="M173" s="66">
        <f>201</f>
        <v>201</v>
      </c>
      <c r="N173" s="67" t="s">
        <v>854</v>
      </c>
      <c r="O173" s="66">
        <f>175</f>
        <v>175</v>
      </c>
      <c r="P173" s="67" t="s">
        <v>853</v>
      </c>
      <c r="Q173" s="66">
        <f>190</f>
        <v>190</v>
      </c>
      <c r="R173" s="67" t="s">
        <v>240</v>
      </c>
      <c r="S173" s="68">
        <f>193.83</f>
        <v>193.83</v>
      </c>
      <c r="T173" s="65">
        <f>13197000</f>
        <v>13197000</v>
      </c>
      <c r="U173" s="65">
        <f>36200</f>
        <v>36200</v>
      </c>
      <c r="V173" s="65">
        <f>2547600100</f>
        <v>2547600100</v>
      </c>
      <c r="W173" s="65">
        <f>7019100</f>
        <v>7019100</v>
      </c>
      <c r="X173" s="69">
        <f>18</f>
        <v>18</v>
      </c>
    </row>
    <row r="174" spans="1:24">
      <c r="A174" s="60" t="s">
        <v>852</v>
      </c>
      <c r="B174" s="60" t="s">
        <v>565</v>
      </c>
      <c r="C174" s="60" t="s">
        <v>566</v>
      </c>
      <c r="D174" s="60" t="s">
        <v>567</v>
      </c>
      <c r="E174" s="61" t="s">
        <v>46</v>
      </c>
      <c r="F174" s="62" t="s">
        <v>46</v>
      </c>
      <c r="G174" s="63" t="s">
        <v>46</v>
      </c>
      <c r="H174" s="64"/>
      <c r="I174" s="64" t="s">
        <v>47</v>
      </c>
      <c r="J174" s="65">
        <v>10</v>
      </c>
      <c r="K174" s="66">
        <f>27510</f>
        <v>27510</v>
      </c>
      <c r="L174" s="67" t="s">
        <v>853</v>
      </c>
      <c r="M174" s="66">
        <f>29960</f>
        <v>29960</v>
      </c>
      <c r="N174" s="67" t="s">
        <v>176</v>
      </c>
      <c r="O174" s="66">
        <f>27510</f>
        <v>27510</v>
      </c>
      <c r="P174" s="67" t="s">
        <v>853</v>
      </c>
      <c r="Q174" s="66">
        <f>29200</f>
        <v>29200</v>
      </c>
      <c r="R174" s="67" t="s">
        <v>240</v>
      </c>
      <c r="S174" s="68">
        <f>29002.22</f>
        <v>29002.22</v>
      </c>
      <c r="T174" s="65">
        <f>5740</f>
        <v>5740</v>
      </c>
      <c r="U174" s="65" t="str">
        <f t="shared" ref="U174:U188" si="8">"－"</f>
        <v>－</v>
      </c>
      <c r="V174" s="65">
        <f>166715600</f>
        <v>166715600</v>
      </c>
      <c r="W174" s="65" t="str">
        <f t="shared" ref="W174:W188" si="9">"－"</f>
        <v>－</v>
      </c>
      <c r="X174" s="69">
        <f>18</f>
        <v>18</v>
      </c>
    </row>
    <row r="175" spans="1:24">
      <c r="A175" s="60" t="s">
        <v>852</v>
      </c>
      <c r="B175" s="60" t="s">
        <v>568</v>
      </c>
      <c r="C175" s="60" t="s">
        <v>569</v>
      </c>
      <c r="D175" s="60" t="s">
        <v>570</v>
      </c>
      <c r="E175" s="61" t="s">
        <v>46</v>
      </c>
      <c r="F175" s="62" t="s">
        <v>46</v>
      </c>
      <c r="G175" s="63" t="s">
        <v>46</v>
      </c>
      <c r="H175" s="64"/>
      <c r="I175" s="64" t="s">
        <v>47</v>
      </c>
      <c r="J175" s="65">
        <v>10</v>
      </c>
      <c r="K175" s="66">
        <f>2856</f>
        <v>2856</v>
      </c>
      <c r="L175" s="67" t="s">
        <v>853</v>
      </c>
      <c r="M175" s="66">
        <f>3100</f>
        <v>3100</v>
      </c>
      <c r="N175" s="67" t="s">
        <v>854</v>
      </c>
      <c r="O175" s="66">
        <f>2852</f>
        <v>2852</v>
      </c>
      <c r="P175" s="67" t="s">
        <v>853</v>
      </c>
      <c r="Q175" s="66">
        <f>3000</f>
        <v>3000</v>
      </c>
      <c r="R175" s="67" t="s">
        <v>240</v>
      </c>
      <c r="S175" s="68">
        <f>3021.78</f>
        <v>3021.78</v>
      </c>
      <c r="T175" s="65">
        <f>78680</f>
        <v>78680</v>
      </c>
      <c r="U175" s="65" t="str">
        <f t="shared" si="8"/>
        <v>－</v>
      </c>
      <c r="V175" s="65">
        <f>237910710</f>
        <v>237910710</v>
      </c>
      <c r="W175" s="65" t="str">
        <f t="shared" si="9"/>
        <v>－</v>
      </c>
      <c r="X175" s="69">
        <f>18</f>
        <v>18</v>
      </c>
    </row>
    <row r="176" spans="1:24">
      <c r="A176" s="60" t="s">
        <v>852</v>
      </c>
      <c r="B176" s="60" t="s">
        <v>571</v>
      </c>
      <c r="C176" s="60" t="s">
        <v>572</v>
      </c>
      <c r="D176" s="60" t="s">
        <v>573</v>
      </c>
      <c r="E176" s="61" t="s">
        <v>46</v>
      </c>
      <c r="F176" s="62" t="s">
        <v>46</v>
      </c>
      <c r="G176" s="63" t="s">
        <v>46</v>
      </c>
      <c r="H176" s="64"/>
      <c r="I176" s="64" t="s">
        <v>47</v>
      </c>
      <c r="J176" s="65">
        <v>10</v>
      </c>
      <c r="K176" s="66">
        <f>1724</f>
        <v>1724</v>
      </c>
      <c r="L176" s="67" t="s">
        <v>853</v>
      </c>
      <c r="M176" s="66">
        <f>1930</f>
        <v>1930</v>
      </c>
      <c r="N176" s="67" t="s">
        <v>854</v>
      </c>
      <c r="O176" s="66">
        <f>1717</f>
        <v>1717</v>
      </c>
      <c r="P176" s="67" t="s">
        <v>853</v>
      </c>
      <c r="Q176" s="66">
        <f>1784</f>
        <v>1784</v>
      </c>
      <c r="R176" s="67" t="s">
        <v>240</v>
      </c>
      <c r="S176" s="68">
        <f>1851.78</f>
        <v>1851.78</v>
      </c>
      <c r="T176" s="65">
        <f>271520</f>
        <v>271520</v>
      </c>
      <c r="U176" s="65" t="str">
        <f t="shared" si="8"/>
        <v>－</v>
      </c>
      <c r="V176" s="65">
        <f>504720860</f>
        <v>504720860</v>
      </c>
      <c r="W176" s="65" t="str">
        <f t="shared" si="9"/>
        <v>－</v>
      </c>
      <c r="X176" s="69">
        <f>18</f>
        <v>18</v>
      </c>
    </row>
    <row r="177" spans="1:24">
      <c r="A177" s="60" t="s">
        <v>852</v>
      </c>
      <c r="B177" s="60" t="s">
        <v>574</v>
      </c>
      <c r="C177" s="60" t="s">
        <v>575</v>
      </c>
      <c r="D177" s="60" t="s">
        <v>576</v>
      </c>
      <c r="E177" s="61" t="s">
        <v>46</v>
      </c>
      <c r="F177" s="62" t="s">
        <v>46</v>
      </c>
      <c r="G177" s="63" t="s">
        <v>46</v>
      </c>
      <c r="H177" s="64"/>
      <c r="I177" s="64" t="s">
        <v>47</v>
      </c>
      <c r="J177" s="65">
        <v>100</v>
      </c>
      <c r="K177" s="66">
        <f>192</f>
        <v>192</v>
      </c>
      <c r="L177" s="67" t="s">
        <v>853</v>
      </c>
      <c r="M177" s="66">
        <f>246</f>
        <v>246</v>
      </c>
      <c r="N177" s="67" t="s">
        <v>854</v>
      </c>
      <c r="O177" s="66">
        <f>191</f>
        <v>191</v>
      </c>
      <c r="P177" s="67" t="s">
        <v>853</v>
      </c>
      <c r="Q177" s="66">
        <f>224</f>
        <v>224</v>
      </c>
      <c r="R177" s="67" t="s">
        <v>240</v>
      </c>
      <c r="S177" s="68">
        <f>215.67</f>
        <v>215.67</v>
      </c>
      <c r="T177" s="65">
        <f>1328400</f>
        <v>1328400</v>
      </c>
      <c r="U177" s="65" t="str">
        <f t="shared" si="8"/>
        <v>－</v>
      </c>
      <c r="V177" s="65">
        <f>293461600</f>
        <v>293461600</v>
      </c>
      <c r="W177" s="65" t="str">
        <f t="shared" si="9"/>
        <v>－</v>
      </c>
      <c r="X177" s="69">
        <f>18</f>
        <v>18</v>
      </c>
    </row>
    <row r="178" spans="1:24">
      <c r="A178" s="60" t="s">
        <v>852</v>
      </c>
      <c r="B178" s="60" t="s">
        <v>577</v>
      </c>
      <c r="C178" s="60" t="s">
        <v>578</v>
      </c>
      <c r="D178" s="60" t="s">
        <v>579</v>
      </c>
      <c r="E178" s="61" t="s">
        <v>46</v>
      </c>
      <c r="F178" s="62" t="s">
        <v>46</v>
      </c>
      <c r="G178" s="63" t="s">
        <v>46</v>
      </c>
      <c r="H178" s="64"/>
      <c r="I178" s="64" t="s">
        <v>47</v>
      </c>
      <c r="J178" s="65">
        <v>10</v>
      </c>
      <c r="K178" s="66">
        <f>884</f>
        <v>884</v>
      </c>
      <c r="L178" s="67" t="s">
        <v>858</v>
      </c>
      <c r="M178" s="66">
        <f>990</f>
        <v>990</v>
      </c>
      <c r="N178" s="67" t="s">
        <v>176</v>
      </c>
      <c r="O178" s="66">
        <f>884</f>
        <v>884</v>
      </c>
      <c r="P178" s="67" t="s">
        <v>858</v>
      </c>
      <c r="Q178" s="66">
        <f>979</f>
        <v>979</v>
      </c>
      <c r="R178" s="67" t="s">
        <v>240</v>
      </c>
      <c r="S178" s="68">
        <f>940.7</f>
        <v>940.7</v>
      </c>
      <c r="T178" s="65">
        <f>1500</f>
        <v>1500</v>
      </c>
      <c r="U178" s="65" t="str">
        <f t="shared" si="8"/>
        <v>－</v>
      </c>
      <c r="V178" s="65">
        <f>1470180</f>
        <v>1470180</v>
      </c>
      <c r="W178" s="65" t="str">
        <f t="shared" si="9"/>
        <v>－</v>
      </c>
      <c r="X178" s="69">
        <f>10</f>
        <v>10</v>
      </c>
    </row>
    <row r="179" spans="1:24">
      <c r="A179" s="60" t="s">
        <v>852</v>
      </c>
      <c r="B179" s="60" t="s">
        <v>580</v>
      </c>
      <c r="C179" s="60" t="s">
        <v>581</v>
      </c>
      <c r="D179" s="60" t="s">
        <v>582</v>
      </c>
      <c r="E179" s="61" t="s">
        <v>46</v>
      </c>
      <c r="F179" s="62" t="s">
        <v>46</v>
      </c>
      <c r="G179" s="63" t="s">
        <v>46</v>
      </c>
      <c r="H179" s="64"/>
      <c r="I179" s="64" t="s">
        <v>47</v>
      </c>
      <c r="J179" s="65">
        <v>10</v>
      </c>
      <c r="K179" s="66">
        <f>240</f>
        <v>240</v>
      </c>
      <c r="L179" s="67" t="s">
        <v>853</v>
      </c>
      <c r="M179" s="66">
        <f>289</f>
        <v>289</v>
      </c>
      <c r="N179" s="67" t="s">
        <v>100</v>
      </c>
      <c r="O179" s="66">
        <f>240</f>
        <v>240</v>
      </c>
      <c r="P179" s="67" t="s">
        <v>853</v>
      </c>
      <c r="Q179" s="66">
        <f>282</f>
        <v>282</v>
      </c>
      <c r="R179" s="67" t="s">
        <v>240</v>
      </c>
      <c r="S179" s="68">
        <f>270</f>
        <v>270</v>
      </c>
      <c r="T179" s="65">
        <f>58670</f>
        <v>58670</v>
      </c>
      <c r="U179" s="65" t="str">
        <f t="shared" si="8"/>
        <v>－</v>
      </c>
      <c r="V179" s="65">
        <f>16073100</f>
        <v>16073100</v>
      </c>
      <c r="W179" s="65" t="str">
        <f t="shared" si="9"/>
        <v>－</v>
      </c>
      <c r="X179" s="69">
        <f>18</f>
        <v>18</v>
      </c>
    </row>
    <row r="180" spans="1:24">
      <c r="A180" s="60" t="s">
        <v>852</v>
      </c>
      <c r="B180" s="60" t="s">
        <v>583</v>
      </c>
      <c r="C180" s="60" t="s">
        <v>584</v>
      </c>
      <c r="D180" s="60" t="s">
        <v>585</v>
      </c>
      <c r="E180" s="61" t="s">
        <v>46</v>
      </c>
      <c r="F180" s="62" t="s">
        <v>46</v>
      </c>
      <c r="G180" s="63" t="s">
        <v>46</v>
      </c>
      <c r="H180" s="64"/>
      <c r="I180" s="64" t="s">
        <v>47</v>
      </c>
      <c r="J180" s="65">
        <v>10</v>
      </c>
      <c r="K180" s="66">
        <f>1410</f>
        <v>1410</v>
      </c>
      <c r="L180" s="67" t="s">
        <v>858</v>
      </c>
      <c r="M180" s="66">
        <f>1865</f>
        <v>1865</v>
      </c>
      <c r="N180" s="67" t="s">
        <v>240</v>
      </c>
      <c r="O180" s="66">
        <f>1377</f>
        <v>1377</v>
      </c>
      <c r="P180" s="67" t="s">
        <v>84</v>
      </c>
      <c r="Q180" s="66">
        <f>1865</f>
        <v>1865</v>
      </c>
      <c r="R180" s="67" t="s">
        <v>240</v>
      </c>
      <c r="S180" s="68">
        <f>1553.64</f>
        <v>1553.64</v>
      </c>
      <c r="T180" s="65">
        <f>3930</f>
        <v>3930</v>
      </c>
      <c r="U180" s="65" t="str">
        <f t="shared" si="8"/>
        <v>－</v>
      </c>
      <c r="V180" s="65">
        <f>6460020</f>
        <v>6460020</v>
      </c>
      <c r="W180" s="65" t="str">
        <f t="shared" si="9"/>
        <v>－</v>
      </c>
      <c r="X180" s="69">
        <f>14</f>
        <v>14</v>
      </c>
    </row>
    <row r="181" spans="1:24">
      <c r="A181" s="60" t="s">
        <v>852</v>
      </c>
      <c r="B181" s="60" t="s">
        <v>586</v>
      </c>
      <c r="C181" s="60" t="s">
        <v>587</v>
      </c>
      <c r="D181" s="60" t="s">
        <v>588</v>
      </c>
      <c r="E181" s="61" t="s">
        <v>46</v>
      </c>
      <c r="F181" s="62" t="s">
        <v>46</v>
      </c>
      <c r="G181" s="63" t="s">
        <v>46</v>
      </c>
      <c r="H181" s="64"/>
      <c r="I181" s="64" t="s">
        <v>47</v>
      </c>
      <c r="J181" s="65">
        <v>10</v>
      </c>
      <c r="K181" s="66">
        <f>516</f>
        <v>516</v>
      </c>
      <c r="L181" s="67" t="s">
        <v>853</v>
      </c>
      <c r="M181" s="66">
        <f>599</f>
        <v>599</v>
      </c>
      <c r="N181" s="67" t="s">
        <v>856</v>
      </c>
      <c r="O181" s="66">
        <f>512</f>
        <v>512</v>
      </c>
      <c r="P181" s="67" t="s">
        <v>858</v>
      </c>
      <c r="Q181" s="66">
        <f>563</f>
        <v>563</v>
      </c>
      <c r="R181" s="67" t="s">
        <v>240</v>
      </c>
      <c r="S181" s="68">
        <f>537.89</f>
        <v>537.89</v>
      </c>
      <c r="T181" s="65">
        <f>109780</f>
        <v>109780</v>
      </c>
      <c r="U181" s="65" t="str">
        <f t="shared" si="8"/>
        <v>－</v>
      </c>
      <c r="V181" s="65">
        <f>59892820</f>
        <v>59892820</v>
      </c>
      <c r="W181" s="65" t="str">
        <f t="shared" si="9"/>
        <v>－</v>
      </c>
      <c r="X181" s="69">
        <f>18</f>
        <v>18</v>
      </c>
    </row>
    <row r="182" spans="1:24">
      <c r="A182" s="60" t="s">
        <v>852</v>
      </c>
      <c r="B182" s="60" t="s">
        <v>589</v>
      </c>
      <c r="C182" s="60" t="s">
        <v>590</v>
      </c>
      <c r="D182" s="60" t="s">
        <v>591</v>
      </c>
      <c r="E182" s="61" t="s">
        <v>46</v>
      </c>
      <c r="F182" s="62" t="s">
        <v>46</v>
      </c>
      <c r="G182" s="63" t="s">
        <v>46</v>
      </c>
      <c r="H182" s="64"/>
      <c r="I182" s="64" t="s">
        <v>47</v>
      </c>
      <c r="J182" s="65">
        <v>10</v>
      </c>
      <c r="K182" s="66">
        <f>393</f>
        <v>393</v>
      </c>
      <c r="L182" s="67" t="s">
        <v>853</v>
      </c>
      <c r="M182" s="66">
        <f>416</f>
        <v>416</v>
      </c>
      <c r="N182" s="67" t="s">
        <v>176</v>
      </c>
      <c r="O182" s="66">
        <f>391</f>
        <v>391</v>
      </c>
      <c r="P182" s="67" t="s">
        <v>858</v>
      </c>
      <c r="Q182" s="66">
        <f>404</f>
        <v>404</v>
      </c>
      <c r="R182" s="67" t="s">
        <v>240</v>
      </c>
      <c r="S182" s="68">
        <f>401.39</f>
        <v>401.39</v>
      </c>
      <c r="T182" s="65">
        <f>590880</f>
        <v>590880</v>
      </c>
      <c r="U182" s="65" t="str">
        <f t="shared" si="8"/>
        <v>－</v>
      </c>
      <c r="V182" s="65">
        <f>238422300</f>
        <v>238422300</v>
      </c>
      <c r="W182" s="65" t="str">
        <f t="shared" si="9"/>
        <v>－</v>
      </c>
      <c r="X182" s="69">
        <f>18</f>
        <v>18</v>
      </c>
    </row>
    <row r="183" spans="1:24">
      <c r="A183" s="60" t="s">
        <v>852</v>
      </c>
      <c r="B183" s="60" t="s">
        <v>592</v>
      </c>
      <c r="C183" s="60" t="s">
        <v>593</v>
      </c>
      <c r="D183" s="60" t="s">
        <v>594</v>
      </c>
      <c r="E183" s="61" t="s">
        <v>46</v>
      </c>
      <c r="F183" s="62" t="s">
        <v>46</v>
      </c>
      <c r="G183" s="63" t="s">
        <v>46</v>
      </c>
      <c r="H183" s="64"/>
      <c r="I183" s="64" t="s">
        <v>47</v>
      </c>
      <c r="J183" s="65">
        <v>100</v>
      </c>
      <c r="K183" s="66">
        <f>1</f>
        <v>1</v>
      </c>
      <c r="L183" s="67" t="s">
        <v>853</v>
      </c>
      <c r="M183" s="66">
        <f>2</f>
        <v>2</v>
      </c>
      <c r="N183" s="67" t="s">
        <v>853</v>
      </c>
      <c r="O183" s="66">
        <f>1</f>
        <v>1</v>
      </c>
      <c r="P183" s="67" t="s">
        <v>853</v>
      </c>
      <c r="Q183" s="66">
        <f>2</f>
        <v>2</v>
      </c>
      <c r="R183" s="67" t="s">
        <v>240</v>
      </c>
      <c r="S183" s="68">
        <f>1.67</f>
        <v>1.67</v>
      </c>
      <c r="T183" s="65">
        <f>158973600</f>
        <v>158973600</v>
      </c>
      <c r="U183" s="65" t="str">
        <f t="shared" si="8"/>
        <v>－</v>
      </c>
      <c r="V183" s="65">
        <f>258284100</f>
        <v>258284100</v>
      </c>
      <c r="W183" s="65" t="str">
        <f t="shared" si="9"/>
        <v>－</v>
      </c>
      <c r="X183" s="69">
        <f>18</f>
        <v>18</v>
      </c>
    </row>
    <row r="184" spans="1:24">
      <c r="A184" s="60" t="s">
        <v>852</v>
      </c>
      <c r="B184" s="60" t="s">
        <v>595</v>
      </c>
      <c r="C184" s="60" t="s">
        <v>596</v>
      </c>
      <c r="D184" s="60" t="s">
        <v>597</v>
      </c>
      <c r="E184" s="61" t="s">
        <v>46</v>
      </c>
      <c r="F184" s="62" t="s">
        <v>46</v>
      </c>
      <c r="G184" s="63" t="s">
        <v>46</v>
      </c>
      <c r="H184" s="64"/>
      <c r="I184" s="64" t="s">
        <v>47</v>
      </c>
      <c r="J184" s="65">
        <v>10</v>
      </c>
      <c r="K184" s="66">
        <f>481</f>
        <v>481</v>
      </c>
      <c r="L184" s="67" t="s">
        <v>853</v>
      </c>
      <c r="M184" s="66">
        <f>598</f>
        <v>598</v>
      </c>
      <c r="N184" s="67" t="s">
        <v>176</v>
      </c>
      <c r="O184" s="66">
        <f>481</f>
        <v>481</v>
      </c>
      <c r="P184" s="67" t="s">
        <v>853</v>
      </c>
      <c r="Q184" s="66">
        <f>588</f>
        <v>588</v>
      </c>
      <c r="R184" s="67" t="s">
        <v>240</v>
      </c>
      <c r="S184" s="68">
        <f>546.61</f>
        <v>546.61</v>
      </c>
      <c r="T184" s="65">
        <f>938070</f>
        <v>938070</v>
      </c>
      <c r="U184" s="65" t="str">
        <f t="shared" si="8"/>
        <v>－</v>
      </c>
      <c r="V184" s="65">
        <f>519577010</f>
        <v>519577010</v>
      </c>
      <c r="W184" s="65" t="str">
        <f t="shared" si="9"/>
        <v>－</v>
      </c>
      <c r="X184" s="69">
        <f>18</f>
        <v>18</v>
      </c>
    </row>
    <row r="185" spans="1:24">
      <c r="A185" s="60" t="s">
        <v>852</v>
      </c>
      <c r="B185" s="60" t="s">
        <v>598</v>
      </c>
      <c r="C185" s="60" t="s">
        <v>599</v>
      </c>
      <c r="D185" s="60" t="s">
        <v>600</v>
      </c>
      <c r="E185" s="61" t="s">
        <v>46</v>
      </c>
      <c r="F185" s="62" t="s">
        <v>46</v>
      </c>
      <c r="G185" s="63" t="s">
        <v>46</v>
      </c>
      <c r="H185" s="64"/>
      <c r="I185" s="64" t="s">
        <v>47</v>
      </c>
      <c r="J185" s="65">
        <v>1</v>
      </c>
      <c r="K185" s="66">
        <f>2117</f>
        <v>2117</v>
      </c>
      <c r="L185" s="67" t="s">
        <v>853</v>
      </c>
      <c r="M185" s="66">
        <f>2800</f>
        <v>2800</v>
      </c>
      <c r="N185" s="67" t="s">
        <v>240</v>
      </c>
      <c r="O185" s="66">
        <f>2117</f>
        <v>2117</v>
      </c>
      <c r="P185" s="67" t="s">
        <v>853</v>
      </c>
      <c r="Q185" s="66">
        <f>2590</f>
        <v>2590</v>
      </c>
      <c r="R185" s="67" t="s">
        <v>240</v>
      </c>
      <c r="S185" s="68">
        <f>2398.94</f>
        <v>2398.94</v>
      </c>
      <c r="T185" s="65">
        <f>13409</f>
        <v>13409</v>
      </c>
      <c r="U185" s="65" t="str">
        <f t="shared" si="8"/>
        <v>－</v>
      </c>
      <c r="V185" s="65">
        <f>32613211</f>
        <v>32613211</v>
      </c>
      <c r="W185" s="65" t="str">
        <f t="shared" si="9"/>
        <v>－</v>
      </c>
      <c r="X185" s="69">
        <f>17</f>
        <v>17</v>
      </c>
    </row>
    <row r="186" spans="1:24">
      <c r="A186" s="60" t="s">
        <v>852</v>
      </c>
      <c r="B186" s="60" t="s">
        <v>601</v>
      </c>
      <c r="C186" s="60" t="s">
        <v>602</v>
      </c>
      <c r="D186" s="60" t="s">
        <v>603</v>
      </c>
      <c r="E186" s="61" t="s">
        <v>46</v>
      </c>
      <c r="F186" s="62" t="s">
        <v>46</v>
      </c>
      <c r="G186" s="63" t="s">
        <v>46</v>
      </c>
      <c r="H186" s="64"/>
      <c r="I186" s="64" t="s">
        <v>47</v>
      </c>
      <c r="J186" s="65">
        <v>100</v>
      </c>
      <c r="K186" s="66">
        <f>305</f>
        <v>305</v>
      </c>
      <c r="L186" s="67" t="s">
        <v>853</v>
      </c>
      <c r="M186" s="66">
        <f>349</f>
        <v>349</v>
      </c>
      <c r="N186" s="67" t="s">
        <v>240</v>
      </c>
      <c r="O186" s="66">
        <f>298</f>
        <v>298</v>
      </c>
      <c r="P186" s="67" t="s">
        <v>84</v>
      </c>
      <c r="Q186" s="66">
        <f>336</f>
        <v>336</v>
      </c>
      <c r="R186" s="67" t="s">
        <v>240</v>
      </c>
      <c r="S186" s="68">
        <f>323.93</f>
        <v>323.93</v>
      </c>
      <c r="T186" s="65">
        <f>13500</f>
        <v>13500</v>
      </c>
      <c r="U186" s="65" t="str">
        <f t="shared" si="8"/>
        <v>－</v>
      </c>
      <c r="V186" s="65">
        <f>4385300</f>
        <v>4385300</v>
      </c>
      <c r="W186" s="65" t="str">
        <f t="shared" si="9"/>
        <v>－</v>
      </c>
      <c r="X186" s="69">
        <f>15</f>
        <v>15</v>
      </c>
    </row>
    <row r="187" spans="1:24">
      <c r="A187" s="60" t="s">
        <v>852</v>
      </c>
      <c r="B187" s="60" t="s">
        <v>604</v>
      </c>
      <c r="C187" s="60" t="s">
        <v>605</v>
      </c>
      <c r="D187" s="60" t="s">
        <v>606</v>
      </c>
      <c r="E187" s="61" t="s">
        <v>46</v>
      </c>
      <c r="F187" s="62" t="s">
        <v>46</v>
      </c>
      <c r="G187" s="63" t="s">
        <v>46</v>
      </c>
      <c r="H187" s="64"/>
      <c r="I187" s="64" t="s">
        <v>47</v>
      </c>
      <c r="J187" s="65">
        <v>10</v>
      </c>
      <c r="K187" s="66">
        <f>3300</f>
        <v>3300</v>
      </c>
      <c r="L187" s="67" t="s">
        <v>853</v>
      </c>
      <c r="M187" s="66">
        <f>4315</f>
        <v>4315</v>
      </c>
      <c r="N187" s="67" t="s">
        <v>856</v>
      </c>
      <c r="O187" s="66">
        <f>3300</f>
        <v>3300</v>
      </c>
      <c r="P187" s="67" t="s">
        <v>853</v>
      </c>
      <c r="Q187" s="66">
        <f>4015</f>
        <v>4015</v>
      </c>
      <c r="R187" s="67" t="s">
        <v>240</v>
      </c>
      <c r="S187" s="68">
        <f>3623.89</f>
        <v>3623.89</v>
      </c>
      <c r="T187" s="65">
        <f>73400</f>
        <v>73400</v>
      </c>
      <c r="U187" s="65" t="str">
        <f t="shared" si="8"/>
        <v>－</v>
      </c>
      <c r="V187" s="65">
        <f>277167150</f>
        <v>277167150</v>
      </c>
      <c r="W187" s="65" t="str">
        <f t="shared" si="9"/>
        <v>－</v>
      </c>
      <c r="X187" s="69">
        <f>18</f>
        <v>18</v>
      </c>
    </row>
    <row r="188" spans="1:24">
      <c r="A188" s="60" t="s">
        <v>852</v>
      </c>
      <c r="B188" s="60" t="s">
        <v>607</v>
      </c>
      <c r="C188" s="60" t="s">
        <v>608</v>
      </c>
      <c r="D188" s="60" t="s">
        <v>609</v>
      </c>
      <c r="E188" s="61" t="s">
        <v>46</v>
      </c>
      <c r="F188" s="62" t="s">
        <v>46</v>
      </c>
      <c r="G188" s="63" t="s">
        <v>46</v>
      </c>
      <c r="H188" s="64"/>
      <c r="I188" s="64" t="s">
        <v>47</v>
      </c>
      <c r="J188" s="65">
        <v>10</v>
      </c>
      <c r="K188" s="66">
        <f>1750</f>
        <v>1750</v>
      </c>
      <c r="L188" s="67" t="s">
        <v>853</v>
      </c>
      <c r="M188" s="66">
        <f>2033</f>
        <v>2033</v>
      </c>
      <c r="N188" s="67" t="s">
        <v>856</v>
      </c>
      <c r="O188" s="66">
        <f>1730</f>
        <v>1730</v>
      </c>
      <c r="P188" s="67" t="s">
        <v>853</v>
      </c>
      <c r="Q188" s="66">
        <f>1908</f>
        <v>1908</v>
      </c>
      <c r="R188" s="67" t="s">
        <v>240</v>
      </c>
      <c r="S188" s="68">
        <f>1847.72</f>
        <v>1847.72</v>
      </c>
      <c r="T188" s="65">
        <f>21850</f>
        <v>21850</v>
      </c>
      <c r="U188" s="65" t="str">
        <f t="shared" si="8"/>
        <v>－</v>
      </c>
      <c r="V188" s="65">
        <f>40963970</f>
        <v>40963970</v>
      </c>
      <c r="W188" s="65" t="str">
        <f t="shared" si="9"/>
        <v>－</v>
      </c>
      <c r="X188" s="69">
        <f>18</f>
        <v>18</v>
      </c>
    </row>
    <row r="189" spans="1:24">
      <c r="A189" s="60" t="s">
        <v>852</v>
      </c>
      <c r="B189" s="60" t="s">
        <v>610</v>
      </c>
      <c r="C189" s="60" t="s">
        <v>611</v>
      </c>
      <c r="D189" s="60" t="s">
        <v>612</v>
      </c>
      <c r="E189" s="61" t="s">
        <v>46</v>
      </c>
      <c r="F189" s="62" t="s">
        <v>46</v>
      </c>
      <c r="G189" s="63" t="s">
        <v>46</v>
      </c>
      <c r="H189" s="64"/>
      <c r="I189" s="64" t="s">
        <v>47</v>
      </c>
      <c r="J189" s="65">
        <v>100</v>
      </c>
      <c r="K189" s="66">
        <f>78</f>
        <v>78</v>
      </c>
      <c r="L189" s="67" t="s">
        <v>853</v>
      </c>
      <c r="M189" s="66">
        <f>81</f>
        <v>81</v>
      </c>
      <c r="N189" s="67" t="s">
        <v>176</v>
      </c>
      <c r="O189" s="66">
        <f>74</f>
        <v>74</v>
      </c>
      <c r="P189" s="67" t="s">
        <v>131</v>
      </c>
      <c r="Q189" s="66">
        <f>79</f>
        <v>79</v>
      </c>
      <c r="R189" s="67" t="s">
        <v>240</v>
      </c>
      <c r="S189" s="68">
        <f>77.11</f>
        <v>77.11</v>
      </c>
      <c r="T189" s="65">
        <f>4298300</f>
        <v>4298300</v>
      </c>
      <c r="U189" s="65">
        <f>9000</f>
        <v>9000</v>
      </c>
      <c r="V189" s="65">
        <f>333270600</f>
        <v>333270600</v>
      </c>
      <c r="W189" s="65">
        <f>719000</f>
        <v>719000</v>
      </c>
      <c r="X189" s="69">
        <f>18</f>
        <v>18</v>
      </c>
    </row>
    <row r="190" spans="1:24">
      <c r="A190" s="60" t="s">
        <v>852</v>
      </c>
      <c r="B190" s="60" t="s">
        <v>614</v>
      </c>
      <c r="C190" s="60" t="s">
        <v>615</v>
      </c>
      <c r="D190" s="60" t="s">
        <v>616</v>
      </c>
      <c r="E190" s="61" t="s">
        <v>46</v>
      </c>
      <c r="F190" s="62" t="s">
        <v>46</v>
      </c>
      <c r="G190" s="63" t="s">
        <v>46</v>
      </c>
      <c r="H190" s="64"/>
      <c r="I190" s="64" t="s">
        <v>47</v>
      </c>
      <c r="J190" s="65">
        <v>100</v>
      </c>
      <c r="K190" s="66">
        <f>99</f>
        <v>99</v>
      </c>
      <c r="L190" s="67" t="s">
        <v>853</v>
      </c>
      <c r="M190" s="66">
        <f>103</f>
        <v>103</v>
      </c>
      <c r="N190" s="67" t="s">
        <v>859</v>
      </c>
      <c r="O190" s="66">
        <f>97</f>
        <v>97</v>
      </c>
      <c r="P190" s="67" t="s">
        <v>858</v>
      </c>
      <c r="Q190" s="66">
        <f>99</f>
        <v>99</v>
      </c>
      <c r="R190" s="67" t="s">
        <v>240</v>
      </c>
      <c r="S190" s="68">
        <f>99.61</f>
        <v>99.61</v>
      </c>
      <c r="T190" s="65">
        <f>3014700</f>
        <v>3014700</v>
      </c>
      <c r="U190" s="65" t="str">
        <f>"－"</f>
        <v>－</v>
      </c>
      <c r="V190" s="65">
        <f>301997700</f>
        <v>301997700</v>
      </c>
      <c r="W190" s="65" t="str">
        <f>"－"</f>
        <v>－</v>
      </c>
      <c r="X190" s="69">
        <f>18</f>
        <v>18</v>
      </c>
    </row>
    <row r="191" spans="1:24">
      <c r="A191" s="60" t="s">
        <v>852</v>
      </c>
      <c r="B191" s="60" t="s">
        <v>617</v>
      </c>
      <c r="C191" s="60" t="s">
        <v>618</v>
      </c>
      <c r="D191" s="60" t="s">
        <v>619</v>
      </c>
      <c r="E191" s="61" t="s">
        <v>46</v>
      </c>
      <c r="F191" s="62" t="s">
        <v>46</v>
      </c>
      <c r="G191" s="63" t="s">
        <v>46</v>
      </c>
      <c r="H191" s="64"/>
      <c r="I191" s="64" t="s">
        <v>47</v>
      </c>
      <c r="J191" s="65">
        <v>10</v>
      </c>
      <c r="K191" s="66">
        <f>2499</f>
        <v>2499</v>
      </c>
      <c r="L191" s="67" t="s">
        <v>853</v>
      </c>
      <c r="M191" s="66">
        <f>2642</f>
        <v>2642</v>
      </c>
      <c r="N191" s="67" t="s">
        <v>176</v>
      </c>
      <c r="O191" s="66">
        <f>2446</f>
        <v>2446</v>
      </c>
      <c r="P191" s="67" t="s">
        <v>858</v>
      </c>
      <c r="Q191" s="66">
        <f>2578</f>
        <v>2578</v>
      </c>
      <c r="R191" s="67" t="s">
        <v>240</v>
      </c>
      <c r="S191" s="68">
        <f>2527</f>
        <v>2527</v>
      </c>
      <c r="T191" s="65">
        <f>30290</f>
        <v>30290</v>
      </c>
      <c r="U191" s="65" t="str">
        <f>"－"</f>
        <v>－</v>
      </c>
      <c r="V191" s="65">
        <f>77091040</f>
        <v>77091040</v>
      </c>
      <c r="W191" s="65" t="str">
        <f>"－"</f>
        <v>－</v>
      </c>
      <c r="X191" s="69">
        <f>18</f>
        <v>18</v>
      </c>
    </row>
    <row r="192" spans="1:24">
      <c r="A192" s="60" t="s">
        <v>852</v>
      </c>
      <c r="B192" s="60" t="s">
        <v>620</v>
      </c>
      <c r="C192" s="60" t="s">
        <v>621</v>
      </c>
      <c r="D192" s="60" t="s">
        <v>622</v>
      </c>
      <c r="E192" s="61" t="s">
        <v>46</v>
      </c>
      <c r="F192" s="62" t="s">
        <v>46</v>
      </c>
      <c r="G192" s="63" t="s">
        <v>46</v>
      </c>
      <c r="H192" s="64"/>
      <c r="I192" s="64" t="s">
        <v>47</v>
      </c>
      <c r="J192" s="65">
        <v>10</v>
      </c>
      <c r="K192" s="66">
        <f>1598</f>
        <v>1598</v>
      </c>
      <c r="L192" s="67" t="s">
        <v>853</v>
      </c>
      <c r="M192" s="66">
        <f>1735</f>
        <v>1735</v>
      </c>
      <c r="N192" s="67" t="s">
        <v>854</v>
      </c>
      <c r="O192" s="66">
        <f>1598</f>
        <v>1598</v>
      </c>
      <c r="P192" s="67" t="s">
        <v>853</v>
      </c>
      <c r="Q192" s="66">
        <f>1678</f>
        <v>1678</v>
      </c>
      <c r="R192" s="67" t="s">
        <v>240</v>
      </c>
      <c r="S192" s="68">
        <f>1678.17</f>
        <v>1678.17</v>
      </c>
      <c r="T192" s="65">
        <f>50840</f>
        <v>50840</v>
      </c>
      <c r="U192" s="65" t="str">
        <f>"－"</f>
        <v>－</v>
      </c>
      <c r="V192" s="65">
        <f>85866550</f>
        <v>85866550</v>
      </c>
      <c r="W192" s="65" t="str">
        <f>"－"</f>
        <v>－</v>
      </c>
      <c r="X192" s="69">
        <f>18</f>
        <v>18</v>
      </c>
    </row>
    <row r="193" spans="1:24">
      <c r="A193" s="60" t="s">
        <v>852</v>
      </c>
      <c r="B193" s="60" t="s">
        <v>623</v>
      </c>
      <c r="C193" s="60" t="s">
        <v>624</v>
      </c>
      <c r="D193" s="60" t="s">
        <v>625</v>
      </c>
      <c r="E193" s="61" t="s">
        <v>46</v>
      </c>
      <c r="F193" s="62" t="s">
        <v>46</v>
      </c>
      <c r="G193" s="63" t="s">
        <v>46</v>
      </c>
      <c r="H193" s="64"/>
      <c r="I193" s="64" t="s">
        <v>47</v>
      </c>
      <c r="J193" s="65">
        <v>10</v>
      </c>
      <c r="K193" s="66">
        <f>126</f>
        <v>126</v>
      </c>
      <c r="L193" s="67" t="s">
        <v>853</v>
      </c>
      <c r="M193" s="66">
        <f>157</f>
        <v>157</v>
      </c>
      <c r="N193" s="67" t="s">
        <v>176</v>
      </c>
      <c r="O193" s="66">
        <f>126</f>
        <v>126</v>
      </c>
      <c r="P193" s="67" t="s">
        <v>853</v>
      </c>
      <c r="Q193" s="66">
        <f>154</f>
        <v>154</v>
      </c>
      <c r="R193" s="67" t="s">
        <v>240</v>
      </c>
      <c r="S193" s="68">
        <f>143.28</f>
        <v>143.28</v>
      </c>
      <c r="T193" s="65">
        <f>178252980</f>
        <v>178252980</v>
      </c>
      <c r="U193" s="65">
        <f>217630</f>
        <v>217630</v>
      </c>
      <c r="V193" s="65">
        <f>25673886696</f>
        <v>25673886696</v>
      </c>
      <c r="W193" s="65">
        <f>31888956</f>
        <v>31888956</v>
      </c>
      <c r="X193" s="69">
        <f>18</f>
        <v>18</v>
      </c>
    </row>
    <row r="194" spans="1:24">
      <c r="A194" s="60" t="s">
        <v>852</v>
      </c>
      <c r="B194" s="60" t="s">
        <v>626</v>
      </c>
      <c r="C194" s="60" t="s">
        <v>627</v>
      </c>
      <c r="D194" s="60" t="s">
        <v>628</v>
      </c>
      <c r="E194" s="61" t="s">
        <v>46</v>
      </c>
      <c r="F194" s="62" t="s">
        <v>46</v>
      </c>
      <c r="G194" s="63" t="s">
        <v>46</v>
      </c>
      <c r="H194" s="64"/>
      <c r="I194" s="64" t="s">
        <v>629</v>
      </c>
      <c r="J194" s="65">
        <v>1</v>
      </c>
      <c r="K194" s="66">
        <f>11200</f>
        <v>11200</v>
      </c>
      <c r="L194" s="67" t="s">
        <v>853</v>
      </c>
      <c r="M194" s="66">
        <f>13700</f>
        <v>13700</v>
      </c>
      <c r="N194" s="67" t="s">
        <v>100</v>
      </c>
      <c r="O194" s="66">
        <f>11200</f>
        <v>11200</v>
      </c>
      <c r="P194" s="67" t="s">
        <v>853</v>
      </c>
      <c r="Q194" s="66">
        <f>11970</f>
        <v>11970</v>
      </c>
      <c r="R194" s="67" t="s">
        <v>240</v>
      </c>
      <c r="S194" s="68">
        <f>12510</f>
        <v>12510</v>
      </c>
      <c r="T194" s="65">
        <f>17348</f>
        <v>17348</v>
      </c>
      <c r="U194" s="65" t="str">
        <f>"－"</f>
        <v>－</v>
      </c>
      <c r="V194" s="65">
        <f>219331820</f>
        <v>219331820</v>
      </c>
      <c r="W194" s="65" t="str">
        <f>"－"</f>
        <v>－</v>
      </c>
      <c r="X194" s="69">
        <f>18</f>
        <v>18</v>
      </c>
    </row>
    <row r="195" spans="1:24">
      <c r="A195" s="60" t="s">
        <v>852</v>
      </c>
      <c r="B195" s="60" t="s">
        <v>630</v>
      </c>
      <c r="C195" s="60" t="s">
        <v>631</v>
      </c>
      <c r="D195" s="60" t="s">
        <v>632</v>
      </c>
      <c r="E195" s="61" t="s">
        <v>46</v>
      </c>
      <c r="F195" s="62" t="s">
        <v>46</v>
      </c>
      <c r="G195" s="63" t="s">
        <v>46</v>
      </c>
      <c r="H195" s="64"/>
      <c r="I195" s="64" t="s">
        <v>629</v>
      </c>
      <c r="J195" s="65">
        <v>1</v>
      </c>
      <c r="K195" s="66">
        <f>5300</f>
        <v>5300</v>
      </c>
      <c r="L195" s="67" t="s">
        <v>853</v>
      </c>
      <c r="M195" s="66">
        <f>5300</f>
        <v>5300</v>
      </c>
      <c r="N195" s="67" t="s">
        <v>853</v>
      </c>
      <c r="O195" s="66">
        <f>4785</f>
        <v>4785</v>
      </c>
      <c r="P195" s="67" t="s">
        <v>132</v>
      </c>
      <c r="Q195" s="66">
        <f>5050</f>
        <v>5050</v>
      </c>
      <c r="R195" s="67" t="s">
        <v>240</v>
      </c>
      <c r="S195" s="68">
        <f>4977.35</f>
        <v>4977.3500000000004</v>
      </c>
      <c r="T195" s="65">
        <f>1085</f>
        <v>1085</v>
      </c>
      <c r="U195" s="65" t="str">
        <f>"－"</f>
        <v>－</v>
      </c>
      <c r="V195" s="65">
        <f>5435645</f>
        <v>5435645</v>
      </c>
      <c r="W195" s="65" t="str">
        <f>"－"</f>
        <v>－</v>
      </c>
      <c r="X195" s="69">
        <f>17</f>
        <v>17</v>
      </c>
    </row>
    <row r="196" spans="1:24">
      <c r="A196" s="60" t="s">
        <v>852</v>
      </c>
      <c r="B196" s="60" t="s">
        <v>633</v>
      </c>
      <c r="C196" s="60" t="s">
        <v>634</v>
      </c>
      <c r="D196" s="60" t="s">
        <v>635</v>
      </c>
      <c r="E196" s="61" t="s">
        <v>46</v>
      </c>
      <c r="F196" s="62" t="s">
        <v>46</v>
      </c>
      <c r="G196" s="63" t="s">
        <v>46</v>
      </c>
      <c r="H196" s="64"/>
      <c r="I196" s="64" t="s">
        <v>629</v>
      </c>
      <c r="J196" s="65">
        <v>1</v>
      </c>
      <c r="K196" s="66">
        <f>17070</f>
        <v>17070</v>
      </c>
      <c r="L196" s="67" t="s">
        <v>853</v>
      </c>
      <c r="M196" s="66">
        <f>20050</f>
        <v>20050</v>
      </c>
      <c r="N196" s="67" t="s">
        <v>855</v>
      </c>
      <c r="O196" s="66">
        <f>17060</f>
        <v>17060</v>
      </c>
      <c r="P196" s="67" t="s">
        <v>853</v>
      </c>
      <c r="Q196" s="66">
        <f>17600</f>
        <v>17600</v>
      </c>
      <c r="R196" s="67" t="s">
        <v>240</v>
      </c>
      <c r="S196" s="68">
        <f>18730.56</f>
        <v>18730.560000000001</v>
      </c>
      <c r="T196" s="65">
        <f>1825</f>
        <v>1825</v>
      </c>
      <c r="U196" s="65" t="str">
        <f>"－"</f>
        <v>－</v>
      </c>
      <c r="V196" s="65">
        <f>34251220</f>
        <v>34251220</v>
      </c>
      <c r="W196" s="65" t="str">
        <f>"－"</f>
        <v>－</v>
      </c>
      <c r="X196" s="69">
        <f>18</f>
        <v>18</v>
      </c>
    </row>
    <row r="197" spans="1:24">
      <c r="A197" s="60" t="s">
        <v>852</v>
      </c>
      <c r="B197" s="60" t="s">
        <v>636</v>
      </c>
      <c r="C197" s="60" t="s">
        <v>637</v>
      </c>
      <c r="D197" s="60" t="s">
        <v>638</v>
      </c>
      <c r="E197" s="61" t="s">
        <v>46</v>
      </c>
      <c r="F197" s="62" t="s">
        <v>46</v>
      </c>
      <c r="G197" s="63" t="s">
        <v>46</v>
      </c>
      <c r="H197" s="64"/>
      <c r="I197" s="64" t="s">
        <v>629</v>
      </c>
      <c r="J197" s="65">
        <v>1</v>
      </c>
      <c r="K197" s="66">
        <f>6070</f>
        <v>6070</v>
      </c>
      <c r="L197" s="67" t="s">
        <v>853</v>
      </c>
      <c r="M197" s="66">
        <f>6170</f>
        <v>6170</v>
      </c>
      <c r="N197" s="67" t="s">
        <v>853</v>
      </c>
      <c r="O197" s="66">
        <f>5690</f>
        <v>5690</v>
      </c>
      <c r="P197" s="67" t="s">
        <v>857</v>
      </c>
      <c r="Q197" s="66">
        <f>6080</f>
        <v>6080</v>
      </c>
      <c r="R197" s="67" t="s">
        <v>240</v>
      </c>
      <c r="S197" s="68">
        <f>5875.56</f>
        <v>5875.56</v>
      </c>
      <c r="T197" s="65">
        <f>18258</f>
        <v>18258</v>
      </c>
      <c r="U197" s="65" t="str">
        <f>"－"</f>
        <v>－</v>
      </c>
      <c r="V197" s="65">
        <f>107442920</f>
        <v>107442920</v>
      </c>
      <c r="W197" s="65" t="str">
        <f>"－"</f>
        <v>－</v>
      </c>
      <c r="X197" s="69">
        <f>18</f>
        <v>18</v>
      </c>
    </row>
    <row r="198" spans="1:24">
      <c r="A198" s="60" t="s">
        <v>852</v>
      </c>
      <c r="B198" s="60" t="s">
        <v>639</v>
      </c>
      <c r="C198" s="60" t="s">
        <v>640</v>
      </c>
      <c r="D198" s="60" t="s">
        <v>641</v>
      </c>
      <c r="E198" s="61" t="s">
        <v>46</v>
      </c>
      <c r="F198" s="62" t="s">
        <v>46</v>
      </c>
      <c r="G198" s="63" t="s">
        <v>46</v>
      </c>
      <c r="H198" s="64"/>
      <c r="I198" s="64" t="s">
        <v>629</v>
      </c>
      <c r="J198" s="65">
        <v>1</v>
      </c>
      <c r="K198" s="66">
        <f>415</f>
        <v>415</v>
      </c>
      <c r="L198" s="67" t="s">
        <v>853</v>
      </c>
      <c r="M198" s="66">
        <f>419</f>
        <v>419</v>
      </c>
      <c r="N198" s="67" t="s">
        <v>853</v>
      </c>
      <c r="O198" s="66">
        <f>346</f>
        <v>346</v>
      </c>
      <c r="P198" s="67" t="s">
        <v>84</v>
      </c>
      <c r="Q198" s="66">
        <f>376</f>
        <v>376</v>
      </c>
      <c r="R198" s="67" t="s">
        <v>240</v>
      </c>
      <c r="S198" s="68">
        <f>365.72</f>
        <v>365.72</v>
      </c>
      <c r="T198" s="65">
        <f>29037391</f>
        <v>29037391</v>
      </c>
      <c r="U198" s="65">
        <f>30441</f>
        <v>30441</v>
      </c>
      <c r="V198" s="65">
        <f>10758447131</f>
        <v>10758447131</v>
      </c>
      <c r="W198" s="65">
        <f>11445816</f>
        <v>11445816</v>
      </c>
      <c r="X198" s="69">
        <f>18</f>
        <v>18</v>
      </c>
    </row>
    <row r="199" spans="1:24">
      <c r="A199" s="60" t="s">
        <v>852</v>
      </c>
      <c r="B199" s="60" t="s">
        <v>642</v>
      </c>
      <c r="C199" s="60" t="s">
        <v>643</v>
      </c>
      <c r="D199" s="60" t="s">
        <v>644</v>
      </c>
      <c r="E199" s="61" t="s">
        <v>46</v>
      </c>
      <c r="F199" s="62" t="s">
        <v>46</v>
      </c>
      <c r="G199" s="63" t="s">
        <v>46</v>
      </c>
      <c r="H199" s="64"/>
      <c r="I199" s="64" t="s">
        <v>629</v>
      </c>
      <c r="J199" s="65">
        <v>1</v>
      </c>
      <c r="K199" s="66">
        <f>17380</f>
        <v>17380</v>
      </c>
      <c r="L199" s="67" t="s">
        <v>853</v>
      </c>
      <c r="M199" s="66">
        <f>17540</f>
        <v>17540</v>
      </c>
      <c r="N199" s="67" t="s">
        <v>857</v>
      </c>
      <c r="O199" s="66">
        <f>16000</f>
        <v>16000</v>
      </c>
      <c r="P199" s="67" t="s">
        <v>240</v>
      </c>
      <c r="Q199" s="66">
        <f>16150</f>
        <v>16150</v>
      </c>
      <c r="R199" s="67" t="s">
        <v>240</v>
      </c>
      <c r="S199" s="68">
        <f>16805.56</f>
        <v>16805.560000000001</v>
      </c>
      <c r="T199" s="65">
        <f>50063</f>
        <v>50063</v>
      </c>
      <c r="U199" s="65">
        <f>3</f>
        <v>3</v>
      </c>
      <c r="V199" s="65">
        <f>839611840</f>
        <v>839611840</v>
      </c>
      <c r="W199" s="65">
        <f>49550</f>
        <v>49550</v>
      </c>
      <c r="X199" s="69">
        <f>18</f>
        <v>18</v>
      </c>
    </row>
    <row r="200" spans="1:24">
      <c r="A200" s="60" t="s">
        <v>852</v>
      </c>
      <c r="B200" s="60" t="s">
        <v>645</v>
      </c>
      <c r="C200" s="60" t="s">
        <v>646</v>
      </c>
      <c r="D200" s="60" t="s">
        <v>647</v>
      </c>
      <c r="E200" s="61" t="s">
        <v>46</v>
      </c>
      <c r="F200" s="62" t="s">
        <v>46</v>
      </c>
      <c r="G200" s="63" t="s">
        <v>46</v>
      </c>
      <c r="H200" s="64"/>
      <c r="I200" s="64" t="s">
        <v>629</v>
      </c>
      <c r="J200" s="65">
        <v>1</v>
      </c>
      <c r="K200" s="66">
        <f>5720</f>
        <v>5720</v>
      </c>
      <c r="L200" s="67" t="s">
        <v>853</v>
      </c>
      <c r="M200" s="66">
        <f>5970</f>
        <v>5970</v>
      </c>
      <c r="N200" s="67" t="s">
        <v>613</v>
      </c>
      <c r="O200" s="66">
        <f>5640</f>
        <v>5640</v>
      </c>
      <c r="P200" s="67" t="s">
        <v>857</v>
      </c>
      <c r="Q200" s="66">
        <f>5880</f>
        <v>5880</v>
      </c>
      <c r="R200" s="67" t="s">
        <v>240</v>
      </c>
      <c r="S200" s="68">
        <f>5784.44</f>
        <v>5784.44</v>
      </c>
      <c r="T200" s="65">
        <f>7925</f>
        <v>7925</v>
      </c>
      <c r="U200" s="65" t="str">
        <f>"－"</f>
        <v>－</v>
      </c>
      <c r="V200" s="65">
        <f>46003240</f>
        <v>46003240</v>
      </c>
      <c r="W200" s="65" t="str">
        <f>"－"</f>
        <v>－</v>
      </c>
      <c r="X200" s="69">
        <f>18</f>
        <v>18</v>
      </c>
    </row>
    <row r="201" spans="1:24">
      <c r="A201" s="60" t="s">
        <v>852</v>
      </c>
      <c r="B201" s="60" t="s">
        <v>648</v>
      </c>
      <c r="C201" s="60" t="s">
        <v>649</v>
      </c>
      <c r="D201" s="60" t="s">
        <v>650</v>
      </c>
      <c r="E201" s="61" t="s">
        <v>46</v>
      </c>
      <c r="F201" s="62" t="s">
        <v>46</v>
      </c>
      <c r="G201" s="63" t="s">
        <v>46</v>
      </c>
      <c r="H201" s="64"/>
      <c r="I201" s="64" t="s">
        <v>629</v>
      </c>
      <c r="J201" s="65">
        <v>1</v>
      </c>
      <c r="K201" s="66">
        <f>328</f>
        <v>328</v>
      </c>
      <c r="L201" s="67" t="s">
        <v>853</v>
      </c>
      <c r="M201" s="66">
        <f>471</f>
        <v>471</v>
      </c>
      <c r="N201" s="67" t="s">
        <v>176</v>
      </c>
      <c r="O201" s="66">
        <f>326</f>
        <v>326</v>
      </c>
      <c r="P201" s="67" t="s">
        <v>853</v>
      </c>
      <c r="Q201" s="66">
        <f>452</f>
        <v>452</v>
      </c>
      <c r="R201" s="67" t="s">
        <v>240</v>
      </c>
      <c r="S201" s="68">
        <f>405.17</f>
        <v>405.17</v>
      </c>
      <c r="T201" s="65">
        <f>243915551</f>
        <v>243915551</v>
      </c>
      <c r="U201" s="65">
        <f>1155193</f>
        <v>1155193</v>
      </c>
      <c r="V201" s="65">
        <f>100515462988</f>
        <v>100515462988</v>
      </c>
      <c r="W201" s="65">
        <f>463311896</f>
        <v>463311896</v>
      </c>
      <c r="X201" s="69">
        <f>18</f>
        <v>18</v>
      </c>
    </row>
    <row r="202" spans="1:24">
      <c r="A202" s="60" t="s">
        <v>852</v>
      </c>
      <c r="B202" s="60" t="s">
        <v>651</v>
      </c>
      <c r="C202" s="60" t="s">
        <v>652</v>
      </c>
      <c r="D202" s="60" t="s">
        <v>653</v>
      </c>
      <c r="E202" s="61" t="s">
        <v>46</v>
      </c>
      <c r="F202" s="62" t="s">
        <v>46</v>
      </c>
      <c r="G202" s="63" t="s">
        <v>46</v>
      </c>
      <c r="H202" s="64"/>
      <c r="I202" s="64" t="s">
        <v>629</v>
      </c>
      <c r="J202" s="65">
        <v>1</v>
      </c>
      <c r="K202" s="66">
        <f>4880</f>
        <v>4880</v>
      </c>
      <c r="L202" s="67" t="s">
        <v>853</v>
      </c>
      <c r="M202" s="66">
        <f>4895</f>
        <v>4895</v>
      </c>
      <c r="N202" s="67" t="s">
        <v>853</v>
      </c>
      <c r="O202" s="66">
        <f>4005</f>
        <v>4005</v>
      </c>
      <c r="P202" s="67" t="s">
        <v>176</v>
      </c>
      <c r="Q202" s="66">
        <f>4080</f>
        <v>4080</v>
      </c>
      <c r="R202" s="67" t="s">
        <v>240</v>
      </c>
      <c r="S202" s="68">
        <f>4366.39</f>
        <v>4366.3900000000003</v>
      </c>
      <c r="T202" s="65">
        <f>344981</f>
        <v>344981</v>
      </c>
      <c r="U202" s="65" t="str">
        <f>"－"</f>
        <v>－</v>
      </c>
      <c r="V202" s="65">
        <f>1496056900</f>
        <v>1496056900</v>
      </c>
      <c r="W202" s="65" t="str">
        <f>"－"</f>
        <v>－</v>
      </c>
      <c r="X202" s="69">
        <f>18</f>
        <v>18</v>
      </c>
    </row>
    <row r="203" spans="1:24">
      <c r="A203" s="60" t="s">
        <v>852</v>
      </c>
      <c r="B203" s="60" t="s">
        <v>654</v>
      </c>
      <c r="C203" s="60" t="s">
        <v>655</v>
      </c>
      <c r="D203" s="60" t="s">
        <v>656</v>
      </c>
      <c r="E203" s="61" t="s">
        <v>46</v>
      </c>
      <c r="F203" s="62" t="s">
        <v>46</v>
      </c>
      <c r="G203" s="63" t="s">
        <v>46</v>
      </c>
      <c r="H203" s="64"/>
      <c r="I203" s="64" t="s">
        <v>629</v>
      </c>
      <c r="J203" s="65">
        <v>1</v>
      </c>
      <c r="K203" s="66">
        <f>23270</f>
        <v>23270</v>
      </c>
      <c r="L203" s="67" t="s">
        <v>853</v>
      </c>
      <c r="M203" s="66">
        <f>26730</f>
        <v>26730</v>
      </c>
      <c r="N203" s="67" t="s">
        <v>176</v>
      </c>
      <c r="O203" s="66">
        <f>23200</f>
        <v>23200</v>
      </c>
      <c r="P203" s="67" t="s">
        <v>853</v>
      </c>
      <c r="Q203" s="66">
        <f>25400</f>
        <v>25400</v>
      </c>
      <c r="R203" s="67" t="s">
        <v>240</v>
      </c>
      <c r="S203" s="68">
        <f>25412.22</f>
        <v>25412.22</v>
      </c>
      <c r="T203" s="65">
        <f>149077</f>
        <v>149077</v>
      </c>
      <c r="U203" s="65">
        <f>1901</f>
        <v>1901</v>
      </c>
      <c r="V203" s="65">
        <f>3777341560</f>
        <v>3777341560</v>
      </c>
      <c r="W203" s="65">
        <f>49024500</f>
        <v>49024500</v>
      </c>
      <c r="X203" s="69">
        <f>18</f>
        <v>18</v>
      </c>
    </row>
    <row r="204" spans="1:24">
      <c r="A204" s="60" t="s">
        <v>852</v>
      </c>
      <c r="B204" s="60" t="s">
        <v>657</v>
      </c>
      <c r="C204" s="60" t="s">
        <v>658</v>
      </c>
      <c r="D204" s="60" t="s">
        <v>659</v>
      </c>
      <c r="E204" s="61" t="s">
        <v>46</v>
      </c>
      <c r="F204" s="62" t="s">
        <v>46</v>
      </c>
      <c r="G204" s="63" t="s">
        <v>46</v>
      </c>
      <c r="H204" s="64"/>
      <c r="I204" s="64" t="s">
        <v>629</v>
      </c>
      <c r="J204" s="65">
        <v>1</v>
      </c>
      <c r="K204" s="66">
        <f>3545</f>
        <v>3545</v>
      </c>
      <c r="L204" s="67" t="s">
        <v>853</v>
      </c>
      <c r="M204" s="66">
        <f>3545</f>
        <v>3545</v>
      </c>
      <c r="N204" s="67" t="s">
        <v>853</v>
      </c>
      <c r="O204" s="66">
        <f>3250</f>
        <v>3250</v>
      </c>
      <c r="P204" s="67" t="s">
        <v>176</v>
      </c>
      <c r="Q204" s="66">
        <f>3335</f>
        <v>3335</v>
      </c>
      <c r="R204" s="67" t="s">
        <v>240</v>
      </c>
      <c r="S204" s="68">
        <f>3348.06</f>
        <v>3348.06</v>
      </c>
      <c r="T204" s="65">
        <f>254941</f>
        <v>254941</v>
      </c>
      <c r="U204" s="65">
        <f>8000</f>
        <v>8000</v>
      </c>
      <c r="V204" s="65">
        <f>858396490</f>
        <v>858396490</v>
      </c>
      <c r="W204" s="65">
        <f>26136000</f>
        <v>26136000</v>
      </c>
      <c r="X204" s="69">
        <f>18</f>
        <v>18</v>
      </c>
    </row>
    <row r="205" spans="1:24">
      <c r="A205" s="60" t="s">
        <v>852</v>
      </c>
      <c r="B205" s="60" t="s">
        <v>660</v>
      </c>
      <c r="C205" s="60" t="s">
        <v>661</v>
      </c>
      <c r="D205" s="60" t="s">
        <v>662</v>
      </c>
      <c r="E205" s="61" t="s">
        <v>46</v>
      </c>
      <c r="F205" s="62" t="s">
        <v>46</v>
      </c>
      <c r="G205" s="63" t="s">
        <v>46</v>
      </c>
      <c r="H205" s="64"/>
      <c r="I205" s="64" t="s">
        <v>629</v>
      </c>
      <c r="J205" s="65">
        <v>1</v>
      </c>
      <c r="K205" s="66">
        <f>12910</f>
        <v>12910</v>
      </c>
      <c r="L205" s="67" t="s">
        <v>853</v>
      </c>
      <c r="M205" s="66">
        <f>14220</f>
        <v>14220</v>
      </c>
      <c r="N205" s="67" t="s">
        <v>854</v>
      </c>
      <c r="O205" s="66">
        <f>12730</f>
        <v>12730</v>
      </c>
      <c r="P205" s="67" t="s">
        <v>853</v>
      </c>
      <c r="Q205" s="66">
        <f>12980</f>
        <v>12980</v>
      </c>
      <c r="R205" s="67" t="s">
        <v>240</v>
      </c>
      <c r="S205" s="68">
        <f>13471.67</f>
        <v>13471.67</v>
      </c>
      <c r="T205" s="65">
        <f>81278</f>
        <v>81278</v>
      </c>
      <c r="U205" s="65">
        <f>7300</f>
        <v>7300</v>
      </c>
      <c r="V205" s="65">
        <f>1111021180</f>
        <v>1111021180</v>
      </c>
      <c r="W205" s="65">
        <f>98107700</f>
        <v>98107700</v>
      </c>
      <c r="X205" s="69">
        <f>18</f>
        <v>18</v>
      </c>
    </row>
    <row r="206" spans="1:24">
      <c r="A206" s="60" t="s">
        <v>852</v>
      </c>
      <c r="B206" s="60" t="s">
        <v>663</v>
      </c>
      <c r="C206" s="60" t="s">
        <v>664</v>
      </c>
      <c r="D206" s="60" t="s">
        <v>665</v>
      </c>
      <c r="E206" s="61" t="s">
        <v>46</v>
      </c>
      <c r="F206" s="62" t="s">
        <v>46</v>
      </c>
      <c r="G206" s="63" t="s">
        <v>46</v>
      </c>
      <c r="H206" s="64"/>
      <c r="I206" s="64" t="s">
        <v>629</v>
      </c>
      <c r="J206" s="65">
        <v>1</v>
      </c>
      <c r="K206" s="66">
        <f>11860</f>
        <v>11860</v>
      </c>
      <c r="L206" s="67" t="s">
        <v>853</v>
      </c>
      <c r="M206" s="66">
        <f>12530</f>
        <v>12530</v>
      </c>
      <c r="N206" s="67" t="s">
        <v>854</v>
      </c>
      <c r="O206" s="66">
        <f>11810</f>
        <v>11810</v>
      </c>
      <c r="P206" s="67" t="s">
        <v>857</v>
      </c>
      <c r="Q206" s="66">
        <f>12420</f>
        <v>12420</v>
      </c>
      <c r="R206" s="67" t="s">
        <v>240</v>
      </c>
      <c r="S206" s="68">
        <f>12197.33</f>
        <v>12197.33</v>
      </c>
      <c r="T206" s="65">
        <f>539</f>
        <v>539</v>
      </c>
      <c r="U206" s="65" t="str">
        <f>"－"</f>
        <v>－</v>
      </c>
      <c r="V206" s="65">
        <f>6599890</f>
        <v>6599890</v>
      </c>
      <c r="W206" s="65" t="str">
        <f>"－"</f>
        <v>－</v>
      </c>
      <c r="X206" s="69">
        <f>15</f>
        <v>15</v>
      </c>
    </row>
    <row r="207" spans="1:24">
      <c r="A207" s="60" t="s">
        <v>852</v>
      </c>
      <c r="B207" s="60" t="s">
        <v>666</v>
      </c>
      <c r="C207" s="60" t="s">
        <v>667</v>
      </c>
      <c r="D207" s="60" t="s">
        <v>668</v>
      </c>
      <c r="E207" s="61" t="s">
        <v>46</v>
      </c>
      <c r="F207" s="62" t="s">
        <v>46</v>
      </c>
      <c r="G207" s="63" t="s">
        <v>46</v>
      </c>
      <c r="H207" s="64"/>
      <c r="I207" s="64" t="s">
        <v>629</v>
      </c>
      <c r="J207" s="65">
        <v>1</v>
      </c>
      <c r="K207" s="66">
        <f>15120</f>
        <v>15120</v>
      </c>
      <c r="L207" s="67" t="s">
        <v>853</v>
      </c>
      <c r="M207" s="66">
        <f>16150</f>
        <v>16150</v>
      </c>
      <c r="N207" s="67" t="s">
        <v>176</v>
      </c>
      <c r="O207" s="66">
        <f>14970</f>
        <v>14970</v>
      </c>
      <c r="P207" s="67" t="s">
        <v>853</v>
      </c>
      <c r="Q207" s="66">
        <f>15900</f>
        <v>15900</v>
      </c>
      <c r="R207" s="67" t="s">
        <v>240</v>
      </c>
      <c r="S207" s="68">
        <f>15719.44</f>
        <v>15719.44</v>
      </c>
      <c r="T207" s="65">
        <f>32128</f>
        <v>32128</v>
      </c>
      <c r="U207" s="65" t="str">
        <f>"－"</f>
        <v>－</v>
      </c>
      <c r="V207" s="65">
        <f>492888560</f>
        <v>492888560</v>
      </c>
      <c r="W207" s="65" t="str">
        <f>"－"</f>
        <v>－</v>
      </c>
      <c r="X207" s="69">
        <f>18</f>
        <v>18</v>
      </c>
    </row>
    <row r="208" spans="1:24">
      <c r="A208" s="60" t="s">
        <v>852</v>
      </c>
      <c r="B208" s="60" t="s">
        <v>669</v>
      </c>
      <c r="C208" s="60" t="s">
        <v>670</v>
      </c>
      <c r="D208" s="60" t="s">
        <v>671</v>
      </c>
      <c r="E208" s="61" t="s">
        <v>46</v>
      </c>
      <c r="F208" s="62" t="s">
        <v>46</v>
      </c>
      <c r="G208" s="63" t="s">
        <v>46</v>
      </c>
      <c r="H208" s="64"/>
      <c r="I208" s="64" t="s">
        <v>629</v>
      </c>
      <c r="J208" s="65">
        <v>1</v>
      </c>
      <c r="K208" s="66">
        <f>13000</f>
        <v>13000</v>
      </c>
      <c r="L208" s="67" t="s">
        <v>853</v>
      </c>
      <c r="M208" s="66">
        <f>13330</f>
        <v>13330</v>
      </c>
      <c r="N208" s="67" t="s">
        <v>96</v>
      </c>
      <c r="O208" s="66">
        <f>12630</f>
        <v>12630</v>
      </c>
      <c r="P208" s="67" t="s">
        <v>240</v>
      </c>
      <c r="Q208" s="66">
        <f>12630</f>
        <v>12630</v>
      </c>
      <c r="R208" s="67" t="s">
        <v>240</v>
      </c>
      <c r="S208" s="68">
        <f>12903.53</f>
        <v>12903.53</v>
      </c>
      <c r="T208" s="65">
        <f>937</f>
        <v>937</v>
      </c>
      <c r="U208" s="65" t="str">
        <f>"－"</f>
        <v>－</v>
      </c>
      <c r="V208" s="65">
        <f>12076600</f>
        <v>12076600</v>
      </c>
      <c r="W208" s="65" t="str">
        <f>"－"</f>
        <v>－</v>
      </c>
      <c r="X208" s="69">
        <f>17</f>
        <v>17</v>
      </c>
    </row>
    <row r="209" spans="1:24">
      <c r="A209" s="60" t="s">
        <v>852</v>
      </c>
      <c r="B209" s="60" t="s">
        <v>672</v>
      </c>
      <c r="C209" s="60" t="s">
        <v>673</v>
      </c>
      <c r="D209" s="60" t="s">
        <v>674</v>
      </c>
      <c r="E209" s="61" t="s">
        <v>46</v>
      </c>
      <c r="F209" s="62" t="s">
        <v>46</v>
      </c>
      <c r="G209" s="63" t="s">
        <v>46</v>
      </c>
      <c r="H209" s="64"/>
      <c r="I209" s="64" t="s">
        <v>629</v>
      </c>
      <c r="J209" s="65">
        <v>1</v>
      </c>
      <c r="K209" s="66">
        <f>11010</f>
        <v>11010</v>
      </c>
      <c r="L209" s="67" t="s">
        <v>853</v>
      </c>
      <c r="M209" s="66">
        <f>14270</f>
        <v>14270</v>
      </c>
      <c r="N209" s="67" t="s">
        <v>854</v>
      </c>
      <c r="O209" s="66">
        <f>11000</f>
        <v>11000</v>
      </c>
      <c r="P209" s="67" t="s">
        <v>853</v>
      </c>
      <c r="Q209" s="66">
        <f>12560</f>
        <v>12560</v>
      </c>
      <c r="R209" s="67" t="s">
        <v>240</v>
      </c>
      <c r="S209" s="68">
        <f>13222.78</f>
        <v>13222.78</v>
      </c>
      <c r="T209" s="65">
        <f>95583</f>
        <v>95583</v>
      </c>
      <c r="U209" s="65">
        <f>6</f>
        <v>6</v>
      </c>
      <c r="V209" s="65">
        <f>1266664370</f>
        <v>1266664370</v>
      </c>
      <c r="W209" s="65">
        <f>81640</f>
        <v>81640</v>
      </c>
      <c r="X209" s="69">
        <f>18</f>
        <v>18</v>
      </c>
    </row>
    <row r="210" spans="1:24">
      <c r="A210" s="60" t="s">
        <v>852</v>
      </c>
      <c r="B210" s="60" t="s">
        <v>675</v>
      </c>
      <c r="C210" s="60" t="s">
        <v>676</v>
      </c>
      <c r="D210" s="60" t="s">
        <v>677</v>
      </c>
      <c r="E210" s="61" t="s">
        <v>46</v>
      </c>
      <c r="F210" s="62" t="s">
        <v>46</v>
      </c>
      <c r="G210" s="63" t="s">
        <v>46</v>
      </c>
      <c r="H210" s="64"/>
      <c r="I210" s="64" t="s">
        <v>629</v>
      </c>
      <c r="J210" s="65">
        <v>1</v>
      </c>
      <c r="K210" s="66">
        <f>5100</f>
        <v>5100</v>
      </c>
      <c r="L210" s="67" t="s">
        <v>853</v>
      </c>
      <c r="M210" s="66">
        <f>5120</f>
        <v>5120</v>
      </c>
      <c r="N210" s="67" t="s">
        <v>853</v>
      </c>
      <c r="O210" s="66">
        <f>4350</f>
        <v>4350</v>
      </c>
      <c r="P210" s="67" t="s">
        <v>69</v>
      </c>
      <c r="Q210" s="66">
        <f>4585</f>
        <v>4585</v>
      </c>
      <c r="R210" s="67" t="s">
        <v>240</v>
      </c>
      <c r="S210" s="68">
        <f>4498.61</f>
        <v>4498.6099999999997</v>
      </c>
      <c r="T210" s="65">
        <f>7026</f>
        <v>7026</v>
      </c>
      <c r="U210" s="65" t="str">
        <f>"－"</f>
        <v>－</v>
      </c>
      <c r="V210" s="65">
        <f>31841970</f>
        <v>31841970</v>
      </c>
      <c r="W210" s="65" t="str">
        <f>"－"</f>
        <v>－</v>
      </c>
      <c r="X210" s="69">
        <f>18</f>
        <v>18</v>
      </c>
    </row>
    <row r="211" spans="1:24">
      <c r="A211" s="60" t="s">
        <v>852</v>
      </c>
      <c r="B211" s="60" t="s">
        <v>678</v>
      </c>
      <c r="C211" s="60" t="s">
        <v>679</v>
      </c>
      <c r="D211" s="60" t="s">
        <v>680</v>
      </c>
      <c r="E211" s="61" t="s">
        <v>46</v>
      </c>
      <c r="F211" s="62" t="s">
        <v>46</v>
      </c>
      <c r="G211" s="63" t="s">
        <v>46</v>
      </c>
      <c r="H211" s="64"/>
      <c r="I211" s="64" t="s">
        <v>629</v>
      </c>
      <c r="J211" s="65">
        <v>1</v>
      </c>
      <c r="K211" s="66">
        <f>9200</f>
        <v>9200</v>
      </c>
      <c r="L211" s="67" t="s">
        <v>853</v>
      </c>
      <c r="M211" s="66">
        <f>10290</f>
        <v>10290</v>
      </c>
      <c r="N211" s="67" t="s">
        <v>176</v>
      </c>
      <c r="O211" s="66">
        <f>9200</f>
        <v>9200</v>
      </c>
      <c r="P211" s="67" t="s">
        <v>853</v>
      </c>
      <c r="Q211" s="66">
        <f>10290</f>
        <v>10290</v>
      </c>
      <c r="R211" s="67" t="s">
        <v>176</v>
      </c>
      <c r="S211" s="68">
        <f>9933.57</f>
        <v>9933.57</v>
      </c>
      <c r="T211" s="65">
        <f>10727</f>
        <v>10727</v>
      </c>
      <c r="U211" s="65">
        <f>3000</f>
        <v>3000</v>
      </c>
      <c r="V211" s="65">
        <f>107736060</f>
        <v>107736060</v>
      </c>
      <c r="W211" s="65">
        <f>30519000</f>
        <v>30519000</v>
      </c>
      <c r="X211" s="69">
        <f>14</f>
        <v>14</v>
      </c>
    </row>
    <row r="212" spans="1:24">
      <c r="A212" s="60" t="s">
        <v>852</v>
      </c>
      <c r="B212" s="60" t="s">
        <v>681</v>
      </c>
      <c r="C212" s="60" t="s">
        <v>682</v>
      </c>
      <c r="D212" s="60" t="s">
        <v>683</v>
      </c>
      <c r="E212" s="61" t="s">
        <v>46</v>
      </c>
      <c r="F212" s="62" t="s">
        <v>46</v>
      </c>
      <c r="G212" s="63" t="s">
        <v>46</v>
      </c>
      <c r="H212" s="64"/>
      <c r="I212" s="64" t="s">
        <v>629</v>
      </c>
      <c r="J212" s="65">
        <v>1</v>
      </c>
      <c r="K212" s="66">
        <f>11390</f>
        <v>11390</v>
      </c>
      <c r="L212" s="67" t="s">
        <v>858</v>
      </c>
      <c r="M212" s="66">
        <f>11910</f>
        <v>11910</v>
      </c>
      <c r="N212" s="67" t="s">
        <v>132</v>
      </c>
      <c r="O212" s="66">
        <f>11390</f>
        <v>11390</v>
      </c>
      <c r="P212" s="67" t="s">
        <v>858</v>
      </c>
      <c r="Q212" s="66">
        <f>11520</f>
        <v>11520</v>
      </c>
      <c r="R212" s="67" t="s">
        <v>240</v>
      </c>
      <c r="S212" s="68">
        <f>11682.22</f>
        <v>11682.22</v>
      </c>
      <c r="T212" s="65">
        <f>3417</f>
        <v>3417</v>
      </c>
      <c r="U212" s="65" t="str">
        <f>"－"</f>
        <v>－</v>
      </c>
      <c r="V212" s="65">
        <f>40372510</f>
        <v>40372510</v>
      </c>
      <c r="W212" s="65" t="str">
        <f>"－"</f>
        <v>－</v>
      </c>
      <c r="X212" s="69">
        <f>9</f>
        <v>9</v>
      </c>
    </row>
    <row r="213" spans="1:24">
      <c r="A213" s="60" t="s">
        <v>852</v>
      </c>
      <c r="B213" s="60" t="s">
        <v>684</v>
      </c>
      <c r="C213" s="60" t="s">
        <v>685</v>
      </c>
      <c r="D213" s="60" t="s">
        <v>686</v>
      </c>
      <c r="E213" s="61" t="s">
        <v>46</v>
      </c>
      <c r="F213" s="62" t="s">
        <v>46</v>
      </c>
      <c r="G213" s="63" t="s">
        <v>46</v>
      </c>
      <c r="H213" s="64"/>
      <c r="I213" s="64" t="s">
        <v>629</v>
      </c>
      <c r="J213" s="65">
        <v>1</v>
      </c>
      <c r="K213" s="66">
        <f>11570</f>
        <v>11570</v>
      </c>
      <c r="L213" s="67" t="s">
        <v>858</v>
      </c>
      <c r="M213" s="66">
        <f>12390</f>
        <v>12390</v>
      </c>
      <c r="N213" s="67" t="s">
        <v>855</v>
      </c>
      <c r="O213" s="66">
        <f>11570</f>
        <v>11570</v>
      </c>
      <c r="P213" s="67" t="s">
        <v>858</v>
      </c>
      <c r="Q213" s="66">
        <f>12110</f>
        <v>12110</v>
      </c>
      <c r="R213" s="67" t="s">
        <v>132</v>
      </c>
      <c r="S213" s="68">
        <f>12051.25</f>
        <v>12051.25</v>
      </c>
      <c r="T213" s="65">
        <f>9647</f>
        <v>9647</v>
      </c>
      <c r="U213" s="65">
        <f>4501</f>
        <v>4501</v>
      </c>
      <c r="V213" s="65">
        <f>118248090</f>
        <v>118248090</v>
      </c>
      <c r="W213" s="65">
        <f>55555750</f>
        <v>55555750</v>
      </c>
      <c r="X213" s="69">
        <f>8</f>
        <v>8</v>
      </c>
    </row>
    <row r="214" spans="1:24">
      <c r="A214" s="60" t="s">
        <v>852</v>
      </c>
      <c r="B214" s="60" t="s">
        <v>687</v>
      </c>
      <c r="C214" s="60" t="s">
        <v>688</v>
      </c>
      <c r="D214" s="60" t="s">
        <v>689</v>
      </c>
      <c r="E214" s="61" t="s">
        <v>46</v>
      </c>
      <c r="F214" s="62" t="s">
        <v>46</v>
      </c>
      <c r="G214" s="63" t="s">
        <v>46</v>
      </c>
      <c r="H214" s="64"/>
      <c r="I214" s="64" t="s">
        <v>629</v>
      </c>
      <c r="J214" s="65">
        <v>1</v>
      </c>
      <c r="K214" s="66">
        <f>11540</f>
        <v>11540</v>
      </c>
      <c r="L214" s="67" t="s">
        <v>853</v>
      </c>
      <c r="M214" s="66">
        <f>12800</f>
        <v>12800</v>
      </c>
      <c r="N214" s="67" t="s">
        <v>855</v>
      </c>
      <c r="O214" s="66">
        <f>11520</f>
        <v>11520</v>
      </c>
      <c r="P214" s="67" t="s">
        <v>853</v>
      </c>
      <c r="Q214" s="66">
        <f>12580</f>
        <v>12580</v>
      </c>
      <c r="R214" s="67" t="s">
        <v>176</v>
      </c>
      <c r="S214" s="68">
        <f>12075.71</f>
        <v>12075.71</v>
      </c>
      <c r="T214" s="65">
        <f>8459</f>
        <v>8459</v>
      </c>
      <c r="U214" s="65" t="str">
        <f t="shared" ref="U214:U220" si="10">"－"</f>
        <v>－</v>
      </c>
      <c r="V214" s="65">
        <f>102552390</f>
        <v>102552390</v>
      </c>
      <c r="W214" s="65" t="str">
        <f t="shared" ref="W214:W220" si="11">"－"</f>
        <v>－</v>
      </c>
      <c r="X214" s="69">
        <f>14</f>
        <v>14</v>
      </c>
    </row>
    <row r="215" spans="1:24">
      <c r="A215" s="60" t="s">
        <v>852</v>
      </c>
      <c r="B215" s="60" t="s">
        <v>690</v>
      </c>
      <c r="C215" s="60" t="s">
        <v>691</v>
      </c>
      <c r="D215" s="60" t="s">
        <v>692</v>
      </c>
      <c r="E215" s="61" t="s">
        <v>46</v>
      </c>
      <c r="F215" s="62" t="s">
        <v>46</v>
      </c>
      <c r="G215" s="63" t="s">
        <v>46</v>
      </c>
      <c r="H215" s="64"/>
      <c r="I215" s="64" t="s">
        <v>629</v>
      </c>
      <c r="J215" s="65">
        <v>1</v>
      </c>
      <c r="K215" s="66">
        <f>11370</f>
        <v>11370</v>
      </c>
      <c r="L215" s="67" t="s">
        <v>853</v>
      </c>
      <c r="M215" s="66">
        <f>12500</f>
        <v>12500</v>
      </c>
      <c r="N215" s="67" t="s">
        <v>100</v>
      </c>
      <c r="O215" s="66">
        <f>11370</f>
        <v>11370</v>
      </c>
      <c r="P215" s="67" t="s">
        <v>853</v>
      </c>
      <c r="Q215" s="66">
        <f>12000</f>
        <v>12000</v>
      </c>
      <c r="R215" s="67" t="s">
        <v>240</v>
      </c>
      <c r="S215" s="68">
        <f>12110</f>
        <v>12110</v>
      </c>
      <c r="T215" s="65">
        <f>22885</f>
        <v>22885</v>
      </c>
      <c r="U215" s="65" t="str">
        <f t="shared" si="10"/>
        <v>－</v>
      </c>
      <c r="V215" s="65">
        <f>276202470</f>
        <v>276202470</v>
      </c>
      <c r="W215" s="65" t="str">
        <f t="shared" si="11"/>
        <v>－</v>
      </c>
      <c r="X215" s="69">
        <f>18</f>
        <v>18</v>
      </c>
    </row>
    <row r="216" spans="1:24">
      <c r="A216" s="60" t="s">
        <v>852</v>
      </c>
      <c r="B216" s="60" t="s">
        <v>693</v>
      </c>
      <c r="C216" s="60" t="s">
        <v>694</v>
      </c>
      <c r="D216" s="60" t="s">
        <v>695</v>
      </c>
      <c r="E216" s="61" t="s">
        <v>46</v>
      </c>
      <c r="F216" s="62" t="s">
        <v>46</v>
      </c>
      <c r="G216" s="63" t="s">
        <v>46</v>
      </c>
      <c r="H216" s="64"/>
      <c r="I216" s="64" t="s">
        <v>629</v>
      </c>
      <c r="J216" s="65">
        <v>1</v>
      </c>
      <c r="K216" s="66">
        <f>12570</f>
        <v>12570</v>
      </c>
      <c r="L216" s="67" t="s">
        <v>853</v>
      </c>
      <c r="M216" s="66">
        <f>13750</f>
        <v>13750</v>
      </c>
      <c r="N216" s="67" t="s">
        <v>132</v>
      </c>
      <c r="O216" s="66">
        <f>12570</f>
        <v>12570</v>
      </c>
      <c r="P216" s="67" t="s">
        <v>853</v>
      </c>
      <c r="Q216" s="66">
        <f>12880</f>
        <v>12880</v>
      </c>
      <c r="R216" s="67" t="s">
        <v>240</v>
      </c>
      <c r="S216" s="68">
        <f>13186</f>
        <v>13186</v>
      </c>
      <c r="T216" s="65">
        <f>827</f>
        <v>827</v>
      </c>
      <c r="U216" s="65" t="str">
        <f t="shared" si="10"/>
        <v>－</v>
      </c>
      <c r="V216" s="65">
        <f>11221040</f>
        <v>11221040</v>
      </c>
      <c r="W216" s="65" t="str">
        <f t="shared" si="11"/>
        <v>－</v>
      </c>
      <c r="X216" s="69">
        <f>5</f>
        <v>5</v>
      </c>
    </row>
    <row r="217" spans="1:24">
      <c r="A217" s="60" t="s">
        <v>852</v>
      </c>
      <c r="B217" s="60" t="s">
        <v>696</v>
      </c>
      <c r="C217" s="60" t="s">
        <v>697</v>
      </c>
      <c r="D217" s="60" t="s">
        <v>698</v>
      </c>
      <c r="E217" s="61" t="s">
        <v>46</v>
      </c>
      <c r="F217" s="62" t="s">
        <v>46</v>
      </c>
      <c r="G217" s="63" t="s">
        <v>46</v>
      </c>
      <c r="H217" s="64"/>
      <c r="I217" s="64" t="s">
        <v>629</v>
      </c>
      <c r="J217" s="65">
        <v>1</v>
      </c>
      <c r="K217" s="66">
        <f>11710</f>
        <v>11710</v>
      </c>
      <c r="L217" s="67" t="s">
        <v>853</v>
      </c>
      <c r="M217" s="66">
        <f>12380</f>
        <v>12380</v>
      </c>
      <c r="N217" s="67" t="s">
        <v>854</v>
      </c>
      <c r="O217" s="66">
        <f>11710</f>
        <v>11710</v>
      </c>
      <c r="P217" s="67" t="s">
        <v>853</v>
      </c>
      <c r="Q217" s="66">
        <f>12380</f>
        <v>12380</v>
      </c>
      <c r="R217" s="67" t="s">
        <v>854</v>
      </c>
      <c r="S217" s="68">
        <f>11930</f>
        <v>11930</v>
      </c>
      <c r="T217" s="65">
        <f>512</f>
        <v>512</v>
      </c>
      <c r="U217" s="65" t="str">
        <f t="shared" si="10"/>
        <v>－</v>
      </c>
      <c r="V217" s="65">
        <f>6143070</f>
        <v>6143070</v>
      </c>
      <c r="W217" s="65" t="str">
        <f t="shared" si="11"/>
        <v>－</v>
      </c>
      <c r="X217" s="69">
        <f>5</f>
        <v>5</v>
      </c>
    </row>
    <row r="218" spans="1:24">
      <c r="A218" s="60" t="s">
        <v>852</v>
      </c>
      <c r="B218" s="60" t="s">
        <v>699</v>
      </c>
      <c r="C218" s="60" t="s">
        <v>700</v>
      </c>
      <c r="D218" s="60" t="s">
        <v>701</v>
      </c>
      <c r="E218" s="61" t="s">
        <v>46</v>
      </c>
      <c r="F218" s="62" t="s">
        <v>46</v>
      </c>
      <c r="G218" s="63" t="s">
        <v>46</v>
      </c>
      <c r="H218" s="64"/>
      <c r="I218" s="64" t="s">
        <v>629</v>
      </c>
      <c r="J218" s="65">
        <v>1</v>
      </c>
      <c r="K218" s="66">
        <f>10340</f>
        <v>10340</v>
      </c>
      <c r="L218" s="67" t="s">
        <v>853</v>
      </c>
      <c r="M218" s="66">
        <f>10850</f>
        <v>10850</v>
      </c>
      <c r="N218" s="67" t="s">
        <v>131</v>
      </c>
      <c r="O218" s="66">
        <f>10020</f>
        <v>10020</v>
      </c>
      <c r="P218" s="67" t="s">
        <v>240</v>
      </c>
      <c r="Q218" s="66">
        <f>10020</f>
        <v>10020</v>
      </c>
      <c r="R218" s="67" t="s">
        <v>240</v>
      </c>
      <c r="S218" s="68">
        <f>10533.33</f>
        <v>10533.33</v>
      </c>
      <c r="T218" s="65">
        <f>22666</f>
        <v>22666</v>
      </c>
      <c r="U218" s="65" t="str">
        <f t="shared" si="10"/>
        <v>－</v>
      </c>
      <c r="V218" s="65">
        <f>241117500</f>
        <v>241117500</v>
      </c>
      <c r="W218" s="65" t="str">
        <f t="shared" si="11"/>
        <v>－</v>
      </c>
      <c r="X218" s="69">
        <f>18</f>
        <v>18</v>
      </c>
    </row>
    <row r="219" spans="1:24">
      <c r="A219" s="60" t="s">
        <v>852</v>
      </c>
      <c r="B219" s="60" t="s">
        <v>702</v>
      </c>
      <c r="C219" s="60" t="s">
        <v>703</v>
      </c>
      <c r="D219" s="60" t="s">
        <v>704</v>
      </c>
      <c r="E219" s="61" t="s">
        <v>46</v>
      </c>
      <c r="F219" s="62" t="s">
        <v>46</v>
      </c>
      <c r="G219" s="63" t="s">
        <v>46</v>
      </c>
      <c r="H219" s="64"/>
      <c r="I219" s="64" t="s">
        <v>629</v>
      </c>
      <c r="J219" s="65">
        <v>1</v>
      </c>
      <c r="K219" s="66">
        <f>10440</f>
        <v>10440</v>
      </c>
      <c r="L219" s="67" t="s">
        <v>853</v>
      </c>
      <c r="M219" s="66">
        <f>11050</f>
        <v>11050</v>
      </c>
      <c r="N219" s="67" t="s">
        <v>854</v>
      </c>
      <c r="O219" s="66">
        <f>10230</f>
        <v>10230</v>
      </c>
      <c r="P219" s="67" t="s">
        <v>240</v>
      </c>
      <c r="Q219" s="66">
        <f>10240</f>
        <v>10240</v>
      </c>
      <c r="R219" s="67" t="s">
        <v>240</v>
      </c>
      <c r="S219" s="68">
        <f>10748.33</f>
        <v>10748.33</v>
      </c>
      <c r="T219" s="65">
        <f>68494</f>
        <v>68494</v>
      </c>
      <c r="U219" s="65" t="str">
        <f t="shared" si="10"/>
        <v>－</v>
      </c>
      <c r="V219" s="65">
        <f>733513190</f>
        <v>733513190</v>
      </c>
      <c r="W219" s="65" t="str">
        <f t="shared" si="11"/>
        <v>－</v>
      </c>
      <c r="X219" s="69">
        <f>18</f>
        <v>18</v>
      </c>
    </row>
    <row r="220" spans="1:24">
      <c r="A220" s="60" t="s">
        <v>852</v>
      </c>
      <c r="B220" s="60" t="s">
        <v>705</v>
      </c>
      <c r="C220" s="60" t="s">
        <v>706</v>
      </c>
      <c r="D220" s="60" t="s">
        <v>707</v>
      </c>
      <c r="E220" s="61" t="s">
        <v>46</v>
      </c>
      <c r="F220" s="62" t="s">
        <v>46</v>
      </c>
      <c r="G220" s="63" t="s">
        <v>46</v>
      </c>
      <c r="H220" s="64"/>
      <c r="I220" s="64" t="s">
        <v>629</v>
      </c>
      <c r="J220" s="65">
        <v>1</v>
      </c>
      <c r="K220" s="66">
        <f>10400</f>
        <v>10400</v>
      </c>
      <c r="L220" s="67" t="s">
        <v>853</v>
      </c>
      <c r="M220" s="66">
        <f>11050</f>
        <v>11050</v>
      </c>
      <c r="N220" s="67" t="s">
        <v>854</v>
      </c>
      <c r="O220" s="66">
        <f>10380</f>
        <v>10380</v>
      </c>
      <c r="P220" s="67" t="s">
        <v>240</v>
      </c>
      <c r="Q220" s="66">
        <f>10380</f>
        <v>10380</v>
      </c>
      <c r="R220" s="67" t="s">
        <v>240</v>
      </c>
      <c r="S220" s="68">
        <f>10728.24</f>
        <v>10728.24</v>
      </c>
      <c r="T220" s="65">
        <f>45448</f>
        <v>45448</v>
      </c>
      <c r="U220" s="65" t="str">
        <f t="shared" si="10"/>
        <v>－</v>
      </c>
      <c r="V220" s="65">
        <f>482519470</f>
        <v>482519470</v>
      </c>
      <c r="W220" s="65" t="str">
        <f t="shared" si="11"/>
        <v>－</v>
      </c>
      <c r="X220" s="69">
        <f>17</f>
        <v>17</v>
      </c>
    </row>
    <row r="221" spans="1:24">
      <c r="A221" s="60" t="s">
        <v>852</v>
      </c>
      <c r="B221" s="60" t="s">
        <v>708</v>
      </c>
      <c r="C221" s="60" t="s">
        <v>709</v>
      </c>
      <c r="D221" s="60" t="s">
        <v>710</v>
      </c>
      <c r="E221" s="61" t="s">
        <v>46</v>
      </c>
      <c r="F221" s="62" t="s">
        <v>46</v>
      </c>
      <c r="G221" s="63" t="s">
        <v>46</v>
      </c>
      <c r="H221" s="64"/>
      <c r="I221" s="64" t="s">
        <v>47</v>
      </c>
      <c r="J221" s="65">
        <v>10</v>
      </c>
      <c r="K221" s="66">
        <f>996</f>
        <v>996</v>
      </c>
      <c r="L221" s="67" t="s">
        <v>853</v>
      </c>
      <c r="M221" s="66">
        <f>997</f>
        <v>997</v>
      </c>
      <c r="N221" s="67" t="s">
        <v>48</v>
      </c>
      <c r="O221" s="66">
        <f>985</f>
        <v>985</v>
      </c>
      <c r="P221" s="67" t="s">
        <v>240</v>
      </c>
      <c r="Q221" s="66">
        <f>987</f>
        <v>987</v>
      </c>
      <c r="R221" s="67" t="s">
        <v>240</v>
      </c>
      <c r="S221" s="68">
        <f>993.17</f>
        <v>993.17</v>
      </c>
      <c r="T221" s="65">
        <f>3706130</f>
        <v>3706130</v>
      </c>
      <c r="U221" s="65">
        <f>1951700</f>
        <v>1951700</v>
      </c>
      <c r="V221" s="65">
        <f>3681831358</f>
        <v>3681831358</v>
      </c>
      <c r="W221" s="65">
        <f>1942046388</f>
        <v>1942046388</v>
      </c>
      <c r="X221" s="69">
        <f>18</f>
        <v>18</v>
      </c>
    </row>
    <row r="222" spans="1:24">
      <c r="A222" s="60" t="s">
        <v>852</v>
      </c>
      <c r="B222" s="60" t="s">
        <v>711</v>
      </c>
      <c r="C222" s="60" t="s">
        <v>712</v>
      </c>
      <c r="D222" s="60" t="s">
        <v>713</v>
      </c>
      <c r="E222" s="61" t="s">
        <v>46</v>
      </c>
      <c r="F222" s="62" t="s">
        <v>46</v>
      </c>
      <c r="G222" s="63" t="s">
        <v>46</v>
      </c>
      <c r="H222" s="64"/>
      <c r="I222" s="64" t="s">
        <v>47</v>
      </c>
      <c r="J222" s="65">
        <v>10</v>
      </c>
      <c r="K222" s="66">
        <f>1007</f>
        <v>1007</v>
      </c>
      <c r="L222" s="67" t="s">
        <v>853</v>
      </c>
      <c r="M222" s="66">
        <f>1015</f>
        <v>1015</v>
      </c>
      <c r="N222" s="67" t="s">
        <v>854</v>
      </c>
      <c r="O222" s="66">
        <f>996</f>
        <v>996</v>
      </c>
      <c r="P222" s="67" t="s">
        <v>240</v>
      </c>
      <c r="Q222" s="66">
        <f>998</f>
        <v>998</v>
      </c>
      <c r="R222" s="67" t="s">
        <v>240</v>
      </c>
      <c r="S222" s="68">
        <f>1005.44</f>
        <v>1005.44</v>
      </c>
      <c r="T222" s="65">
        <f>1331610</f>
        <v>1331610</v>
      </c>
      <c r="U222" s="65">
        <f>20</f>
        <v>20</v>
      </c>
      <c r="V222" s="65">
        <f>1338366130</f>
        <v>1338366130</v>
      </c>
      <c r="W222" s="65">
        <f>20100</f>
        <v>20100</v>
      </c>
      <c r="X222" s="69">
        <f>18</f>
        <v>18</v>
      </c>
    </row>
    <row r="223" spans="1:24">
      <c r="A223" s="60" t="s">
        <v>852</v>
      </c>
      <c r="B223" s="60" t="s">
        <v>714</v>
      </c>
      <c r="C223" s="60" t="s">
        <v>715</v>
      </c>
      <c r="D223" s="60" t="s">
        <v>716</v>
      </c>
      <c r="E223" s="61" t="s">
        <v>46</v>
      </c>
      <c r="F223" s="62" t="s">
        <v>46</v>
      </c>
      <c r="G223" s="63" t="s">
        <v>46</v>
      </c>
      <c r="H223" s="64"/>
      <c r="I223" s="64" t="s">
        <v>47</v>
      </c>
      <c r="J223" s="65">
        <v>10</v>
      </c>
      <c r="K223" s="66">
        <f>1050</f>
        <v>1050</v>
      </c>
      <c r="L223" s="67" t="s">
        <v>853</v>
      </c>
      <c r="M223" s="66">
        <f>1052</f>
        <v>1052</v>
      </c>
      <c r="N223" s="67" t="s">
        <v>853</v>
      </c>
      <c r="O223" s="66">
        <f>1018</f>
        <v>1018</v>
      </c>
      <c r="P223" s="67" t="s">
        <v>240</v>
      </c>
      <c r="Q223" s="66">
        <f>1021</f>
        <v>1021</v>
      </c>
      <c r="R223" s="67" t="s">
        <v>240</v>
      </c>
      <c r="S223" s="68">
        <f>1041.17</f>
        <v>1041.17</v>
      </c>
      <c r="T223" s="65">
        <f>6653410</f>
        <v>6653410</v>
      </c>
      <c r="U223" s="65">
        <f>4374490</f>
        <v>4374490</v>
      </c>
      <c r="V223" s="65">
        <f>6916908747</f>
        <v>6916908747</v>
      </c>
      <c r="W223" s="65">
        <f>4560093017</f>
        <v>4560093017</v>
      </c>
      <c r="X223" s="69">
        <f>18</f>
        <v>18</v>
      </c>
    </row>
    <row r="224" spans="1:24">
      <c r="A224" s="60" t="s">
        <v>852</v>
      </c>
      <c r="B224" s="60" t="s">
        <v>717</v>
      </c>
      <c r="C224" s="60" t="s">
        <v>718</v>
      </c>
      <c r="D224" s="60" t="s">
        <v>719</v>
      </c>
      <c r="E224" s="61" t="s">
        <v>46</v>
      </c>
      <c r="F224" s="62" t="s">
        <v>46</v>
      </c>
      <c r="G224" s="63" t="s">
        <v>46</v>
      </c>
      <c r="H224" s="64"/>
      <c r="I224" s="64" t="s">
        <v>47</v>
      </c>
      <c r="J224" s="65">
        <v>10</v>
      </c>
      <c r="K224" s="66">
        <f>1234</f>
        <v>1234</v>
      </c>
      <c r="L224" s="67" t="s">
        <v>853</v>
      </c>
      <c r="M224" s="66">
        <f>1343</f>
        <v>1343</v>
      </c>
      <c r="N224" s="67" t="s">
        <v>854</v>
      </c>
      <c r="O224" s="66">
        <f>1231</f>
        <v>1231</v>
      </c>
      <c r="P224" s="67" t="s">
        <v>853</v>
      </c>
      <c r="Q224" s="66">
        <f>1302</f>
        <v>1302</v>
      </c>
      <c r="R224" s="67" t="s">
        <v>240</v>
      </c>
      <c r="S224" s="68">
        <f>1308.83</f>
        <v>1308.83</v>
      </c>
      <c r="T224" s="65">
        <f>2269110</f>
        <v>2269110</v>
      </c>
      <c r="U224" s="65">
        <f>1437960</f>
        <v>1437960</v>
      </c>
      <c r="V224" s="65">
        <f>2955730732</f>
        <v>2955730732</v>
      </c>
      <c r="W224" s="65">
        <f>1895834232</f>
        <v>1895834232</v>
      </c>
      <c r="X224" s="69">
        <f>18</f>
        <v>18</v>
      </c>
    </row>
    <row r="225" spans="1:24">
      <c r="A225" s="60" t="s">
        <v>852</v>
      </c>
      <c r="B225" s="60" t="s">
        <v>720</v>
      </c>
      <c r="C225" s="60" t="s">
        <v>721</v>
      </c>
      <c r="D225" s="60" t="s">
        <v>722</v>
      </c>
      <c r="E225" s="61" t="s">
        <v>46</v>
      </c>
      <c r="F225" s="62" t="s">
        <v>46</v>
      </c>
      <c r="G225" s="63" t="s">
        <v>46</v>
      </c>
      <c r="H225" s="64"/>
      <c r="I225" s="64" t="s">
        <v>47</v>
      </c>
      <c r="J225" s="65">
        <v>10</v>
      </c>
      <c r="K225" s="66">
        <f>1277</f>
        <v>1277</v>
      </c>
      <c r="L225" s="67" t="s">
        <v>853</v>
      </c>
      <c r="M225" s="66">
        <f>1384</f>
        <v>1384</v>
      </c>
      <c r="N225" s="67" t="s">
        <v>131</v>
      </c>
      <c r="O225" s="66">
        <f>1277</f>
        <v>1277</v>
      </c>
      <c r="P225" s="67" t="s">
        <v>853</v>
      </c>
      <c r="Q225" s="66">
        <f>1322</f>
        <v>1322</v>
      </c>
      <c r="R225" s="67" t="s">
        <v>240</v>
      </c>
      <c r="S225" s="68">
        <f>1345.76</f>
        <v>1345.76</v>
      </c>
      <c r="T225" s="65">
        <f>52110</f>
        <v>52110</v>
      </c>
      <c r="U225" s="65" t="str">
        <f>"－"</f>
        <v>－</v>
      </c>
      <c r="V225" s="65">
        <f>70205910</f>
        <v>70205910</v>
      </c>
      <c r="W225" s="65" t="str">
        <f>"－"</f>
        <v>－</v>
      </c>
      <c r="X225" s="69">
        <f>17</f>
        <v>17</v>
      </c>
    </row>
    <row r="226" spans="1:24">
      <c r="A226" s="60" t="s">
        <v>852</v>
      </c>
      <c r="B226" s="60" t="s">
        <v>723</v>
      </c>
      <c r="C226" s="60" t="s">
        <v>724</v>
      </c>
      <c r="D226" s="60" t="s">
        <v>725</v>
      </c>
      <c r="E226" s="61" t="s">
        <v>46</v>
      </c>
      <c r="F226" s="62" t="s">
        <v>46</v>
      </c>
      <c r="G226" s="63" t="s">
        <v>46</v>
      </c>
      <c r="H226" s="64"/>
      <c r="I226" s="64" t="s">
        <v>47</v>
      </c>
      <c r="J226" s="65">
        <v>10</v>
      </c>
      <c r="K226" s="66">
        <f>910</f>
        <v>910</v>
      </c>
      <c r="L226" s="67" t="s">
        <v>853</v>
      </c>
      <c r="M226" s="66">
        <f>994</f>
        <v>994</v>
      </c>
      <c r="N226" s="67" t="s">
        <v>176</v>
      </c>
      <c r="O226" s="66">
        <f>910</f>
        <v>910</v>
      </c>
      <c r="P226" s="67" t="s">
        <v>853</v>
      </c>
      <c r="Q226" s="66">
        <f>972</f>
        <v>972</v>
      </c>
      <c r="R226" s="67" t="s">
        <v>240</v>
      </c>
      <c r="S226" s="68">
        <f>954.72</f>
        <v>954.72</v>
      </c>
      <c r="T226" s="65">
        <f>706000</f>
        <v>706000</v>
      </c>
      <c r="U226" s="65">
        <f>266040</f>
        <v>266040</v>
      </c>
      <c r="V226" s="65">
        <f>674785016</f>
        <v>674785016</v>
      </c>
      <c r="W226" s="65">
        <f>255840626</f>
        <v>255840626</v>
      </c>
      <c r="X226" s="69">
        <f>18</f>
        <v>18</v>
      </c>
    </row>
    <row r="227" spans="1:24">
      <c r="A227" s="60" t="s">
        <v>852</v>
      </c>
      <c r="B227" s="60" t="s">
        <v>726</v>
      </c>
      <c r="C227" s="60" t="s">
        <v>727</v>
      </c>
      <c r="D227" s="60" t="s">
        <v>728</v>
      </c>
      <c r="E227" s="61" t="s">
        <v>46</v>
      </c>
      <c r="F227" s="62" t="s">
        <v>46</v>
      </c>
      <c r="G227" s="63" t="s">
        <v>46</v>
      </c>
      <c r="H227" s="64"/>
      <c r="I227" s="64" t="s">
        <v>47</v>
      </c>
      <c r="J227" s="65">
        <v>10</v>
      </c>
      <c r="K227" s="66">
        <f>918</f>
        <v>918</v>
      </c>
      <c r="L227" s="67" t="s">
        <v>853</v>
      </c>
      <c r="M227" s="66">
        <f>1033</f>
        <v>1033</v>
      </c>
      <c r="N227" s="67" t="s">
        <v>854</v>
      </c>
      <c r="O227" s="66">
        <f>915</f>
        <v>915</v>
      </c>
      <c r="P227" s="67" t="s">
        <v>853</v>
      </c>
      <c r="Q227" s="66">
        <f>933</f>
        <v>933</v>
      </c>
      <c r="R227" s="67" t="s">
        <v>240</v>
      </c>
      <c r="S227" s="68">
        <f>971.78</f>
        <v>971.78</v>
      </c>
      <c r="T227" s="65">
        <f>8990600</f>
        <v>8990600</v>
      </c>
      <c r="U227" s="65">
        <f>53380</f>
        <v>53380</v>
      </c>
      <c r="V227" s="65">
        <f>8766403760</f>
        <v>8766403760</v>
      </c>
      <c r="W227" s="65">
        <f>53057770</f>
        <v>53057770</v>
      </c>
      <c r="X227" s="69">
        <f>18</f>
        <v>18</v>
      </c>
    </row>
    <row r="228" spans="1:24">
      <c r="A228" s="60" t="s">
        <v>852</v>
      </c>
      <c r="B228" s="60" t="s">
        <v>729</v>
      </c>
      <c r="C228" s="60" t="s">
        <v>730</v>
      </c>
      <c r="D228" s="60" t="s">
        <v>731</v>
      </c>
      <c r="E228" s="61" t="s">
        <v>46</v>
      </c>
      <c r="F228" s="62" t="s">
        <v>46</v>
      </c>
      <c r="G228" s="63" t="s">
        <v>46</v>
      </c>
      <c r="H228" s="64"/>
      <c r="I228" s="64" t="s">
        <v>47</v>
      </c>
      <c r="J228" s="65">
        <v>10</v>
      </c>
      <c r="K228" s="66">
        <f>1088</f>
        <v>1088</v>
      </c>
      <c r="L228" s="67" t="s">
        <v>853</v>
      </c>
      <c r="M228" s="66">
        <f>1177</f>
        <v>1177</v>
      </c>
      <c r="N228" s="67" t="s">
        <v>176</v>
      </c>
      <c r="O228" s="66">
        <f>1074</f>
        <v>1074</v>
      </c>
      <c r="P228" s="67" t="s">
        <v>858</v>
      </c>
      <c r="Q228" s="66">
        <f>1141</f>
        <v>1141</v>
      </c>
      <c r="R228" s="67" t="s">
        <v>240</v>
      </c>
      <c r="S228" s="68">
        <f>1123.61</f>
        <v>1123.6099999999999</v>
      </c>
      <c r="T228" s="65">
        <f>958980</f>
        <v>958980</v>
      </c>
      <c r="U228" s="65">
        <f>322000</f>
        <v>322000</v>
      </c>
      <c r="V228" s="65">
        <f>1088932570</f>
        <v>1088932570</v>
      </c>
      <c r="W228" s="65">
        <f>373512300</f>
        <v>373512300</v>
      </c>
      <c r="X228" s="69">
        <f>18</f>
        <v>18</v>
      </c>
    </row>
    <row r="229" spans="1:24">
      <c r="A229" s="60" t="s">
        <v>852</v>
      </c>
      <c r="B229" s="60" t="s">
        <v>732</v>
      </c>
      <c r="C229" s="60" t="s">
        <v>733</v>
      </c>
      <c r="D229" s="60" t="s">
        <v>734</v>
      </c>
      <c r="E229" s="61" t="s">
        <v>46</v>
      </c>
      <c r="F229" s="62" t="s">
        <v>46</v>
      </c>
      <c r="G229" s="63" t="s">
        <v>46</v>
      </c>
      <c r="H229" s="64"/>
      <c r="I229" s="64" t="s">
        <v>47</v>
      </c>
      <c r="J229" s="65">
        <v>1</v>
      </c>
      <c r="K229" s="66">
        <f>1064</f>
        <v>1064</v>
      </c>
      <c r="L229" s="67" t="s">
        <v>853</v>
      </c>
      <c r="M229" s="66">
        <f>1150</f>
        <v>1150</v>
      </c>
      <c r="N229" s="67" t="s">
        <v>854</v>
      </c>
      <c r="O229" s="66">
        <f>1063</f>
        <v>1063</v>
      </c>
      <c r="P229" s="67" t="s">
        <v>853</v>
      </c>
      <c r="Q229" s="66">
        <f>1082</f>
        <v>1082</v>
      </c>
      <c r="R229" s="67" t="s">
        <v>240</v>
      </c>
      <c r="S229" s="68">
        <f>1112.06</f>
        <v>1112.06</v>
      </c>
      <c r="T229" s="65">
        <f>10723</f>
        <v>10723</v>
      </c>
      <c r="U229" s="65" t="str">
        <f>"－"</f>
        <v>－</v>
      </c>
      <c r="V229" s="65">
        <f>11972372</f>
        <v>11972372</v>
      </c>
      <c r="W229" s="65" t="str">
        <f>"－"</f>
        <v>－</v>
      </c>
      <c r="X229" s="69">
        <f>18</f>
        <v>18</v>
      </c>
    </row>
    <row r="230" spans="1:24">
      <c r="A230" s="60" t="s">
        <v>852</v>
      </c>
      <c r="B230" s="60" t="s">
        <v>735</v>
      </c>
      <c r="C230" s="60" t="s">
        <v>736</v>
      </c>
      <c r="D230" s="60" t="s">
        <v>737</v>
      </c>
      <c r="E230" s="61" t="s">
        <v>46</v>
      </c>
      <c r="F230" s="62" t="s">
        <v>46</v>
      </c>
      <c r="G230" s="63" t="s">
        <v>46</v>
      </c>
      <c r="H230" s="64"/>
      <c r="I230" s="64" t="s">
        <v>47</v>
      </c>
      <c r="J230" s="65">
        <v>10</v>
      </c>
      <c r="K230" s="66">
        <f>1024</f>
        <v>1024</v>
      </c>
      <c r="L230" s="67" t="s">
        <v>853</v>
      </c>
      <c r="M230" s="66">
        <f>1039</f>
        <v>1039</v>
      </c>
      <c r="N230" s="67" t="s">
        <v>854</v>
      </c>
      <c r="O230" s="66">
        <f>1000</f>
        <v>1000</v>
      </c>
      <c r="P230" s="67" t="s">
        <v>240</v>
      </c>
      <c r="Q230" s="66">
        <f>1000</f>
        <v>1000</v>
      </c>
      <c r="R230" s="67" t="s">
        <v>240</v>
      </c>
      <c r="S230" s="68">
        <f>1026.39</f>
        <v>1026.3900000000001</v>
      </c>
      <c r="T230" s="65">
        <f>172700</f>
        <v>172700</v>
      </c>
      <c r="U230" s="65">
        <f>87380</f>
        <v>87380</v>
      </c>
      <c r="V230" s="65">
        <f>177786116</f>
        <v>177786116</v>
      </c>
      <c r="W230" s="65">
        <f>90428646</f>
        <v>90428646</v>
      </c>
      <c r="X230" s="69">
        <f>18</f>
        <v>18</v>
      </c>
    </row>
    <row r="231" spans="1:24">
      <c r="A231" s="60" t="s">
        <v>852</v>
      </c>
      <c r="B231" s="60" t="s">
        <v>738</v>
      </c>
      <c r="C231" s="60" t="s">
        <v>739</v>
      </c>
      <c r="D231" s="60" t="s">
        <v>740</v>
      </c>
      <c r="E231" s="61" t="s">
        <v>46</v>
      </c>
      <c r="F231" s="62" t="s">
        <v>46</v>
      </c>
      <c r="G231" s="63" t="s">
        <v>46</v>
      </c>
      <c r="H231" s="64"/>
      <c r="I231" s="64" t="s">
        <v>47</v>
      </c>
      <c r="J231" s="65">
        <v>10</v>
      </c>
      <c r="K231" s="66">
        <f>1201</f>
        <v>1201</v>
      </c>
      <c r="L231" s="67" t="s">
        <v>853</v>
      </c>
      <c r="M231" s="66">
        <f>1339</f>
        <v>1339</v>
      </c>
      <c r="N231" s="67" t="s">
        <v>854</v>
      </c>
      <c r="O231" s="66">
        <f>1186</f>
        <v>1186</v>
      </c>
      <c r="P231" s="67" t="s">
        <v>853</v>
      </c>
      <c r="Q231" s="66">
        <f>1223</f>
        <v>1223</v>
      </c>
      <c r="R231" s="67" t="s">
        <v>240</v>
      </c>
      <c r="S231" s="68">
        <f>1274.28</f>
        <v>1274.28</v>
      </c>
      <c r="T231" s="65">
        <f>168320</f>
        <v>168320</v>
      </c>
      <c r="U231" s="65">
        <f>41460</f>
        <v>41460</v>
      </c>
      <c r="V231" s="65">
        <f>216490032</f>
        <v>216490032</v>
      </c>
      <c r="W231" s="65">
        <f>54392852</f>
        <v>54392852</v>
      </c>
      <c r="X231" s="69">
        <f>18</f>
        <v>18</v>
      </c>
    </row>
    <row r="232" spans="1:24">
      <c r="A232" s="60" t="s">
        <v>852</v>
      </c>
      <c r="B232" s="60" t="s">
        <v>741</v>
      </c>
      <c r="C232" s="60" t="s">
        <v>742</v>
      </c>
      <c r="D232" s="60" t="s">
        <v>743</v>
      </c>
      <c r="E232" s="61" t="s">
        <v>46</v>
      </c>
      <c r="F232" s="62" t="s">
        <v>46</v>
      </c>
      <c r="G232" s="63" t="s">
        <v>46</v>
      </c>
      <c r="H232" s="64"/>
      <c r="I232" s="64" t="s">
        <v>47</v>
      </c>
      <c r="J232" s="65">
        <v>10</v>
      </c>
      <c r="K232" s="66">
        <f>1279</f>
        <v>1279</v>
      </c>
      <c r="L232" s="67" t="s">
        <v>853</v>
      </c>
      <c r="M232" s="66">
        <f>1379</f>
        <v>1379</v>
      </c>
      <c r="N232" s="67" t="s">
        <v>854</v>
      </c>
      <c r="O232" s="66">
        <f>1279</f>
        <v>1279</v>
      </c>
      <c r="P232" s="67" t="s">
        <v>853</v>
      </c>
      <c r="Q232" s="66">
        <f>1324</f>
        <v>1324</v>
      </c>
      <c r="R232" s="67" t="s">
        <v>240</v>
      </c>
      <c r="S232" s="68">
        <f>1349.89</f>
        <v>1349.89</v>
      </c>
      <c r="T232" s="65">
        <f>12818500</f>
        <v>12818500</v>
      </c>
      <c r="U232" s="65">
        <f>3935790</f>
        <v>3935790</v>
      </c>
      <c r="V232" s="65">
        <f>17293158330</f>
        <v>17293158330</v>
      </c>
      <c r="W232" s="65">
        <f>5282847850</f>
        <v>5282847850</v>
      </c>
      <c r="X232" s="69">
        <f>18</f>
        <v>18</v>
      </c>
    </row>
    <row r="233" spans="1:24">
      <c r="A233" s="60" t="s">
        <v>852</v>
      </c>
      <c r="B233" s="60" t="s">
        <v>744</v>
      </c>
      <c r="C233" s="60" t="s">
        <v>745</v>
      </c>
      <c r="D233" s="60" t="s">
        <v>746</v>
      </c>
      <c r="E233" s="61" t="s">
        <v>46</v>
      </c>
      <c r="F233" s="62" t="s">
        <v>46</v>
      </c>
      <c r="G233" s="63" t="s">
        <v>46</v>
      </c>
      <c r="H233" s="64"/>
      <c r="I233" s="64" t="s">
        <v>47</v>
      </c>
      <c r="J233" s="65">
        <v>1</v>
      </c>
      <c r="K233" s="66">
        <f>3330</f>
        <v>3330</v>
      </c>
      <c r="L233" s="67" t="s">
        <v>853</v>
      </c>
      <c r="M233" s="66">
        <f>3770</f>
        <v>3770</v>
      </c>
      <c r="N233" s="67" t="s">
        <v>854</v>
      </c>
      <c r="O233" s="66">
        <f>3320</f>
        <v>3320</v>
      </c>
      <c r="P233" s="67" t="s">
        <v>853</v>
      </c>
      <c r="Q233" s="66">
        <f>3430</f>
        <v>3430</v>
      </c>
      <c r="R233" s="67" t="s">
        <v>240</v>
      </c>
      <c r="S233" s="68">
        <f>3583.06</f>
        <v>3583.06</v>
      </c>
      <c r="T233" s="65">
        <f>147915</f>
        <v>147915</v>
      </c>
      <c r="U233" s="65">
        <f>3</f>
        <v>3</v>
      </c>
      <c r="V233" s="65">
        <f>527001240</f>
        <v>527001240</v>
      </c>
      <c r="W233" s="65">
        <f>10965</f>
        <v>10965</v>
      </c>
      <c r="X233" s="69">
        <f>18</f>
        <v>18</v>
      </c>
    </row>
    <row r="234" spans="1:24">
      <c r="A234" s="60" t="s">
        <v>852</v>
      </c>
      <c r="B234" s="60" t="s">
        <v>747</v>
      </c>
      <c r="C234" s="60" t="s">
        <v>748</v>
      </c>
      <c r="D234" s="60" t="s">
        <v>749</v>
      </c>
      <c r="E234" s="61" t="s">
        <v>46</v>
      </c>
      <c r="F234" s="62" t="s">
        <v>46</v>
      </c>
      <c r="G234" s="63" t="s">
        <v>46</v>
      </c>
      <c r="H234" s="64"/>
      <c r="I234" s="64" t="s">
        <v>47</v>
      </c>
      <c r="J234" s="65">
        <v>10</v>
      </c>
      <c r="K234" s="66">
        <f>1654</f>
        <v>1654</v>
      </c>
      <c r="L234" s="67" t="s">
        <v>853</v>
      </c>
      <c r="M234" s="66">
        <f>1812</f>
        <v>1812</v>
      </c>
      <c r="N234" s="67" t="s">
        <v>855</v>
      </c>
      <c r="O234" s="66">
        <f>1637</f>
        <v>1637</v>
      </c>
      <c r="P234" s="67" t="s">
        <v>853</v>
      </c>
      <c r="Q234" s="66">
        <f>1789</f>
        <v>1789</v>
      </c>
      <c r="R234" s="67" t="s">
        <v>240</v>
      </c>
      <c r="S234" s="68">
        <f>1737.31</f>
        <v>1737.31</v>
      </c>
      <c r="T234" s="65">
        <f>7740</f>
        <v>7740</v>
      </c>
      <c r="U234" s="65" t="str">
        <f>"－"</f>
        <v>－</v>
      </c>
      <c r="V234" s="65">
        <f>13592730</f>
        <v>13592730</v>
      </c>
      <c r="W234" s="65" t="str">
        <f>"－"</f>
        <v>－</v>
      </c>
      <c r="X234" s="69">
        <f>16</f>
        <v>16</v>
      </c>
    </row>
    <row r="235" spans="1:24">
      <c r="A235" s="60" t="s">
        <v>852</v>
      </c>
      <c r="B235" s="60" t="s">
        <v>750</v>
      </c>
      <c r="C235" s="60" t="s">
        <v>751</v>
      </c>
      <c r="D235" s="60" t="s">
        <v>752</v>
      </c>
      <c r="E235" s="61" t="s">
        <v>46</v>
      </c>
      <c r="F235" s="62" t="s">
        <v>46</v>
      </c>
      <c r="G235" s="63" t="s">
        <v>46</v>
      </c>
      <c r="H235" s="64"/>
      <c r="I235" s="64" t="s">
        <v>47</v>
      </c>
      <c r="J235" s="65">
        <v>10</v>
      </c>
      <c r="K235" s="66">
        <f>1838</f>
        <v>1838</v>
      </c>
      <c r="L235" s="67" t="s">
        <v>853</v>
      </c>
      <c r="M235" s="66">
        <f>1989</f>
        <v>1989</v>
      </c>
      <c r="N235" s="67" t="s">
        <v>855</v>
      </c>
      <c r="O235" s="66">
        <f>1838</f>
        <v>1838</v>
      </c>
      <c r="P235" s="67" t="s">
        <v>853</v>
      </c>
      <c r="Q235" s="66">
        <f>1883</f>
        <v>1883</v>
      </c>
      <c r="R235" s="67" t="s">
        <v>240</v>
      </c>
      <c r="S235" s="68">
        <f>1943.13</f>
        <v>1943.13</v>
      </c>
      <c r="T235" s="65">
        <f>95910</f>
        <v>95910</v>
      </c>
      <c r="U235" s="65" t="str">
        <f>"－"</f>
        <v>－</v>
      </c>
      <c r="V235" s="65">
        <f>184065490</f>
        <v>184065490</v>
      </c>
      <c r="W235" s="65" t="str">
        <f>"－"</f>
        <v>－</v>
      </c>
      <c r="X235" s="69">
        <f>8</f>
        <v>8</v>
      </c>
    </row>
    <row r="236" spans="1:24">
      <c r="A236" s="60" t="s">
        <v>852</v>
      </c>
      <c r="B236" s="60" t="s">
        <v>753</v>
      </c>
      <c r="C236" s="60" t="s">
        <v>754</v>
      </c>
      <c r="D236" s="60" t="s">
        <v>755</v>
      </c>
      <c r="E236" s="61" t="s">
        <v>46</v>
      </c>
      <c r="F236" s="62" t="s">
        <v>46</v>
      </c>
      <c r="G236" s="63" t="s">
        <v>46</v>
      </c>
      <c r="H236" s="64"/>
      <c r="I236" s="64" t="s">
        <v>47</v>
      </c>
      <c r="J236" s="65">
        <v>1</v>
      </c>
      <c r="K236" s="66">
        <f>27990</f>
        <v>27990</v>
      </c>
      <c r="L236" s="67" t="s">
        <v>853</v>
      </c>
      <c r="M236" s="66">
        <f>30950</f>
        <v>30950</v>
      </c>
      <c r="N236" s="67" t="s">
        <v>854</v>
      </c>
      <c r="O236" s="66">
        <f>27990</f>
        <v>27990</v>
      </c>
      <c r="P236" s="67" t="s">
        <v>853</v>
      </c>
      <c r="Q236" s="66">
        <f>29390</f>
        <v>29390</v>
      </c>
      <c r="R236" s="67" t="s">
        <v>240</v>
      </c>
      <c r="S236" s="68">
        <f>29727.22</f>
        <v>29727.22</v>
      </c>
      <c r="T236" s="65">
        <f>3344</f>
        <v>3344</v>
      </c>
      <c r="U236" s="65">
        <f>2342</f>
        <v>2342</v>
      </c>
      <c r="V236" s="65">
        <f>101286260</f>
        <v>101286260</v>
      </c>
      <c r="W236" s="65">
        <f>71231930</f>
        <v>71231930</v>
      </c>
      <c r="X236" s="69">
        <f>18</f>
        <v>18</v>
      </c>
    </row>
    <row r="237" spans="1:24">
      <c r="A237" s="60" t="s">
        <v>852</v>
      </c>
      <c r="B237" s="60" t="s">
        <v>756</v>
      </c>
      <c r="C237" s="60" t="s">
        <v>757</v>
      </c>
      <c r="D237" s="60" t="s">
        <v>758</v>
      </c>
      <c r="E237" s="61" t="s">
        <v>46</v>
      </c>
      <c r="F237" s="62" t="s">
        <v>46</v>
      </c>
      <c r="G237" s="63" t="s">
        <v>46</v>
      </c>
      <c r="H237" s="64"/>
      <c r="I237" s="64" t="s">
        <v>47</v>
      </c>
      <c r="J237" s="65">
        <v>1</v>
      </c>
      <c r="K237" s="66">
        <f>16570</f>
        <v>16570</v>
      </c>
      <c r="L237" s="67" t="s">
        <v>853</v>
      </c>
      <c r="M237" s="66">
        <f>18020</f>
        <v>18020</v>
      </c>
      <c r="N237" s="67" t="s">
        <v>854</v>
      </c>
      <c r="O237" s="66">
        <f>16570</f>
        <v>16570</v>
      </c>
      <c r="P237" s="67" t="s">
        <v>853</v>
      </c>
      <c r="Q237" s="66">
        <f>17230</f>
        <v>17230</v>
      </c>
      <c r="R237" s="67" t="s">
        <v>240</v>
      </c>
      <c r="S237" s="68">
        <f>17472.5</f>
        <v>17472.5</v>
      </c>
      <c r="T237" s="65">
        <f>142535</f>
        <v>142535</v>
      </c>
      <c r="U237" s="65">
        <f>30000</f>
        <v>30000</v>
      </c>
      <c r="V237" s="65">
        <f>2506493630</f>
        <v>2506493630</v>
      </c>
      <c r="W237" s="65">
        <f>527050000</f>
        <v>527050000</v>
      </c>
      <c r="X237" s="69">
        <f>16</f>
        <v>16</v>
      </c>
    </row>
    <row r="238" spans="1:24">
      <c r="A238" s="60" t="s">
        <v>852</v>
      </c>
      <c r="B238" s="60" t="s">
        <v>759</v>
      </c>
      <c r="C238" s="60" t="s">
        <v>760</v>
      </c>
      <c r="D238" s="60" t="s">
        <v>761</v>
      </c>
      <c r="E238" s="61" t="s">
        <v>46</v>
      </c>
      <c r="F238" s="62" t="s">
        <v>46</v>
      </c>
      <c r="G238" s="63" t="s">
        <v>46</v>
      </c>
      <c r="H238" s="64"/>
      <c r="I238" s="64" t="s">
        <v>47</v>
      </c>
      <c r="J238" s="65">
        <v>10</v>
      </c>
      <c r="K238" s="66">
        <f>1100</f>
        <v>1100</v>
      </c>
      <c r="L238" s="67" t="s">
        <v>853</v>
      </c>
      <c r="M238" s="66">
        <f>1177</f>
        <v>1177</v>
      </c>
      <c r="N238" s="67" t="s">
        <v>856</v>
      </c>
      <c r="O238" s="66">
        <f>1068</f>
        <v>1068</v>
      </c>
      <c r="P238" s="67" t="s">
        <v>858</v>
      </c>
      <c r="Q238" s="66">
        <f>1177</f>
        <v>1177</v>
      </c>
      <c r="R238" s="67" t="s">
        <v>856</v>
      </c>
      <c r="S238" s="68">
        <f>1118.33</f>
        <v>1118.33</v>
      </c>
      <c r="T238" s="65">
        <f>170180</f>
        <v>170180</v>
      </c>
      <c r="U238" s="65">
        <f>10</f>
        <v>10</v>
      </c>
      <c r="V238" s="65">
        <f>197357490</f>
        <v>197357490</v>
      </c>
      <c r="W238" s="65">
        <f>11080</f>
        <v>11080</v>
      </c>
      <c r="X238" s="69">
        <f>15</f>
        <v>15</v>
      </c>
    </row>
    <row r="239" spans="1:24">
      <c r="A239" s="60" t="s">
        <v>852</v>
      </c>
      <c r="B239" s="60" t="s">
        <v>762</v>
      </c>
      <c r="C239" s="60" t="s">
        <v>763</v>
      </c>
      <c r="D239" s="60" t="s">
        <v>764</v>
      </c>
      <c r="E239" s="61" t="s">
        <v>46</v>
      </c>
      <c r="F239" s="62" t="s">
        <v>46</v>
      </c>
      <c r="G239" s="63" t="s">
        <v>46</v>
      </c>
      <c r="H239" s="64"/>
      <c r="I239" s="64" t="s">
        <v>47</v>
      </c>
      <c r="J239" s="65">
        <v>10</v>
      </c>
      <c r="K239" s="66">
        <f>1085</f>
        <v>1085</v>
      </c>
      <c r="L239" s="67" t="s">
        <v>853</v>
      </c>
      <c r="M239" s="66">
        <f>1185</f>
        <v>1185</v>
      </c>
      <c r="N239" s="67" t="s">
        <v>855</v>
      </c>
      <c r="O239" s="66">
        <f>1071</f>
        <v>1071</v>
      </c>
      <c r="P239" s="67" t="s">
        <v>858</v>
      </c>
      <c r="Q239" s="66">
        <f>1140</f>
        <v>1140</v>
      </c>
      <c r="R239" s="67" t="s">
        <v>240</v>
      </c>
      <c r="S239" s="68">
        <f>1125.89</f>
        <v>1125.8900000000001</v>
      </c>
      <c r="T239" s="65">
        <f>32810</f>
        <v>32810</v>
      </c>
      <c r="U239" s="65" t="str">
        <f>"－"</f>
        <v>－</v>
      </c>
      <c r="V239" s="65">
        <f>37357850</f>
        <v>37357850</v>
      </c>
      <c r="W239" s="65" t="str">
        <f>"－"</f>
        <v>－</v>
      </c>
      <c r="X239" s="69">
        <f>18</f>
        <v>18</v>
      </c>
    </row>
    <row r="240" spans="1:24">
      <c r="A240" s="60" t="s">
        <v>852</v>
      </c>
      <c r="B240" s="60" t="s">
        <v>765</v>
      </c>
      <c r="C240" s="60" t="s">
        <v>766</v>
      </c>
      <c r="D240" s="60" t="s">
        <v>767</v>
      </c>
      <c r="E240" s="61" t="s">
        <v>46</v>
      </c>
      <c r="F240" s="62" t="s">
        <v>46</v>
      </c>
      <c r="G240" s="63" t="s">
        <v>46</v>
      </c>
      <c r="H240" s="64"/>
      <c r="I240" s="64" t="s">
        <v>47</v>
      </c>
      <c r="J240" s="65">
        <v>1</v>
      </c>
      <c r="K240" s="66">
        <f>975</f>
        <v>975</v>
      </c>
      <c r="L240" s="67" t="s">
        <v>853</v>
      </c>
      <c r="M240" s="66">
        <f>1065</f>
        <v>1065</v>
      </c>
      <c r="N240" s="67" t="s">
        <v>855</v>
      </c>
      <c r="O240" s="66">
        <f>975</f>
        <v>975</v>
      </c>
      <c r="P240" s="67" t="s">
        <v>853</v>
      </c>
      <c r="Q240" s="66">
        <f>1030</f>
        <v>1030</v>
      </c>
      <c r="R240" s="67" t="s">
        <v>240</v>
      </c>
      <c r="S240" s="68">
        <f>1036.78</f>
        <v>1036.78</v>
      </c>
      <c r="T240" s="65">
        <f>34916</f>
        <v>34916</v>
      </c>
      <c r="U240" s="65" t="str">
        <f>"－"</f>
        <v>－</v>
      </c>
      <c r="V240" s="65">
        <f>36459183</f>
        <v>36459183</v>
      </c>
      <c r="W240" s="65" t="str">
        <f>"－"</f>
        <v>－</v>
      </c>
      <c r="X240" s="69">
        <f>18</f>
        <v>18</v>
      </c>
    </row>
    <row r="241" spans="1:24">
      <c r="A241" s="60" t="s">
        <v>852</v>
      </c>
      <c r="B241" s="60" t="s">
        <v>768</v>
      </c>
      <c r="C241" s="60" t="s">
        <v>769</v>
      </c>
      <c r="D241" s="60" t="s">
        <v>770</v>
      </c>
      <c r="E241" s="61" t="s">
        <v>46</v>
      </c>
      <c r="F241" s="62" t="s">
        <v>46</v>
      </c>
      <c r="G241" s="63" t="s">
        <v>46</v>
      </c>
      <c r="H241" s="64"/>
      <c r="I241" s="64" t="s">
        <v>47</v>
      </c>
      <c r="J241" s="65">
        <v>1</v>
      </c>
      <c r="K241" s="66">
        <f>13900</f>
        <v>13900</v>
      </c>
      <c r="L241" s="67" t="s">
        <v>853</v>
      </c>
      <c r="M241" s="66">
        <f>15300</f>
        <v>15300</v>
      </c>
      <c r="N241" s="67" t="s">
        <v>100</v>
      </c>
      <c r="O241" s="66">
        <f>13650</f>
        <v>13650</v>
      </c>
      <c r="P241" s="67" t="s">
        <v>240</v>
      </c>
      <c r="Q241" s="66">
        <f>14100</f>
        <v>14100</v>
      </c>
      <c r="R241" s="67" t="s">
        <v>240</v>
      </c>
      <c r="S241" s="68">
        <f>14581.11</f>
        <v>14581.11</v>
      </c>
      <c r="T241" s="65">
        <f>4606</f>
        <v>4606</v>
      </c>
      <c r="U241" s="65" t="str">
        <f>"－"</f>
        <v>－</v>
      </c>
      <c r="V241" s="65">
        <f>67229350</f>
        <v>67229350</v>
      </c>
      <c r="W241" s="65" t="str">
        <f>"－"</f>
        <v>－</v>
      </c>
      <c r="X241" s="69">
        <f>18</f>
        <v>18</v>
      </c>
    </row>
    <row r="242" spans="1:24">
      <c r="A242" s="60" t="s">
        <v>852</v>
      </c>
      <c r="B242" s="60" t="s">
        <v>771</v>
      </c>
      <c r="C242" s="60" t="s">
        <v>772</v>
      </c>
      <c r="D242" s="60" t="s">
        <v>773</v>
      </c>
      <c r="E242" s="61" t="s">
        <v>46</v>
      </c>
      <c r="F242" s="62" t="s">
        <v>46</v>
      </c>
      <c r="G242" s="63" t="s">
        <v>46</v>
      </c>
      <c r="H242" s="64"/>
      <c r="I242" s="64" t="s">
        <v>47</v>
      </c>
      <c r="J242" s="65">
        <v>1</v>
      </c>
      <c r="K242" s="66">
        <f>1961</f>
        <v>1961</v>
      </c>
      <c r="L242" s="67" t="s">
        <v>853</v>
      </c>
      <c r="M242" s="66">
        <f>2247</f>
        <v>2247</v>
      </c>
      <c r="N242" s="67" t="s">
        <v>176</v>
      </c>
      <c r="O242" s="66">
        <f>1947</f>
        <v>1947</v>
      </c>
      <c r="P242" s="67" t="s">
        <v>857</v>
      </c>
      <c r="Q242" s="66">
        <f>2100</f>
        <v>2100</v>
      </c>
      <c r="R242" s="67" t="s">
        <v>240</v>
      </c>
      <c r="S242" s="68">
        <f>2033.06</f>
        <v>2033.06</v>
      </c>
      <c r="T242" s="65">
        <f>25669</f>
        <v>25669</v>
      </c>
      <c r="U242" s="65" t="str">
        <f>"－"</f>
        <v>－</v>
      </c>
      <c r="V242" s="65">
        <f>51434152</f>
        <v>51434152</v>
      </c>
      <c r="W242" s="65" t="str">
        <f>"－"</f>
        <v>－</v>
      </c>
      <c r="X242" s="69">
        <f>18</f>
        <v>18</v>
      </c>
    </row>
    <row r="243" spans="1:24">
      <c r="A243" s="60" t="s">
        <v>852</v>
      </c>
      <c r="B243" s="60" t="s">
        <v>774</v>
      </c>
      <c r="C243" s="60" t="s">
        <v>775</v>
      </c>
      <c r="D243" s="60" t="s">
        <v>776</v>
      </c>
      <c r="E243" s="61" t="s">
        <v>46</v>
      </c>
      <c r="F243" s="62" t="s">
        <v>46</v>
      </c>
      <c r="G243" s="63" t="s">
        <v>46</v>
      </c>
      <c r="H243" s="64"/>
      <c r="I243" s="64" t="s">
        <v>47</v>
      </c>
      <c r="J243" s="65">
        <v>10</v>
      </c>
      <c r="K243" s="66">
        <f>1427</f>
        <v>1427</v>
      </c>
      <c r="L243" s="67" t="s">
        <v>853</v>
      </c>
      <c r="M243" s="66">
        <f>1705</f>
        <v>1705</v>
      </c>
      <c r="N243" s="67" t="s">
        <v>100</v>
      </c>
      <c r="O243" s="66">
        <f>1381</f>
        <v>1381</v>
      </c>
      <c r="P243" s="67" t="s">
        <v>48</v>
      </c>
      <c r="Q243" s="66">
        <f>1519</f>
        <v>1519</v>
      </c>
      <c r="R243" s="67" t="s">
        <v>240</v>
      </c>
      <c r="S243" s="68">
        <f>1486.22</f>
        <v>1486.22</v>
      </c>
      <c r="T243" s="65">
        <f>9870</f>
        <v>9870</v>
      </c>
      <c r="U243" s="65" t="str">
        <f>"－"</f>
        <v>－</v>
      </c>
      <c r="V243" s="65">
        <f>15155060</f>
        <v>15155060</v>
      </c>
      <c r="W243" s="65" t="str">
        <f>"－"</f>
        <v>－</v>
      </c>
      <c r="X243" s="69">
        <f>18</f>
        <v>18</v>
      </c>
    </row>
    <row r="244" spans="1:24">
      <c r="A244" s="60" t="s">
        <v>852</v>
      </c>
      <c r="B244" s="60" t="s">
        <v>777</v>
      </c>
      <c r="C244" s="60" t="s">
        <v>778</v>
      </c>
      <c r="D244" s="60" t="s">
        <v>779</v>
      </c>
      <c r="E244" s="61" t="s">
        <v>46</v>
      </c>
      <c r="F244" s="62" t="s">
        <v>46</v>
      </c>
      <c r="G244" s="63" t="s">
        <v>46</v>
      </c>
      <c r="H244" s="64"/>
      <c r="I244" s="64" t="s">
        <v>47</v>
      </c>
      <c r="J244" s="65">
        <v>10</v>
      </c>
      <c r="K244" s="66">
        <f>1028</f>
        <v>1028</v>
      </c>
      <c r="L244" s="67" t="s">
        <v>853</v>
      </c>
      <c r="M244" s="66">
        <f>1032</f>
        <v>1032</v>
      </c>
      <c r="N244" s="67" t="s">
        <v>131</v>
      </c>
      <c r="O244" s="66">
        <f>1011</f>
        <v>1011</v>
      </c>
      <c r="P244" s="67" t="s">
        <v>240</v>
      </c>
      <c r="Q244" s="66">
        <f>1014</f>
        <v>1014</v>
      </c>
      <c r="R244" s="67" t="s">
        <v>240</v>
      </c>
      <c r="S244" s="68">
        <f>1026</f>
        <v>1026</v>
      </c>
      <c r="T244" s="65">
        <f>760310</f>
        <v>760310</v>
      </c>
      <c r="U244" s="65">
        <f>503160</f>
        <v>503160</v>
      </c>
      <c r="V244" s="65">
        <f>780876475</f>
        <v>780876475</v>
      </c>
      <c r="W244" s="65">
        <f>517069255</f>
        <v>517069255</v>
      </c>
      <c r="X244" s="69">
        <f>18</f>
        <v>18</v>
      </c>
    </row>
    <row r="245" spans="1:24">
      <c r="A245" s="60" t="s">
        <v>852</v>
      </c>
      <c r="B245" s="60" t="s">
        <v>780</v>
      </c>
      <c r="C245" s="60" t="s">
        <v>781</v>
      </c>
      <c r="D245" s="60" t="s">
        <v>782</v>
      </c>
      <c r="E245" s="61" t="s">
        <v>46</v>
      </c>
      <c r="F245" s="62" t="s">
        <v>46</v>
      </c>
      <c r="G245" s="63" t="s">
        <v>46</v>
      </c>
      <c r="H245" s="64"/>
      <c r="I245" s="64" t="s">
        <v>47</v>
      </c>
      <c r="J245" s="65">
        <v>10</v>
      </c>
      <c r="K245" s="66">
        <f>1876</f>
        <v>1876</v>
      </c>
      <c r="L245" s="67" t="s">
        <v>853</v>
      </c>
      <c r="M245" s="66">
        <f>2030</f>
        <v>2030</v>
      </c>
      <c r="N245" s="67" t="s">
        <v>176</v>
      </c>
      <c r="O245" s="66">
        <f>1850</f>
        <v>1850</v>
      </c>
      <c r="P245" s="67" t="s">
        <v>858</v>
      </c>
      <c r="Q245" s="66">
        <f>1970</f>
        <v>1970</v>
      </c>
      <c r="R245" s="67" t="s">
        <v>240</v>
      </c>
      <c r="S245" s="68">
        <f>1938.72</f>
        <v>1938.72</v>
      </c>
      <c r="T245" s="65">
        <f>1205480</f>
        <v>1205480</v>
      </c>
      <c r="U245" s="65">
        <f>380000</f>
        <v>380000</v>
      </c>
      <c r="V245" s="65">
        <f>2334675350</f>
        <v>2334675350</v>
      </c>
      <c r="W245" s="65">
        <f>735383600</f>
        <v>735383600</v>
      </c>
      <c r="X245" s="69">
        <f>18</f>
        <v>18</v>
      </c>
    </row>
    <row r="246" spans="1:24">
      <c r="A246" s="60" t="s">
        <v>852</v>
      </c>
      <c r="B246" s="60" t="s">
        <v>783</v>
      </c>
      <c r="C246" s="60" t="s">
        <v>784</v>
      </c>
      <c r="D246" s="60" t="s">
        <v>785</v>
      </c>
      <c r="E246" s="61" t="s">
        <v>46</v>
      </c>
      <c r="F246" s="62" t="s">
        <v>46</v>
      </c>
      <c r="G246" s="63" t="s">
        <v>46</v>
      </c>
      <c r="H246" s="64"/>
      <c r="I246" s="64" t="s">
        <v>47</v>
      </c>
      <c r="J246" s="65">
        <v>10</v>
      </c>
      <c r="K246" s="66">
        <f>1875</f>
        <v>1875</v>
      </c>
      <c r="L246" s="67" t="s">
        <v>853</v>
      </c>
      <c r="M246" s="66">
        <f>2067</f>
        <v>2067</v>
      </c>
      <c r="N246" s="67" t="s">
        <v>855</v>
      </c>
      <c r="O246" s="66">
        <f>1847</f>
        <v>1847</v>
      </c>
      <c r="P246" s="67" t="s">
        <v>858</v>
      </c>
      <c r="Q246" s="66">
        <f>1969</f>
        <v>1969</v>
      </c>
      <c r="R246" s="67" t="s">
        <v>240</v>
      </c>
      <c r="S246" s="68">
        <f>1949.67</f>
        <v>1949.67</v>
      </c>
      <c r="T246" s="65">
        <f>306120</f>
        <v>306120</v>
      </c>
      <c r="U246" s="65">
        <f>40230</f>
        <v>40230</v>
      </c>
      <c r="V246" s="65">
        <f>600507550</f>
        <v>600507550</v>
      </c>
      <c r="W246" s="65">
        <f>80247790</f>
        <v>80247790</v>
      </c>
      <c r="X246" s="69">
        <f>18</f>
        <v>18</v>
      </c>
    </row>
    <row r="247" spans="1:24">
      <c r="A247" s="60" t="s">
        <v>852</v>
      </c>
      <c r="B247" s="60" t="s">
        <v>786</v>
      </c>
      <c r="C247" s="60" t="s">
        <v>787</v>
      </c>
      <c r="D247" s="60" t="s">
        <v>788</v>
      </c>
      <c r="E247" s="61" t="s">
        <v>46</v>
      </c>
      <c r="F247" s="62" t="s">
        <v>46</v>
      </c>
      <c r="G247" s="63" t="s">
        <v>46</v>
      </c>
      <c r="H247" s="64"/>
      <c r="I247" s="64" t="s">
        <v>47</v>
      </c>
      <c r="J247" s="65">
        <v>10</v>
      </c>
      <c r="K247" s="66">
        <f>1823</f>
        <v>1823</v>
      </c>
      <c r="L247" s="67" t="s">
        <v>853</v>
      </c>
      <c r="M247" s="66">
        <f>1976</f>
        <v>1976</v>
      </c>
      <c r="N247" s="67" t="s">
        <v>854</v>
      </c>
      <c r="O247" s="66">
        <f>1823</f>
        <v>1823</v>
      </c>
      <c r="P247" s="67" t="s">
        <v>853</v>
      </c>
      <c r="Q247" s="66">
        <f>1868</f>
        <v>1868</v>
      </c>
      <c r="R247" s="67" t="s">
        <v>240</v>
      </c>
      <c r="S247" s="68">
        <f>1926.69</f>
        <v>1926.69</v>
      </c>
      <c r="T247" s="65">
        <f>124790</f>
        <v>124790</v>
      </c>
      <c r="U247" s="65" t="str">
        <f>"－"</f>
        <v>－</v>
      </c>
      <c r="V247" s="65">
        <f>239507990</f>
        <v>239507990</v>
      </c>
      <c r="W247" s="65" t="str">
        <f>"－"</f>
        <v>－</v>
      </c>
      <c r="X247" s="69">
        <f>13</f>
        <v>13</v>
      </c>
    </row>
    <row r="248" spans="1:24">
      <c r="A248" s="60" t="s">
        <v>852</v>
      </c>
      <c r="B248" s="60" t="s">
        <v>789</v>
      </c>
      <c r="C248" s="60" t="s">
        <v>790</v>
      </c>
      <c r="D248" s="60" t="s">
        <v>791</v>
      </c>
      <c r="E248" s="61" t="s">
        <v>46</v>
      </c>
      <c r="F248" s="62" t="s">
        <v>46</v>
      </c>
      <c r="G248" s="63" t="s">
        <v>46</v>
      </c>
      <c r="H248" s="64"/>
      <c r="I248" s="64" t="s">
        <v>47</v>
      </c>
      <c r="J248" s="65">
        <v>1</v>
      </c>
      <c r="K248" s="66">
        <f>11040</f>
        <v>11040</v>
      </c>
      <c r="L248" s="67" t="s">
        <v>853</v>
      </c>
      <c r="M248" s="66">
        <f>11980</f>
        <v>11980</v>
      </c>
      <c r="N248" s="67" t="s">
        <v>854</v>
      </c>
      <c r="O248" s="66">
        <f>11030</f>
        <v>11030</v>
      </c>
      <c r="P248" s="67" t="s">
        <v>853</v>
      </c>
      <c r="Q248" s="66">
        <f>11580</f>
        <v>11580</v>
      </c>
      <c r="R248" s="67" t="s">
        <v>240</v>
      </c>
      <c r="S248" s="68">
        <f>11703.89</f>
        <v>11703.89</v>
      </c>
      <c r="T248" s="65">
        <f>192129</f>
        <v>192129</v>
      </c>
      <c r="U248" s="65">
        <f>36101</f>
        <v>36101</v>
      </c>
      <c r="V248" s="65">
        <f>2252518262</f>
        <v>2252518262</v>
      </c>
      <c r="W248" s="65">
        <f>428739972</f>
        <v>428739972</v>
      </c>
      <c r="X248" s="69">
        <f>18</f>
        <v>18</v>
      </c>
    </row>
    <row r="249" spans="1:24">
      <c r="A249" s="60" t="s">
        <v>852</v>
      </c>
      <c r="B249" s="60" t="s">
        <v>792</v>
      </c>
      <c r="C249" s="60" t="s">
        <v>793</v>
      </c>
      <c r="D249" s="60" t="s">
        <v>794</v>
      </c>
      <c r="E249" s="61" t="s">
        <v>46</v>
      </c>
      <c r="F249" s="62" t="s">
        <v>46</v>
      </c>
      <c r="G249" s="63" t="s">
        <v>46</v>
      </c>
      <c r="H249" s="64"/>
      <c r="I249" s="64" t="s">
        <v>47</v>
      </c>
      <c r="J249" s="65">
        <v>1</v>
      </c>
      <c r="K249" s="66">
        <f>10960</f>
        <v>10960</v>
      </c>
      <c r="L249" s="67" t="s">
        <v>853</v>
      </c>
      <c r="M249" s="66">
        <f>12050</f>
        <v>12050</v>
      </c>
      <c r="N249" s="67" t="s">
        <v>854</v>
      </c>
      <c r="O249" s="66">
        <f>10940</f>
        <v>10940</v>
      </c>
      <c r="P249" s="67" t="s">
        <v>853</v>
      </c>
      <c r="Q249" s="66">
        <f>11550</f>
        <v>11550</v>
      </c>
      <c r="R249" s="67" t="s">
        <v>240</v>
      </c>
      <c r="S249" s="68">
        <f>11668.33</f>
        <v>11668.33</v>
      </c>
      <c r="T249" s="65">
        <f>106307</f>
        <v>106307</v>
      </c>
      <c r="U249" s="65">
        <f>17000</f>
        <v>17000</v>
      </c>
      <c r="V249" s="65">
        <f>1245758620</f>
        <v>1245758620</v>
      </c>
      <c r="W249" s="65">
        <f>201402400</f>
        <v>201402400</v>
      </c>
      <c r="X249" s="69">
        <f>18</f>
        <v>18</v>
      </c>
    </row>
    <row r="250" spans="1:24">
      <c r="A250" s="60" t="s">
        <v>852</v>
      </c>
      <c r="B250" s="60" t="s">
        <v>795</v>
      </c>
      <c r="C250" s="60" t="s">
        <v>796</v>
      </c>
      <c r="D250" s="60" t="s">
        <v>797</v>
      </c>
      <c r="E250" s="61" t="s">
        <v>46</v>
      </c>
      <c r="F250" s="62" t="s">
        <v>46</v>
      </c>
      <c r="G250" s="63" t="s">
        <v>46</v>
      </c>
      <c r="H250" s="64"/>
      <c r="I250" s="64" t="s">
        <v>47</v>
      </c>
      <c r="J250" s="65">
        <v>1</v>
      </c>
      <c r="K250" s="66">
        <f>24040</f>
        <v>24040</v>
      </c>
      <c r="L250" s="67" t="s">
        <v>853</v>
      </c>
      <c r="M250" s="66">
        <f>26300</f>
        <v>26300</v>
      </c>
      <c r="N250" s="67" t="s">
        <v>854</v>
      </c>
      <c r="O250" s="66">
        <f>24040</f>
        <v>24040</v>
      </c>
      <c r="P250" s="67" t="s">
        <v>853</v>
      </c>
      <c r="Q250" s="66">
        <f>24950</f>
        <v>24950</v>
      </c>
      <c r="R250" s="67" t="s">
        <v>240</v>
      </c>
      <c r="S250" s="68">
        <f>25418.33</f>
        <v>25418.33</v>
      </c>
      <c r="T250" s="65">
        <f>201</f>
        <v>201</v>
      </c>
      <c r="U250" s="65" t="str">
        <f>"－"</f>
        <v>－</v>
      </c>
      <c r="V250" s="65">
        <f>5049650</f>
        <v>5049650</v>
      </c>
      <c r="W250" s="65" t="str">
        <f>"－"</f>
        <v>－</v>
      </c>
      <c r="X250" s="69">
        <f>18</f>
        <v>18</v>
      </c>
    </row>
    <row r="251" spans="1:24">
      <c r="A251" s="60" t="s">
        <v>852</v>
      </c>
      <c r="B251" s="60" t="s">
        <v>798</v>
      </c>
      <c r="C251" s="60" t="s">
        <v>799</v>
      </c>
      <c r="D251" s="60" t="s">
        <v>800</v>
      </c>
      <c r="E251" s="61" t="s">
        <v>46</v>
      </c>
      <c r="F251" s="62" t="s">
        <v>46</v>
      </c>
      <c r="G251" s="63" t="s">
        <v>46</v>
      </c>
      <c r="H251" s="64"/>
      <c r="I251" s="64" t="s">
        <v>47</v>
      </c>
      <c r="J251" s="65">
        <v>1</v>
      </c>
      <c r="K251" s="66">
        <f>2717</f>
        <v>2717</v>
      </c>
      <c r="L251" s="67" t="s">
        <v>853</v>
      </c>
      <c r="M251" s="66">
        <f>2719</f>
        <v>2719</v>
      </c>
      <c r="N251" s="67" t="s">
        <v>84</v>
      </c>
      <c r="O251" s="66">
        <f>2680</f>
        <v>2680</v>
      </c>
      <c r="P251" s="67" t="s">
        <v>240</v>
      </c>
      <c r="Q251" s="66">
        <f>2685</f>
        <v>2685</v>
      </c>
      <c r="R251" s="67" t="s">
        <v>240</v>
      </c>
      <c r="S251" s="68">
        <f>2707</f>
        <v>2707</v>
      </c>
      <c r="T251" s="65">
        <f>1299815</f>
        <v>1299815</v>
      </c>
      <c r="U251" s="65">
        <f>1172476</f>
        <v>1172476</v>
      </c>
      <c r="V251" s="65">
        <f>3516990687</f>
        <v>3516990687</v>
      </c>
      <c r="W251" s="65">
        <f>3172855851</f>
        <v>3172855851</v>
      </c>
      <c r="X251" s="69">
        <f>18</f>
        <v>18</v>
      </c>
    </row>
    <row r="252" spans="1:24">
      <c r="A252" s="60" t="s">
        <v>852</v>
      </c>
      <c r="B252" s="60" t="s">
        <v>801</v>
      </c>
      <c r="C252" s="60" t="s">
        <v>802</v>
      </c>
      <c r="D252" s="60" t="s">
        <v>803</v>
      </c>
      <c r="E252" s="61" t="s">
        <v>46</v>
      </c>
      <c r="F252" s="62" t="s">
        <v>46</v>
      </c>
      <c r="G252" s="63" t="s">
        <v>46</v>
      </c>
      <c r="H252" s="64"/>
      <c r="I252" s="64" t="s">
        <v>47</v>
      </c>
      <c r="J252" s="65">
        <v>10</v>
      </c>
      <c r="K252" s="66">
        <f>2564</f>
        <v>2564</v>
      </c>
      <c r="L252" s="67" t="s">
        <v>853</v>
      </c>
      <c r="M252" s="66">
        <f>2768</f>
        <v>2768</v>
      </c>
      <c r="N252" s="67" t="s">
        <v>176</v>
      </c>
      <c r="O252" s="66">
        <f>2564</f>
        <v>2564</v>
      </c>
      <c r="P252" s="67" t="s">
        <v>853</v>
      </c>
      <c r="Q252" s="66">
        <f>2696</f>
        <v>2696</v>
      </c>
      <c r="R252" s="67" t="s">
        <v>240</v>
      </c>
      <c r="S252" s="68">
        <f>2693.67</f>
        <v>2693.67</v>
      </c>
      <c r="T252" s="65">
        <f>898070</f>
        <v>898070</v>
      </c>
      <c r="U252" s="65">
        <f>38200</f>
        <v>38200</v>
      </c>
      <c r="V252" s="65">
        <f>2421840530</f>
        <v>2421840530</v>
      </c>
      <c r="W252" s="65">
        <f>99915920</f>
        <v>99915920</v>
      </c>
      <c r="X252" s="69">
        <f>18</f>
        <v>18</v>
      </c>
    </row>
    <row r="253" spans="1:24">
      <c r="A253" s="60" t="s">
        <v>852</v>
      </c>
      <c r="B253" s="60" t="s">
        <v>804</v>
      </c>
      <c r="C253" s="60" t="s">
        <v>805</v>
      </c>
      <c r="D253" s="60" t="s">
        <v>806</v>
      </c>
      <c r="E253" s="61" t="s">
        <v>46</v>
      </c>
      <c r="F253" s="62" t="s">
        <v>46</v>
      </c>
      <c r="G253" s="63" t="s">
        <v>46</v>
      </c>
      <c r="H253" s="64"/>
      <c r="I253" s="64" t="s">
        <v>47</v>
      </c>
      <c r="J253" s="65">
        <v>1</v>
      </c>
      <c r="K253" s="66">
        <f>2386</f>
        <v>2386</v>
      </c>
      <c r="L253" s="67" t="s">
        <v>853</v>
      </c>
      <c r="M253" s="66">
        <f>2566</f>
        <v>2566</v>
      </c>
      <c r="N253" s="67" t="s">
        <v>854</v>
      </c>
      <c r="O253" s="66">
        <f>2386</f>
        <v>2386</v>
      </c>
      <c r="P253" s="67" t="s">
        <v>853</v>
      </c>
      <c r="Q253" s="66">
        <f>2466</f>
        <v>2466</v>
      </c>
      <c r="R253" s="67" t="s">
        <v>240</v>
      </c>
      <c r="S253" s="68">
        <f>2515.94</f>
        <v>2515.94</v>
      </c>
      <c r="T253" s="65">
        <f>2702033</f>
        <v>2702033</v>
      </c>
      <c r="U253" s="65">
        <f>2102200</f>
        <v>2102200</v>
      </c>
      <c r="V253" s="65">
        <f>6769290992</f>
        <v>6769290992</v>
      </c>
      <c r="W253" s="65">
        <f>5272284521</f>
        <v>5272284521</v>
      </c>
      <c r="X253" s="69">
        <f>18</f>
        <v>18</v>
      </c>
    </row>
    <row r="254" spans="1:24">
      <c r="A254" s="60" t="s">
        <v>852</v>
      </c>
      <c r="B254" s="60" t="s">
        <v>807</v>
      </c>
      <c r="C254" s="60" t="s">
        <v>808</v>
      </c>
      <c r="D254" s="60" t="s">
        <v>809</v>
      </c>
      <c r="E254" s="61" t="s">
        <v>46</v>
      </c>
      <c r="F254" s="62" t="s">
        <v>46</v>
      </c>
      <c r="G254" s="63" t="s">
        <v>46</v>
      </c>
      <c r="H254" s="64"/>
      <c r="I254" s="64" t="s">
        <v>47</v>
      </c>
      <c r="J254" s="65">
        <v>1</v>
      </c>
      <c r="K254" s="66">
        <f>1654</f>
        <v>1654</v>
      </c>
      <c r="L254" s="67" t="s">
        <v>853</v>
      </c>
      <c r="M254" s="66">
        <f>1854</f>
        <v>1854</v>
      </c>
      <c r="N254" s="67" t="s">
        <v>100</v>
      </c>
      <c r="O254" s="66">
        <f>1654</f>
        <v>1654</v>
      </c>
      <c r="P254" s="67" t="s">
        <v>853</v>
      </c>
      <c r="Q254" s="66">
        <f>1801</f>
        <v>1801</v>
      </c>
      <c r="R254" s="67" t="s">
        <v>240</v>
      </c>
      <c r="S254" s="68">
        <f>1770.11</f>
        <v>1770.11</v>
      </c>
      <c r="T254" s="65">
        <f>81397</f>
        <v>81397</v>
      </c>
      <c r="U254" s="65" t="str">
        <f>"－"</f>
        <v>－</v>
      </c>
      <c r="V254" s="65">
        <f>144052556</f>
        <v>144052556</v>
      </c>
      <c r="W254" s="65" t="str">
        <f>"－"</f>
        <v>－</v>
      </c>
      <c r="X254" s="69">
        <f>18</f>
        <v>18</v>
      </c>
    </row>
    <row r="255" spans="1:24">
      <c r="A255" s="60" t="s">
        <v>852</v>
      </c>
      <c r="B255" s="60" t="s">
        <v>810</v>
      </c>
      <c r="C255" s="60" t="s">
        <v>811</v>
      </c>
      <c r="D255" s="60" t="s">
        <v>812</v>
      </c>
      <c r="E255" s="61" t="s">
        <v>46</v>
      </c>
      <c r="F255" s="62" t="s">
        <v>46</v>
      </c>
      <c r="G255" s="63" t="s">
        <v>46</v>
      </c>
      <c r="H255" s="64"/>
      <c r="I255" s="64" t="s">
        <v>47</v>
      </c>
      <c r="J255" s="65">
        <v>1</v>
      </c>
      <c r="K255" s="66">
        <f>1069</f>
        <v>1069</v>
      </c>
      <c r="L255" s="67" t="s">
        <v>853</v>
      </c>
      <c r="M255" s="66">
        <f>1122</f>
        <v>1122</v>
      </c>
      <c r="N255" s="67" t="s">
        <v>855</v>
      </c>
      <c r="O255" s="66">
        <f>1047</f>
        <v>1047</v>
      </c>
      <c r="P255" s="67" t="s">
        <v>48</v>
      </c>
      <c r="Q255" s="66">
        <f>1062</f>
        <v>1062</v>
      </c>
      <c r="R255" s="67" t="s">
        <v>240</v>
      </c>
      <c r="S255" s="68">
        <f>1077.44</f>
        <v>1077.44</v>
      </c>
      <c r="T255" s="65">
        <f>1230526</f>
        <v>1230526</v>
      </c>
      <c r="U255" s="65">
        <f>370900</f>
        <v>370900</v>
      </c>
      <c r="V255" s="65">
        <f>1346577471</f>
        <v>1346577471</v>
      </c>
      <c r="W255" s="65">
        <f>409922293</f>
        <v>409922293</v>
      </c>
      <c r="X255" s="69">
        <f>18</f>
        <v>18</v>
      </c>
    </row>
    <row r="256" spans="1:24">
      <c r="A256" s="60" t="s">
        <v>852</v>
      </c>
      <c r="B256" s="60" t="s">
        <v>813</v>
      </c>
      <c r="C256" s="60" t="s">
        <v>814</v>
      </c>
      <c r="D256" s="60" t="s">
        <v>815</v>
      </c>
      <c r="E256" s="61" t="s">
        <v>46</v>
      </c>
      <c r="F256" s="62" t="s">
        <v>46</v>
      </c>
      <c r="G256" s="63" t="s">
        <v>46</v>
      </c>
      <c r="H256" s="64"/>
      <c r="I256" s="64" t="s">
        <v>47</v>
      </c>
      <c r="J256" s="65">
        <v>10</v>
      </c>
      <c r="K256" s="66">
        <f>1035</f>
        <v>1035</v>
      </c>
      <c r="L256" s="67" t="s">
        <v>853</v>
      </c>
      <c r="M256" s="66">
        <f>1147</f>
        <v>1147</v>
      </c>
      <c r="N256" s="67" t="s">
        <v>240</v>
      </c>
      <c r="O256" s="66">
        <f>1023</f>
        <v>1023</v>
      </c>
      <c r="P256" s="67" t="s">
        <v>858</v>
      </c>
      <c r="Q256" s="66">
        <f>1088</f>
        <v>1088</v>
      </c>
      <c r="R256" s="67" t="s">
        <v>240</v>
      </c>
      <c r="S256" s="68">
        <f>1071.67</f>
        <v>1071.67</v>
      </c>
      <c r="T256" s="65">
        <f>47850</f>
        <v>47850</v>
      </c>
      <c r="U256" s="65" t="str">
        <f>"－"</f>
        <v>－</v>
      </c>
      <c r="V256" s="65">
        <f>51837940</f>
        <v>51837940</v>
      </c>
      <c r="W256" s="65" t="str">
        <f>"－"</f>
        <v>－</v>
      </c>
      <c r="X256" s="69">
        <f>18</f>
        <v>18</v>
      </c>
    </row>
    <row r="257" spans="1:24">
      <c r="A257" s="60" t="s">
        <v>852</v>
      </c>
      <c r="B257" s="60" t="s">
        <v>816</v>
      </c>
      <c r="C257" s="60" t="s">
        <v>817</v>
      </c>
      <c r="D257" s="60" t="s">
        <v>818</v>
      </c>
      <c r="E257" s="61" t="s">
        <v>46</v>
      </c>
      <c r="F257" s="62" t="s">
        <v>46</v>
      </c>
      <c r="G257" s="63" t="s">
        <v>46</v>
      </c>
      <c r="H257" s="64"/>
      <c r="I257" s="64" t="s">
        <v>47</v>
      </c>
      <c r="J257" s="65">
        <v>10</v>
      </c>
      <c r="K257" s="66">
        <f>244</f>
        <v>244</v>
      </c>
      <c r="L257" s="67" t="s">
        <v>853</v>
      </c>
      <c r="M257" s="66">
        <f>264</f>
        <v>264</v>
      </c>
      <c r="N257" s="67" t="s">
        <v>855</v>
      </c>
      <c r="O257" s="66">
        <f>237</f>
        <v>237</v>
      </c>
      <c r="P257" s="67" t="s">
        <v>853</v>
      </c>
      <c r="Q257" s="66">
        <f>251</f>
        <v>251</v>
      </c>
      <c r="R257" s="67" t="s">
        <v>240</v>
      </c>
      <c r="S257" s="68">
        <f>251.72</f>
        <v>251.72</v>
      </c>
      <c r="T257" s="65">
        <f>101710</f>
        <v>101710</v>
      </c>
      <c r="U257" s="65" t="str">
        <f>"－"</f>
        <v>－</v>
      </c>
      <c r="V257" s="65">
        <f>25591900</f>
        <v>25591900</v>
      </c>
      <c r="W257" s="65" t="str">
        <f>"－"</f>
        <v>－</v>
      </c>
      <c r="X257" s="69">
        <f>18</f>
        <v>18</v>
      </c>
    </row>
    <row r="258" spans="1:24">
      <c r="A258" s="60" t="s">
        <v>852</v>
      </c>
      <c r="B258" s="60" t="s">
        <v>819</v>
      </c>
      <c r="C258" s="60" t="s">
        <v>820</v>
      </c>
      <c r="D258" s="60" t="s">
        <v>821</v>
      </c>
      <c r="E258" s="61" t="s">
        <v>46</v>
      </c>
      <c r="F258" s="62" t="s">
        <v>46</v>
      </c>
      <c r="G258" s="63" t="s">
        <v>46</v>
      </c>
      <c r="H258" s="64"/>
      <c r="I258" s="64" t="s">
        <v>47</v>
      </c>
      <c r="J258" s="65">
        <v>10</v>
      </c>
      <c r="K258" s="66">
        <f>2309</f>
        <v>2309</v>
      </c>
      <c r="L258" s="67" t="s">
        <v>853</v>
      </c>
      <c r="M258" s="66">
        <f>2529</f>
        <v>2529</v>
      </c>
      <c r="N258" s="67" t="s">
        <v>854</v>
      </c>
      <c r="O258" s="66">
        <f>2306</f>
        <v>2306</v>
      </c>
      <c r="P258" s="67" t="s">
        <v>853</v>
      </c>
      <c r="Q258" s="66">
        <f>2324</f>
        <v>2324</v>
      </c>
      <c r="R258" s="67" t="s">
        <v>240</v>
      </c>
      <c r="S258" s="68">
        <f>2451</f>
        <v>2451</v>
      </c>
      <c r="T258" s="65">
        <f>2288730</f>
        <v>2288730</v>
      </c>
      <c r="U258" s="65">
        <f>244300</f>
        <v>244300</v>
      </c>
      <c r="V258" s="65">
        <f>5588980817</f>
        <v>5588980817</v>
      </c>
      <c r="W258" s="65">
        <f>601410667</f>
        <v>601410667</v>
      </c>
      <c r="X258" s="69">
        <f>18</f>
        <v>18</v>
      </c>
    </row>
    <row r="259" spans="1:24">
      <c r="A259" s="60" t="s">
        <v>852</v>
      </c>
      <c r="B259" s="60" t="s">
        <v>822</v>
      </c>
      <c r="C259" s="60" t="s">
        <v>823</v>
      </c>
      <c r="D259" s="60" t="s">
        <v>824</v>
      </c>
      <c r="E259" s="61" t="s">
        <v>46</v>
      </c>
      <c r="F259" s="62" t="s">
        <v>46</v>
      </c>
      <c r="G259" s="63" t="s">
        <v>46</v>
      </c>
      <c r="H259" s="64"/>
      <c r="I259" s="64" t="s">
        <v>47</v>
      </c>
      <c r="J259" s="65">
        <v>10</v>
      </c>
      <c r="K259" s="66">
        <f>2303</f>
        <v>2303</v>
      </c>
      <c r="L259" s="67" t="s">
        <v>853</v>
      </c>
      <c r="M259" s="66">
        <f>2504</f>
        <v>2504</v>
      </c>
      <c r="N259" s="67" t="s">
        <v>854</v>
      </c>
      <c r="O259" s="66">
        <f>2282</f>
        <v>2282</v>
      </c>
      <c r="P259" s="67" t="s">
        <v>240</v>
      </c>
      <c r="Q259" s="66">
        <f>2288</f>
        <v>2288</v>
      </c>
      <c r="R259" s="67" t="s">
        <v>240</v>
      </c>
      <c r="S259" s="68">
        <f>2431.39</f>
        <v>2431.39</v>
      </c>
      <c r="T259" s="65">
        <f>2983470</f>
        <v>2983470</v>
      </c>
      <c r="U259" s="65">
        <f>969000</f>
        <v>969000</v>
      </c>
      <c r="V259" s="65">
        <f>7231375840</f>
        <v>7231375840</v>
      </c>
      <c r="W259" s="65">
        <f>2347590980</f>
        <v>2347590980</v>
      </c>
      <c r="X259" s="69">
        <f>18</f>
        <v>18</v>
      </c>
    </row>
    <row r="260" spans="1:24">
      <c r="A260" s="60" t="s">
        <v>852</v>
      </c>
      <c r="B260" s="60" t="s">
        <v>825</v>
      </c>
      <c r="C260" s="60" t="s">
        <v>826</v>
      </c>
      <c r="D260" s="60" t="s">
        <v>827</v>
      </c>
      <c r="E260" s="61" t="s">
        <v>46</v>
      </c>
      <c r="F260" s="62" t="s">
        <v>46</v>
      </c>
      <c r="G260" s="63" t="s">
        <v>46</v>
      </c>
      <c r="H260" s="64"/>
      <c r="I260" s="64" t="s">
        <v>47</v>
      </c>
      <c r="J260" s="65">
        <v>1</v>
      </c>
      <c r="K260" s="66">
        <f>2481</f>
        <v>2481</v>
      </c>
      <c r="L260" s="67" t="s">
        <v>853</v>
      </c>
      <c r="M260" s="66">
        <f>2521</f>
        <v>2521</v>
      </c>
      <c r="N260" s="67" t="s">
        <v>613</v>
      </c>
      <c r="O260" s="66">
        <f>2478</f>
        <v>2478</v>
      </c>
      <c r="P260" s="67" t="s">
        <v>860</v>
      </c>
      <c r="Q260" s="66">
        <f>2515</f>
        <v>2515</v>
      </c>
      <c r="R260" s="67" t="s">
        <v>240</v>
      </c>
      <c r="S260" s="68">
        <f>2498.39</f>
        <v>2498.39</v>
      </c>
      <c r="T260" s="65">
        <f>12025</f>
        <v>12025</v>
      </c>
      <c r="U260" s="65" t="str">
        <f>"－"</f>
        <v>－</v>
      </c>
      <c r="V260" s="65">
        <f>30007569</f>
        <v>30007569</v>
      </c>
      <c r="W260" s="65" t="str">
        <f>"－"</f>
        <v>－</v>
      </c>
      <c r="X260" s="69">
        <f>18</f>
        <v>18</v>
      </c>
    </row>
    <row r="261" spans="1:24">
      <c r="A261" s="60" t="s">
        <v>852</v>
      </c>
      <c r="B261" s="60" t="s">
        <v>828</v>
      </c>
      <c r="C261" s="60" t="s">
        <v>829</v>
      </c>
      <c r="D261" s="60" t="s">
        <v>830</v>
      </c>
      <c r="E261" s="61" t="s">
        <v>46</v>
      </c>
      <c r="F261" s="62" t="s">
        <v>46</v>
      </c>
      <c r="G261" s="63" t="s">
        <v>46</v>
      </c>
      <c r="H261" s="64"/>
      <c r="I261" s="64" t="s">
        <v>47</v>
      </c>
      <c r="J261" s="65">
        <v>1</v>
      </c>
      <c r="K261" s="66">
        <f>2346</f>
        <v>2346</v>
      </c>
      <c r="L261" s="67" t="s">
        <v>853</v>
      </c>
      <c r="M261" s="66">
        <f>2346</f>
        <v>2346</v>
      </c>
      <c r="N261" s="67" t="s">
        <v>853</v>
      </c>
      <c r="O261" s="66">
        <f>2125</f>
        <v>2125</v>
      </c>
      <c r="P261" s="67" t="s">
        <v>240</v>
      </c>
      <c r="Q261" s="66">
        <f>2148</f>
        <v>2148</v>
      </c>
      <c r="R261" s="67" t="s">
        <v>240</v>
      </c>
      <c r="S261" s="68">
        <f>2261.61</f>
        <v>2261.61</v>
      </c>
      <c r="T261" s="65">
        <f>759950</f>
        <v>759950</v>
      </c>
      <c r="U261" s="65">
        <f>440000</f>
        <v>440000</v>
      </c>
      <c r="V261" s="65">
        <f>1723713331</f>
        <v>1723713331</v>
      </c>
      <c r="W261" s="65">
        <f>1009228000</f>
        <v>1009228000</v>
      </c>
      <c r="X261" s="69">
        <f>18</f>
        <v>18</v>
      </c>
    </row>
    <row r="262" spans="1:24">
      <c r="A262" s="60" t="s">
        <v>852</v>
      </c>
      <c r="B262" s="60" t="s">
        <v>831</v>
      </c>
      <c r="C262" s="60" t="s">
        <v>832</v>
      </c>
      <c r="D262" s="60" t="s">
        <v>833</v>
      </c>
      <c r="E262" s="61" t="s">
        <v>46</v>
      </c>
      <c r="F262" s="62" t="s">
        <v>46</v>
      </c>
      <c r="G262" s="63" t="s">
        <v>46</v>
      </c>
      <c r="H262" s="64"/>
      <c r="I262" s="64" t="s">
        <v>47</v>
      </c>
      <c r="J262" s="65">
        <v>1</v>
      </c>
      <c r="K262" s="66">
        <f>2562</f>
        <v>2562</v>
      </c>
      <c r="L262" s="67" t="s">
        <v>853</v>
      </c>
      <c r="M262" s="66">
        <f>2625</f>
        <v>2625</v>
      </c>
      <c r="N262" s="67" t="s">
        <v>69</v>
      </c>
      <c r="O262" s="66">
        <f>2469</f>
        <v>2469</v>
      </c>
      <c r="P262" s="67" t="s">
        <v>240</v>
      </c>
      <c r="Q262" s="66">
        <f>2485</f>
        <v>2485</v>
      </c>
      <c r="R262" s="67" t="s">
        <v>240</v>
      </c>
      <c r="S262" s="68">
        <f>2552.56</f>
        <v>2552.56</v>
      </c>
      <c r="T262" s="65">
        <f>1707</f>
        <v>1707</v>
      </c>
      <c r="U262" s="65" t="str">
        <f>"－"</f>
        <v>－</v>
      </c>
      <c r="V262" s="65">
        <f>4359753</f>
        <v>4359753</v>
      </c>
      <c r="W262" s="65" t="str">
        <f>"－"</f>
        <v>－</v>
      </c>
      <c r="X262" s="69">
        <f>18</f>
        <v>18</v>
      </c>
    </row>
    <row r="263" spans="1:24">
      <c r="A263" s="60" t="s">
        <v>852</v>
      </c>
      <c r="B263" s="60" t="s">
        <v>834</v>
      </c>
      <c r="C263" s="60" t="s">
        <v>835</v>
      </c>
      <c r="D263" s="60" t="s">
        <v>836</v>
      </c>
      <c r="E263" s="61" t="s">
        <v>46</v>
      </c>
      <c r="F263" s="62" t="s">
        <v>46</v>
      </c>
      <c r="G263" s="63" t="s">
        <v>46</v>
      </c>
      <c r="H263" s="64"/>
      <c r="I263" s="64" t="s">
        <v>47</v>
      </c>
      <c r="J263" s="65">
        <v>1</v>
      </c>
      <c r="K263" s="66">
        <f>2538</f>
        <v>2538</v>
      </c>
      <c r="L263" s="67" t="s">
        <v>857</v>
      </c>
      <c r="M263" s="66">
        <f>2553</f>
        <v>2553</v>
      </c>
      <c r="N263" s="67" t="s">
        <v>860</v>
      </c>
      <c r="O263" s="66">
        <f>2499</f>
        <v>2499</v>
      </c>
      <c r="P263" s="67" t="s">
        <v>240</v>
      </c>
      <c r="Q263" s="66">
        <f>2499</f>
        <v>2499</v>
      </c>
      <c r="R263" s="67" t="s">
        <v>240</v>
      </c>
      <c r="S263" s="68">
        <f>2526.73</f>
        <v>2526.73</v>
      </c>
      <c r="T263" s="65">
        <f>3082</f>
        <v>3082</v>
      </c>
      <c r="U263" s="65" t="str">
        <f>"－"</f>
        <v>－</v>
      </c>
      <c r="V263" s="65">
        <f>7787761</f>
        <v>7787761</v>
      </c>
      <c r="W263" s="65" t="str">
        <f>"－"</f>
        <v>－</v>
      </c>
      <c r="X263" s="69">
        <f>15</f>
        <v>15</v>
      </c>
    </row>
    <row r="264" spans="1:24">
      <c r="A264" s="60" t="s">
        <v>852</v>
      </c>
      <c r="B264" s="60" t="s">
        <v>837</v>
      </c>
      <c r="C264" s="60" t="s">
        <v>838</v>
      </c>
      <c r="D264" s="60" t="s">
        <v>839</v>
      </c>
      <c r="E264" s="61" t="s">
        <v>46</v>
      </c>
      <c r="F264" s="62" t="s">
        <v>46</v>
      </c>
      <c r="G264" s="63" t="s">
        <v>46</v>
      </c>
      <c r="H264" s="64"/>
      <c r="I264" s="64" t="s">
        <v>47</v>
      </c>
      <c r="J264" s="65">
        <v>1</v>
      </c>
      <c r="K264" s="66">
        <f>2768</f>
        <v>2768</v>
      </c>
      <c r="L264" s="67" t="s">
        <v>853</v>
      </c>
      <c r="M264" s="66">
        <f>3070</f>
        <v>3070</v>
      </c>
      <c r="N264" s="67" t="s">
        <v>854</v>
      </c>
      <c r="O264" s="66">
        <f>2768</f>
        <v>2768</v>
      </c>
      <c r="P264" s="67" t="s">
        <v>853</v>
      </c>
      <c r="Q264" s="66">
        <f>2906</f>
        <v>2906</v>
      </c>
      <c r="R264" s="67" t="s">
        <v>240</v>
      </c>
      <c r="S264" s="68">
        <f>2947.44</f>
        <v>2947.44</v>
      </c>
      <c r="T264" s="65">
        <f>28604</f>
        <v>28604</v>
      </c>
      <c r="U264" s="65" t="str">
        <f>"－"</f>
        <v>－</v>
      </c>
      <c r="V264" s="65">
        <f>82824044</f>
        <v>82824044</v>
      </c>
      <c r="W264" s="65" t="str">
        <f>"－"</f>
        <v>－</v>
      </c>
      <c r="X264" s="69">
        <f>18</f>
        <v>18</v>
      </c>
    </row>
    <row r="265" spans="1:24">
      <c r="A265" s="60" t="s">
        <v>852</v>
      </c>
      <c r="B265" s="60" t="s">
        <v>840</v>
      </c>
      <c r="C265" s="60" t="s">
        <v>841</v>
      </c>
      <c r="D265" s="60" t="s">
        <v>842</v>
      </c>
      <c r="E265" s="61" t="s">
        <v>46</v>
      </c>
      <c r="F265" s="62" t="s">
        <v>46</v>
      </c>
      <c r="G265" s="63" t="s">
        <v>46</v>
      </c>
      <c r="H265" s="64"/>
      <c r="I265" s="64" t="s">
        <v>47</v>
      </c>
      <c r="J265" s="65">
        <v>1</v>
      </c>
      <c r="K265" s="66">
        <f>1805</f>
        <v>1805</v>
      </c>
      <c r="L265" s="67" t="s">
        <v>853</v>
      </c>
      <c r="M265" s="66">
        <f>1976</f>
        <v>1976</v>
      </c>
      <c r="N265" s="67" t="s">
        <v>854</v>
      </c>
      <c r="O265" s="66">
        <f>1805</f>
        <v>1805</v>
      </c>
      <c r="P265" s="67" t="s">
        <v>853</v>
      </c>
      <c r="Q265" s="66">
        <f>1865</f>
        <v>1865</v>
      </c>
      <c r="R265" s="67" t="s">
        <v>240</v>
      </c>
      <c r="S265" s="68">
        <f>1912.89</f>
        <v>1912.89</v>
      </c>
      <c r="T265" s="65">
        <f>108278</f>
        <v>108278</v>
      </c>
      <c r="U265" s="65" t="str">
        <f>"－"</f>
        <v>－</v>
      </c>
      <c r="V265" s="65">
        <f>208488545</f>
        <v>208488545</v>
      </c>
      <c r="W265" s="65" t="str">
        <f>"－"</f>
        <v>－</v>
      </c>
      <c r="X265" s="69">
        <f>18</f>
        <v>18</v>
      </c>
    </row>
    <row r="266" spans="1:24">
      <c r="A266" s="60" t="s">
        <v>852</v>
      </c>
      <c r="B266" s="60" t="s">
        <v>843</v>
      </c>
      <c r="C266" s="60" t="s">
        <v>844</v>
      </c>
      <c r="D266" s="60" t="s">
        <v>845</v>
      </c>
      <c r="E266" s="61" t="s">
        <v>46</v>
      </c>
      <c r="F266" s="62" t="s">
        <v>46</v>
      </c>
      <c r="G266" s="63" t="s">
        <v>46</v>
      </c>
      <c r="H266" s="64"/>
      <c r="I266" s="64" t="s">
        <v>47</v>
      </c>
      <c r="J266" s="65">
        <v>1</v>
      </c>
      <c r="K266" s="66">
        <f>2056</f>
        <v>2056</v>
      </c>
      <c r="L266" s="67" t="s">
        <v>853</v>
      </c>
      <c r="M266" s="66">
        <f>2203</f>
        <v>2203</v>
      </c>
      <c r="N266" s="67" t="s">
        <v>854</v>
      </c>
      <c r="O266" s="66">
        <f>2021</f>
        <v>2021</v>
      </c>
      <c r="P266" s="67" t="s">
        <v>853</v>
      </c>
      <c r="Q266" s="66">
        <f>2055</f>
        <v>2055</v>
      </c>
      <c r="R266" s="67" t="s">
        <v>240</v>
      </c>
      <c r="S266" s="68">
        <f>2127.39</f>
        <v>2127.39</v>
      </c>
      <c r="T266" s="65">
        <f>580894</f>
        <v>580894</v>
      </c>
      <c r="U266" s="65" t="str">
        <f>"－"</f>
        <v>－</v>
      </c>
      <c r="V266" s="65">
        <f>1231663061</f>
        <v>1231663061</v>
      </c>
      <c r="W266" s="65" t="str">
        <f>"－"</f>
        <v>－</v>
      </c>
      <c r="X266" s="69">
        <f>18</f>
        <v>18</v>
      </c>
    </row>
    <row r="267" spans="1:24">
      <c r="A267" s="60" t="s">
        <v>852</v>
      </c>
      <c r="B267" s="60" t="s">
        <v>849</v>
      </c>
      <c r="C267" s="60" t="s">
        <v>850</v>
      </c>
      <c r="D267" s="60" t="s">
        <v>851</v>
      </c>
      <c r="E267" s="61" t="s">
        <v>46</v>
      </c>
      <c r="F267" s="62" t="s">
        <v>46</v>
      </c>
      <c r="G267" s="63" t="s">
        <v>46</v>
      </c>
      <c r="H267" s="64"/>
      <c r="I267" s="64" t="s">
        <v>47</v>
      </c>
      <c r="J267" s="65">
        <v>1</v>
      </c>
      <c r="K267" s="66">
        <f>2111</f>
        <v>2111</v>
      </c>
      <c r="L267" s="67" t="s">
        <v>853</v>
      </c>
      <c r="M267" s="66">
        <f>2323</f>
        <v>2323</v>
      </c>
      <c r="N267" s="67" t="s">
        <v>854</v>
      </c>
      <c r="O267" s="66">
        <f>2111</f>
        <v>2111</v>
      </c>
      <c r="P267" s="67" t="s">
        <v>853</v>
      </c>
      <c r="Q267" s="66">
        <f>2167</f>
        <v>2167</v>
      </c>
      <c r="R267" s="67" t="s">
        <v>240</v>
      </c>
      <c r="S267" s="68">
        <f>2234.89</f>
        <v>2234.89</v>
      </c>
      <c r="T267" s="65">
        <f>463534</f>
        <v>463534</v>
      </c>
      <c r="U267" s="65">
        <f>75010</f>
        <v>75010</v>
      </c>
      <c r="V267" s="65">
        <f>1031645602</f>
        <v>1031645602</v>
      </c>
      <c r="W267" s="65">
        <f>166222185</f>
        <v>166222185</v>
      </c>
      <c r="X267" s="69">
        <f>18</f>
        <v>18</v>
      </c>
    </row>
    <row r="268" spans="1:24">
      <c r="A268" s="60" t="s">
        <v>852</v>
      </c>
      <c r="B268" s="60" t="s">
        <v>861</v>
      </c>
      <c r="C268" s="60" t="s">
        <v>862</v>
      </c>
      <c r="D268" s="60" t="s">
        <v>863</v>
      </c>
      <c r="E268" s="61" t="s">
        <v>846</v>
      </c>
      <c r="F268" s="62" t="s">
        <v>847</v>
      </c>
      <c r="G268" s="63" t="s">
        <v>864</v>
      </c>
      <c r="H268" s="64"/>
      <c r="I268" s="64" t="s">
        <v>47</v>
      </c>
      <c r="J268" s="65">
        <v>1</v>
      </c>
      <c r="K268" s="66">
        <f>10220</f>
        <v>10220</v>
      </c>
      <c r="L268" s="67" t="s">
        <v>176</v>
      </c>
      <c r="M268" s="66">
        <f>10220</f>
        <v>10220</v>
      </c>
      <c r="N268" s="67" t="s">
        <v>176</v>
      </c>
      <c r="O268" s="66">
        <f>9840</f>
        <v>9840</v>
      </c>
      <c r="P268" s="67" t="s">
        <v>240</v>
      </c>
      <c r="Q268" s="66">
        <f>9840</f>
        <v>9840</v>
      </c>
      <c r="R268" s="67" t="s">
        <v>240</v>
      </c>
      <c r="S268" s="68">
        <f>10000</f>
        <v>10000</v>
      </c>
      <c r="T268" s="65">
        <f>1189</f>
        <v>1189</v>
      </c>
      <c r="U268" s="65" t="str">
        <f>"－"</f>
        <v>－</v>
      </c>
      <c r="V268" s="65">
        <f>11882590</f>
        <v>11882590</v>
      </c>
      <c r="W268" s="65" t="str">
        <f>"－"</f>
        <v>－</v>
      </c>
      <c r="X268" s="69">
        <f>2</f>
        <v>2</v>
      </c>
    </row>
    <row r="269" spans="1:24">
      <c r="A269" s="60" t="s">
        <v>852</v>
      </c>
      <c r="B269" s="60" t="s">
        <v>865</v>
      </c>
      <c r="C269" s="60" t="s">
        <v>866</v>
      </c>
      <c r="D269" s="60" t="s">
        <v>867</v>
      </c>
      <c r="E269" s="61" t="s">
        <v>846</v>
      </c>
      <c r="F269" s="62" t="s">
        <v>847</v>
      </c>
      <c r="G269" s="63" t="s">
        <v>864</v>
      </c>
      <c r="H269" s="64"/>
      <c r="I269" s="64" t="s">
        <v>47</v>
      </c>
      <c r="J269" s="65">
        <v>1</v>
      </c>
      <c r="K269" s="66">
        <f>10240</f>
        <v>10240</v>
      </c>
      <c r="L269" s="67" t="s">
        <v>176</v>
      </c>
      <c r="M269" s="66">
        <f>10240</f>
        <v>10240</v>
      </c>
      <c r="N269" s="67" t="s">
        <v>176</v>
      </c>
      <c r="O269" s="66">
        <f>9690</f>
        <v>9690</v>
      </c>
      <c r="P269" s="67" t="s">
        <v>240</v>
      </c>
      <c r="Q269" s="66">
        <f>9730</f>
        <v>9730</v>
      </c>
      <c r="R269" s="67" t="s">
        <v>240</v>
      </c>
      <c r="S269" s="68">
        <f>9960</f>
        <v>9960</v>
      </c>
      <c r="T269" s="65">
        <f>33498</f>
        <v>33498</v>
      </c>
      <c r="U269" s="65" t="str">
        <f>"－"</f>
        <v>－</v>
      </c>
      <c r="V269" s="65">
        <f>333401620</f>
        <v>333401620</v>
      </c>
      <c r="W269" s="65" t="str">
        <f>"－"</f>
        <v>－</v>
      </c>
      <c r="X269" s="69">
        <f>2</f>
        <v>2</v>
      </c>
    </row>
    <row r="270" spans="1:24">
      <c r="A270" s="60" t="s">
        <v>852</v>
      </c>
      <c r="B270" s="60" t="s">
        <v>868</v>
      </c>
      <c r="C270" s="60" t="s">
        <v>869</v>
      </c>
      <c r="D270" s="60" t="s">
        <v>870</v>
      </c>
      <c r="E270" s="61" t="s">
        <v>846</v>
      </c>
      <c r="F270" s="62" t="s">
        <v>847</v>
      </c>
      <c r="G270" s="63" t="s">
        <v>864</v>
      </c>
      <c r="H270" s="64"/>
      <c r="I270" s="64" t="s">
        <v>47</v>
      </c>
      <c r="J270" s="65">
        <v>1</v>
      </c>
      <c r="K270" s="66">
        <f>10190</f>
        <v>10190</v>
      </c>
      <c r="L270" s="67" t="s">
        <v>176</v>
      </c>
      <c r="M270" s="66">
        <f>10190</f>
        <v>10190</v>
      </c>
      <c r="N270" s="67" t="s">
        <v>176</v>
      </c>
      <c r="O270" s="66">
        <f>9630</f>
        <v>9630</v>
      </c>
      <c r="P270" s="67" t="s">
        <v>240</v>
      </c>
      <c r="Q270" s="66">
        <f>9660</f>
        <v>9660</v>
      </c>
      <c r="R270" s="67" t="s">
        <v>240</v>
      </c>
      <c r="S270" s="68">
        <f>9900</f>
        <v>9900</v>
      </c>
      <c r="T270" s="65">
        <f>2776</f>
        <v>2776</v>
      </c>
      <c r="U270" s="65" t="str">
        <f>"－"</f>
        <v>－</v>
      </c>
      <c r="V270" s="65">
        <f>27166710</f>
        <v>27166710</v>
      </c>
      <c r="W270" s="65" t="str">
        <f>"－"</f>
        <v>－</v>
      </c>
      <c r="X270" s="69">
        <f>2</f>
        <v>2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267"/>
  <sheetViews>
    <sheetView showGridLines="0" view="pageBreakPreview" zoomScaleNormal="70" zoomScaleSheetLayoutView="100" workbookViewId="0">
      <pane ySplit="6" topLeftCell="A7" activePane="bottomLeft" state="frozen"/>
      <selection pane="bottomLeft"/>
    </sheetView>
  </sheetViews>
  <sheetFormatPr defaultColWidth="9" defaultRowHeight="13.2"/>
  <cols>
    <col min="1" max="1" width="13.109375" style="1" bestFit="1" customWidth="1"/>
    <col min="2" max="2" width="10.77734375" style="1" bestFit="1" customWidth="1"/>
    <col min="3" max="4" width="27.6640625" style="1" customWidth="1"/>
    <col min="5" max="5" width="13.77734375" style="3" bestFit="1" customWidth="1"/>
    <col min="6" max="6" width="20.77734375" style="3" bestFit="1" customWidth="1"/>
    <col min="7" max="7" width="11.21875" style="3" customWidth="1"/>
    <col min="8" max="8" width="8.77734375" style="1" bestFit="1" customWidth="1"/>
    <col min="9" max="9" width="11.77734375" style="1" bestFit="1" customWidth="1"/>
    <col min="10" max="10" width="12.6640625" style="1" bestFit="1" customWidth="1"/>
    <col min="11" max="11" width="16.21875" style="1" customWidth="1"/>
    <col min="12" max="12" width="5.6640625" style="1" bestFit="1" customWidth="1"/>
    <col min="13" max="13" width="16.21875" style="1" customWidth="1"/>
    <col min="14" max="14" width="5.6640625" style="1" bestFit="1" customWidth="1"/>
    <col min="15" max="15" width="16.21875" style="1" customWidth="1"/>
    <col min="16" max="16" width="5.6640625" style="1" bestFit="1" customWidth="1"/>
    <col min="17" max="17" width="16.21875" style="1" customWidth="1"/>
    <col min="18" max="18" width="5.6640625" style="1" bestFit="1" customWidth="1"/>
    <col min="19" max="19" width="23.88671875" style="1" bestFit="1" customWidth="1"/>
    <col min="20" max="20" width="16.21875" style="1" customWidth="1"/>
    <col min="21" max="21" width="24.109375" style="1" customWidth="1"/>
    <col min="22" max="22" width="19.88671875" style="1" bestFit="1" customWidth="1"/>
    <col min="23" max="23" width="25" style="1" bestFit="1" customWidth="1"/>
    <col min="24" max="24" width="13.109375" style="1" bestFit="1" customWidth="1"/>
    <col min="25" max="16384" width="9" style="1"/>
  </cols>
  <sheetData>
    <row r="1" spans="1:24" ht="13.5" customHeight="1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80" t="s">
        <v>22</v>
      </c>
      <c r="O1" s="80"/>
      <c r="P1" s="80"/>
      <c r="Q1" s="80"/>
      <c r="R1" s="80"/>
      <c r="S1" s="80"/>
      <c r="T1" s="80"/>
      <c r="U1" s="80"/>
      <c r="V1" s="80"/>
      <c r="W1" s="80"/>
      <c r="X1" s="81"/>
    </row>
    <row r="2" spans="1:24" ht="99" customHeight="1">
      <c r="A2" s="86" t="s">
        <v>23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2"/>
      <c r="O2" s="82"/>
      <c r="P2" s="82"/>
      <c r="Q2" s="82"/>
      <c r="R2" s="82"/>
      <c r="S2" s="82"/>
      <c r="T2" s="82"/>
      <c r="U2" s="82"/>
      <c r="V2" s="82"/>
      <c r="W2" s="82"/>
      <c r="X2" s="83"/>
    </row>
    <row r="3" spans="1:24" ht="39" customHeight="1">
      <c r="A3" s="88" t="s">
        <v>24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4"/>
      <c r="O3" s="84"/>
      <c r="P3" s="84"/>
      <c r="Q3" s="84"/>
      <c r="R3" s="84"/>
      <c r="S3" s="84"/>
      <c r="T3" s="84"/>
      <c r="U3" s="84"/>
      <c r="V3" s="84"/>
      <c r="W3" s="84"/>
      <c r="X3" s="85"/>
    </row>
    <row r="4" spans="1:24" s="2" customFormat="1" ht="13.5" customHeight="1">
      <c r="A4" s="7" t="s">
        <v>25</v>
      </c>
      <c r="B4" s="7" t="s">
        <v>0</v>
      </c>
      <c r="C4" s="7"/>
      <c r="D4" s="7"/>
      <c r="E4" s="8"/>
      <c r="F4" s="9"/>
      <c r="G4" s="10" t="s">
        <v>2</v>
      </c>
      <c r="H4" s="7" t="s">
        <v>26</v>
      </c>
      <c r="I4" s="7" t="s">
        <v>3</v>
      </c>
      <c r="J4" s="7" t="s">
        <v>4</v>
      </c>
      <c r="K4" s="11" t="s">
        <v>5</v>
      </c>
      <c r="L4" s="10" t="s">
        <v>2</v>
      </c>
      <c r="M4" s="11" t="s">
        <v>6</v>
      </c>
      <c r="N4" s="10" t="s">
        <v>2</v>
      </c>
      <c r="O4" s="11" t="s">
        <v>7</v>
      </c>
      <c r="P4" s="10" t="s">
        <v>2</v>
      </c>
      <c r="Q4" s="11" t="s">
        <v>8</v>
      </c>
      <c r="R4" s="10" t="s">
        <v>2</v>
      </c>
      <c r="S4" s="7" t="s">
        <v>9</v>
      </c>
      <c r="T4" s="7" t="s">
        <v>10</v>
      </c>
      <c r="U4" s="12" t="s">
        <v>11</v>
      </c>
      <c r="V4" s="7" t="s">
        <v>12</v>
      </c>
      <c r="W4" s="7" t="s">
        <v>13</v>
      </c>
      <c r="X4" s="7" t="s">
        <v>14</v>
      </c>
    </row>
    <row r="5" spans="1:24">
      <c r="A5" s="13" t="s">
        <v>27</v>
      </c>
      <c r="B5" s="13" t="s">
        <v>28</v>
      </c>
      <c r="C5" s="13" t="s">
        <v>29</v>
      </c>
      <c r="D5" s="13" t="s">
        <v>1</v>
      </c>
      <c r="E5" s="14" t="s">
        <v>30</v>
      </c>
      <c r="F5" s="15" t="s">
        <v>31</v>
      </c>
      <c r="G5" s="16" t="s">
        <v>32</v>
      </c>
      <c r="H5" s="17" t="s">
        <v>33</v>
      </c>
      <c r="I5" s="17" t="s">
        <v>15</v>
      </c>
      <c r="J5" s="17" t="s">
        <v>34</v>
      </c>
      <c r="K5" s="18" t="s">
        <v>16</v>
      </c>
      <c r="L5" s="16" t="s">
        <v>32</v>
      </c>
      <c r="M5" s="18" t="s">
        <v>35</v>
      </c>
      <c r="N5" s="16" t="s">
        <v>32</v>
      </c>
      <c r="O5" s="18" t="s">
        <v>17</v>
      </c>
      <c r="P5" s="16" t="s">
        <v>32</v>
      </c>
      <c r="Q5" s="18" t="s">
        <v>18</v>
      </c>
      <c r="R5" s="16" t="s">
        <v>32</v>
      </c>
      <c r="S5" s="19" t="s">
        <v>36</v>
      </c>
      <c r="T5" s="19" t="s">
        <v>19</v>
      </c>
      <c r="U5" s="13" t="s">
        <v>37</v>
      </c>
      <c r="V5" s="19" t="s">
        <v>20</v>
      </c>
      <c r="W5" s="19" t="s">
        <v>38</v>
      </c>
      <c r="X5" s="19" t="s">
        <v>39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40</v>
      </c>
      <c r="K6" s="25" t="s">
        <v>41</v>
      </c>
      <c r="L6" s="26"/>
      <c r="M6" s="25" t="s">
        <v>41</v>
      </c>
      <c r="N6" s="26"/>
      <c r="O6" s="25" t="s">
        <v>41</v>
      </c>
      <c r="P6" s="26"/>
      <c r="Q6" s="25" t="s">
        <v>41</v>
      </c>
      <c r="R6" s="26"/>
      <c r="S6" s="25" t="s">
        <v>41</v>
      </c>
      <c r="T6" s="24" t="s">
        <v>21</v>
      </c>
      <c r="U6" s="24" t="s">
        <v>21</v>
      </c>
      <c r="V6" s="25" t="s">
        <v>41</v>
      </c>
      <c r="W6" s="25" t="s">
        <v>41</v>
      </c>
      <c r="X6" s="24"/>
    </row>
    <row r="7" spans="1:24" s="28" customFormat="1" ht="13.5" customHeight="1">
      <c r="A7" s="29" t="s">
        <v>42</v>
      </c>
      <c r="B7" s="29" t="s">
        <v>43</v>
      </c>
      <c r="C7" s="29" t="s">
        <v>44</v>
      </c>
      <c r="D7" s="29" t="s">
        <v>45</v>
      </c>
      <c r="E7" s="30" t="s">
        <v>46</v>
      </c>
      <c r="F7" s="31" t="s">
        <v>46</v>
      </c>
      <c r="G7" s="32" t="s">
        <v>46</v>
      </c>
      <c r="H7" s="27"/>
      <c r="I7" s="27" t="s">
        <v>47</v>
      </c>
      <c r="J7" s="33">
        <v>10</v>
      </c>
      <c r="K7" s="37">
        <f>1905</f>
        <v>1905</v>
      </c>
      <c r="L7" s="34" t="s">
        <v>48</v>
      </c>
      <c r="M7" s="37">
        <f>1982</f>
        <v>1982</v>
      </c>
      <c r="N7" s="34" t="s">
        <v>49</v>
      </c>
      <c r="O7" s="37">
        <f>1868</f>
        <v>1868</v>
      </c>
      <c r="P7" s="34" t="s">
        <v>48</v>
      </c>
      <c r="Q7" s="37">
        <f>1904</f>
        <v>1904</v>
      </c>
      <c r="R7" s="34" t="s">
        <v>50</v>
      </c>
      <c r="S7" s="36">
        <f>1937.05</f>
        <v>1937.05</v>
      </c>
      <c r="T7" s="33">
        <f>3993890</f>
        <v>3993890</v>
      </c>
      <c r="U7" s="33">
        <f>50</f>
        <v>50</v>
      </c>
      <c r="V7" s="33">
        <f>7746352020</f>
        <v>7746352020</v>
      </c>
      <c r="W7" s="33">
        <f>95500</f>
        <v>95500</v>
      </c>
      <c r="X7" s="35">
        <f>19</f>
        <v>19</v>
      </c>
    </row>
    <row r="8" spans="1:24">
      <c r="A8" s="29" t="s">
        <v>42</v>
      </c>
      <c r="B8" s="29" t="s">
        <v>51</v>
      </c>
      <c r="C8" s="29" t="s">
        <v>52</v>
      </c>
      <c r="D8" s="29" t="s">
        <v>53</v>
      </c>
      <c r="E8" s="30" t="s">
        <v>46</v>
      </c>
      <c r="F8" s="31" t="s">
        <v>46</v>
      </c>
      <c r="G8" s="32" t="s">
        <v>46</v>
      </c>
      <c r="H8" s="27"/>
      <c r="I8" s="27" t="s">
        <v>47</v>
      </c>
      <c r="J8" s="33">
        <v>10</v>
      </c>
      <c r="K8" s="37">
        <f>1881</f>
        <v>1881</v>
      </c>
      <c r="L8" s="34" t="s">
        <v>48</v>
      </c>
      <c r="M8" s="37">
        <f>1963</f>
        <v>1963</v>
      </c>
      <c r="N8" s="34" t="s">
        <v>49</v>
      </c>
      <c r="O8" s="37">
        <f>1845</f>
        <v>1845</v>
      </c>
      <c r="P8" s="34" t="s">
        <v>48</v>
      </c>
      <c r="Q8" s="37">
        <f>1878</f>
        <v>1878</v>
      </c>
      <c r="R8" s="34" t="s">
        <v>50</v>
      </c>
      <c r="S8" s="36">
        <f>1914.95</f>
        <v>1914.95</v>
      </c>
      <c r="T8" s="33">
        <f>50891600</f>
        <v>50891600</v>
      </c>
      <c r="U8" s="33">
        <f>7543260</f>
        <v>7543260</v>
      </c>
      <c r="V8" s="33">
        <f>97755695354</f>
        <v>97755695354</v>
      </c>
      <c r="W8" s="33">
        <f>14565391634</f>
        <v>14565391634</v>
      </c>
      <c r="X8" s="35">
        <f>19</f>
        <v>19</v>
      </c>
    </row>
    <row r="9" spans="1:24">
      <c r="A9" s="29" t="s">
        <v>42</v>
      </c>
      <c r="B9" s="29" t="s">
        <v>54</v>
      </c>
      <c r="C9" s="29" t="s">
        <v>55</v>
      </c>
      <c r="D9" s="29" t="s">
        <v>56</v>
      </c>
      <c r="E9" s="30" t="s">
        <v>46</v>
      </c>
      <c r="F9" s="31" t="s">
        <v>46</v>
      </c>
      <c r="G9" s="32" t="s">
        <v>46</v>
      </c>
      <c r="H9" s="27"/>
      <c r="I9" s="27" t="s">
        <v>47</v>
      </c>
      <c r="J9" s="33">
        <v>100</v>
      </c>
      <c r="K9" s="37">
        <f>1863</f>
        <v>1863</v>
      </c>
      <c r="L9" s="34" t="s">
        <v>48</v>
      </c>
      <c r="M9" s="37">
        <f>1940</f>
        <v>1940</v>
      </c>
      <c r="N9" s="34" t="s">
        <v>49</v>
      </c>
      <c r="O9" s="37">
        <f>1827</f>
        <v>1827</v>
      </c>
      <c r="P9" s="34" t="s">
        <v>48</v>
      </c>
      <c r="Q9" s="37">
        <f>1860</f>
        <v>1860</v>
      </c>
      <c r="R9" s="34" t="s">
        <v>50</v>
      </c>
      <c r="S9" s="36">
        <f>1894.47</f>
        <v>1894.47</v>
      </c>
      <c r="T9" s="33">
        <f>7220600</f>
        <v>7220600</v>
      </c>
      <c r="U9" s="33">
        <f>2660100</f>
        <v>2660100</v>
      </c>
      <c r="V9" s="33">
        <f>13677015890</f>
        <v>13677015890</v>
      </c>
      <c r="W9" s="33">
        <f>5069454590</f>
        <v>5069454590</v>
      </c>
      <c r="X9" s="35">
        <f>19</f>
        <v>19</v>
      </c>
    </row>
    <row r="10" spans="1:24">
      <c r="A10" s="29" t="s">
        <v>42</v>
      </c>
      <c r="B10" s="29" t="s">
        <v>57</v>
      </c>
      <c r="C10" s="29" t="s">
        <v>58</v>
      </c>
      <c r="D10" s="29" t="s">
        <v>59</v>
      </c>
      <c r="E10" s="30" t="s">
        <v>46</v>
      </c>
      <c r="F10" s="31" t="s">
        <v>46</v>
      </c>
      <c r="G10" s="32" t="s">
        <v>46</v>
      </c>
      <c r="H10" s="27"/>
      <c r="I10" s="27" t="s">
        <v>47</v>
      </c>
      <c r="J10" s="33">
        <v>1</v>
      </c>
      <c r="K10" s="37">
        <f>43000</f>
        <v>43000</v>
      </c>
      <c r="L10" s="34" t="s">
        <v>48</v>
      </c>
      <c r="M10" s="37">
        <f>48000</f>
        <v>48000</v>
      </c>
      <c r="N10" s="34" t="s">
        <v>49</v>
      </c>
      <c r="O10" s="37">
        <f>42800</f>
        <v>42800</v>
      </c>
      <c r="P10" s="34" t="s">
        <v>48</v>
      </c>
      <c r="Q10" s="37">
        <f>45000</f>
        <v>45000</v>
      </c>
      <c r="R10" s="34" t="s">
        <v>50</v>
      </c>
      <c r="S10" s="36">
        <f>46005.26</f>
        <v>46005.26</v>
      </c>
      <c r="T10" s="33">
        <f>18121</f>
        <v>18121</v>
      </c>
      <c r="U10" s="33" t="str">
        <f>"－"</f>
        <v>－</v>
      </c>
      <c r="V10" s="33">
        <f>834391500</f>
        <v>834391500</v>
      </c>
      <c r="W10" s="33" t="str">
        <f>"－"</f>
        <v>－</v>
      </c>
      <c r="X10" s="35">
        <f>19</f>
        <v>19</v>
      </c>
    </row>
    <row r="11" spans="1:24">
      <c r="A11" s="29" t="s">
        <v>42</v>
      </c>
      <c r="B11" s="29" t="s">
        <v>60</v>
      </c>
      <c r="C11" s="29" t="s">
        <v>61</v>
      </c>
      <c r="D11" s="29" t="s">
        <v>62</v>
      </c>
      <c r="E11" s="30" t="s">
        <v>46</v>
      </c>
      <c r="F11" s="31" t="s">
        <v>46</v>
      </c>
      <c r="G11" s="32" t="s">
        <v>46</v>
      </c>
      <c r="H11" s="27"/>
      <c r="I11" s="27" t="s">
        <v>47</v>
      </c>
      <c r="J11" s="33">
        <v>10</v>
      </c>
      <c r="K11" s="37">
        <f>845</f>
        <v>845</v>
      </c>
      <c r="L11" s="34" t="s">
        <v>48</v>
      </c>
      <c r="M11" s="37">
        <f>878</f>
        <v>878</v>
      </c>
      <c r="N11" s="34" t="s">
        <v>49</v>
      </c>
      <c r="O11" s="37">
        <f>828</f>
        <v>828</v>
      </c>
      <c r="P11" s="34" t="s">
        <v>48</v>
      </c>
      <c r="Q11" s="37">
        <f>830</f>
        <v>830</v>
      </c>
      <c r="R11" s="34" t="s">
        <v>50</v>
      </c>
      <c r="S11" s="36">
        <f>856.05</f>
        <v>856.05</v>
      </c>
      <c r="T11" s="33">
        <f>158020</f>
        <v>158020</v>
      </c>
      <c r="U11" s="33" t="str">
        <f>"－"</f>
        <v>－</v>
      </c>
      <c r="V11" s="33">
        <f>135427830</f>
        <v>135427830</v>
      </c>
      <c r="W11" s="33" t="str">
        <f>"－"</f>
        <v>－</v>
      </c>
      <c r="X11" s="35">
        <f>19</f>
        <v>19</v>
      </c>
    </row>
    <row r="12" spans="1:24">
      <c r="A12" s="29" t="s">
        <v>42</v>
      </c>
      <c r="B12" s="29" t="s">
        <v>63</v>
      </c>
      <c r="C12" s="29" t="s">
        <v>64</v>
      </c>
      <c r="D12" s="29" t="s">
        <v>65</v>
      </c>
      <c r="E12" s="30" t="s">
        <v>46</v>
      </c>
      <c r="F12" s="31" t="s">
        <v>46</v>
      </c>
      <c r="G12" s="32" t="s">
        <v>46</v>
      </c>
      <c r="H12" s="27"/>
      <c r="I12" s="27" t="s">
        <v>47</v>
      </c>
      <c r="J12" s="33">
        <v>1</v>
      </c>
      <c r="K12" s="37">
        <f>20210</f>
        <v>20210</v>
      </c>
      <c r="L12" s="34" t="s">
        <v>48</v>
      </c>
      <c r="M12" s="37">
        <f>20840</f>
        <v>20840</v>
      </c>
      <c r="N12" s="34" t="s">
        <v>49</v>
      </c>
      <c r="O12" s="37">
        <f>19920</f>
        <v>19920</v>
      </c>
      <c r="P12" s="34" t="s">
        <v>48</v>
      </c>
      <c r="Q12" s="37">
        <f>20330</f>
        <v>20330</v>
      </c>
      <c r="R12" s="34" t="s">
        <v>50</v>
      </c>
      <c r="S12" s="36">
        <f>20463.16</f>
        <v>20463.16</v>
      </c>
      <c r="T12" s="33">
        <f>922</f>
        <v>922</v>
      </c>
      <c r="U12" s="33" t="str">
        <f>"－"</f>
        <v>－</v>
      </c>
      <c r="V12" s="33">
        <f>18786330</f>
        <v>18786330</v>
      </c>
      <c r="W12" s="33" t="str">
        <f>"－"</f>
        <v>－</v>
      </c>
      <c r="X12" s="35">
        <f>19</f>
        <v>19</v>
      </c>
    </row>
    <row r="13" spans="1:24">
      <c r="A13" s="29" t="s">
        <v>42</v>
      </c>
      <c r="B13" s="29" t="s">
        <v>66</v>
      </c>
      <c r="C13" s="29" t="s">
        <v>67</v>
      </c>
      <c r="D13" s="29" t="s">
        <v>68</v>
      </c>
      <c r="E13" s="30" t="s">
        <v>46</v>
      </c>
      <c r="F13" s="31" t="s">
        <v>46</v>
      </c>
      <c r="G13" s="32" t="s">
        <v>46</v>
      </c>
      <c r="H13" s="27"/>
      <c r="I13" s="27" t="s">
        <v>47</v>
      </c>
      <c r="J13" s="33">
        <v>10</v>
      </c>
      <c r="K13" s="37">
        <f>3980</f>
        <v>3980</v>
      </c>
      <c r="L13" s="34" t="s">
        <v>48</v>
      </c>
      <c r="M13" s="37">
        <f>4210</f>
        <v>4210</v>
      </c>
      <c r="N13" s="34" t="s">
        <v>69</v>
      </c>
      <c r="O13" s="37">
        <f>3755</f>
        <v>3755</v>
      </c>
      <c r="P13" s="34" t="s">
        <v>48</v>
      </c>
      <c r="Q13" s="37">
        <f>3910</f>
        <v>3910</v>
      </c>
      <c r="R13" s="34" t="s">
        <v>50</v>
      </c>
      <c r="S13" s="36">
        <f>4008.06</f>
        <v>4008.06</v>
      </c>
      <c r="T13" s="33">
        <f>13260</f>
        <v>13260</v>
      </c>
      <c r="U13" s="33" t="str">
        <f>"－"</f>
        <v>－</v>
      </c>
      <c r="V13" s="33">
        <f>53062500</f>
        <v>53062500</v>
      </c>
      <c r="W13" s="33" t="str">
        <f>"－"</f>
        <v>－</v>
      </c>
      <c r="X13" s="35">
        <f>18</f>
        <v>18</v>
      </c>
    </row>
    <row r="14" spans="1:24">
      <c r="A14" s="29" t="s">
        <v>42</v>
      </c>
      <c r="B14" s="29" t="s">
        <v>70</v>
      </c>
      <c r="C14" s="29" t="s">
        <v>71</v>
      </c>
      <c r="D14" s="29" t="s">
        <v>72</v>
      </c>
      <c r="E14" s="30" t="s">
        <v>46</v>
      </c>
      <c r="F14" s="31" t="s">
        <v>46</v>
      </c>
      <c r="G14" s="32" t="s">
        <v>46</v>
      </c>
      <c r="H14" s="27"/>
      <c r="I14" s="27" t="s">
        <v>47</v>
      </c>
      <c r="J14" s="33">
        <v>1000</v>
      </c>
      <c r="K14" s="37">
        <f>336</f>
        <v>336</v>
      </c>
      <c r="L14" s="34" t="s">
        <v>48</v>
      </c>
      <c r="M14" s="37">
        <f>357</f>
        <v>357</v>
      </c>
      <c r="N14" s="34" t="s">
        <v>73</v>
      </c>
      <c r="O14" s="37">
        <f>335</f>
        <v>335</v>
      </c>
      <c r="P14" s="34" t="s">
        <v>48</v>
      </c>
      <c r="Q14" s="37">
        <f>346</f>
        <v>346</v>
      </c>
      <c r="R14" s="34" t="s">
        <v>50</v>
      </c>
      <c r="S14" s="36">
        <f>347.42</f>
        <v>347.42</v>
      </c>
      <c r="T14" s="33">
        <f>138000</f>
        <v>138000</v>
      </c>
      <c r="U14" s="33">
        <f>1000</f>
        <v>1000</v>
      </c>
      <c r="V14" s="33">
        <f>47784000</f>
        <v>47784000</v>
      </c>
      <c r="W14" s="33">
        <f>356000</f>
        <v>356000</v>
      </c>
      <c r="X14" s="35">
        <f>19</f>
        <v>19</v>
      </c>
    </row>
    <row r="15" spans="1:24">
      <c r="A15" s="29" t="s">
        <v>42</v>
      </c>
      <c r="B15" s="29" t="s">
        <v>74</v>
      </c>
      <c r="C15" s="29" t="s">
        <v>75</v>
      </c>
      <c r="D15" s="29" t="s">
        <v>76</v>
      </c>
      <c r="E15" s="30" t="s">
        <v>46</v>
      </c>
      <c r="F15" s="31" t="s">
        <v>46</v>
      </c>
      <c r="G15" s="32" t="s">
        <v>46</v>
      </c>
      <c r="H15" s="27"/>
      <c r="I15" s="27" t="s">
        <v>47</v>
      </c>
      <c r="J15" s="33">
        <v>1</v>
      </c>
      <c r="K15" s="37">
        <f>28400</f>
        <v>28400</v>
      </c>
      <c r="L15" s="34" t="s">
        <v>48</v>
      </c>
      <c r="M15" s="37">
        <f>29820</f>
        <v>29820</v>
      </c>
      <c r="N15" s="34" t="s">
        <v>49</v>
      </c>
      <c r="O15" s="37">
        <f>27780</f>
        <v>27780</v>
      </c>
      <c r="P15" s="34" t="s">
        <v>77</v>
      </c>
      <c r="Q15" s="37">
        <f>28470</f>
        <v>28470</v>
      </c>
      <c r="R15" s="34" t="s">
        <v>50</v>
      </c>
      <c r="S15" s="36">
        <f>28994.74</f>
        <v>28994.74</v>
      </c>
      <c r="T15" s="33">
        <f>1129552</f>
        <v>1129552</v>
      </c>
      <c r="U15" s="33">
        <f>110250</f>
        <v>110250</v>
      </c>
      <c r="V15" s="33">
        <f>32679619570</f>
        <v>32679619570</v>
      </c>
      <c r="W15" s="33">
        <f>3130754140</f>
        <v>3130754140</v>
      </c>
      <c r="X15" s="35">
        <f>19</f>
        <v>19</v>
      </c>
    </row>
    <row r="16" spans="1:24">
      <c r="A16" s="29" t="s">
        <v>42</v>
      </c>
      <c r="B16" s="29" t="s">
        <v>78</v>
      </c>
      <c r="C16" s="29" t="s">
        <v>79</v>
      </c>
      <c r="D16" s="29" t="s">
        <v>80</v>
      </c>
      <c r="E16" s="30" t="s">
        <v>46</v>
      </c>
      <c r="F16" s="31" t="s">
        <v>46</v>
      </c>
      <c r="G16" s="32" t="s">
        <v>46</v>
      </c>
      <c r="H16" s="27"/>
      <c r="I16" s="27" t="s">
        <v>47</v>
      </c>
      <c r="J16" s="33">
        <v>1</v>
      </c>
      <c r="K16" s="37">
        <f>28480</f>
        <v>28480</v>
      </c>
      <c r="L16" s="34" t="s">
        <v>48</v>
      </c>
      <c r="M16" s="37">
        <f>29880</f>
        <v>29880</v>
      </c>
      <c r="N16" s="34" t="s">
        <v>49</v>
      </c>
      <c r="O16" s="37">
        <f>27830</f>
        <v>27830</v>
      </c>
      <c r="P16" s="34" t="s">
        <v>77</v>
      </c>
      <c r="Q16" s="37">
        <f>28580</f>
        <v>28580</v>
      </c>
      <c r="R16" s="34" t="s">
        <v>50</v>
      </c>
      <c r="S16" s="36">
        <f>29061.05</f>
        <v>29061.05</v>
      </c>
      <c r="T16" s="33">
        <f>5499630</f>
        <v>5499630</v>
      </c>
      <c r="U16" s="33">
        <f>456849</f>
        <v>456849</v>
      </c>
      <c r="V16" s="33">
        <f>159678563953</f>
        <v>159678563953</v>
      </c>
      <c r="W16" s="33">
        <f>13198053163</f>
        <v>13198053163</v>
      </c>
      <c r="X16" s="35">
        <f>19</f>
        <v>19</v>
      </c>
    </row>
    <row r="17" spans="1:24">
      <c r="A17" s="29" t="s">
        <v>42</v>
      </c>
      <c r="B17" s="29" t="s">
        <v>81</v>
      </c>
      <c r="C17" s="29" t="s">
        <v>82</v>
      </c>
      <c r="D17" s="29" t="s">
        <v>83</v>
      </c>
      <c r="E17" s="30" t="s">
        <v>46</v>
      </c>
      <c r="F17" s="31" t="s">
        <v>46</v>
      </c>
      <c r="G17" s="32" t="s">
        <v>46</v>
      </c>
      <c r="H17" s="27"/>
      <c r="I17" s="27" t="s">
        <v>47</v>
      </c>
      <c r="J17" s="33">
        <v>10</v>
      </c>
      <c r="K17" s="37">
        <f>8000</f>
        <v>8000</v>
      </c>
      <c r="L17" s="34" t="s">
        <v>48</v>
      </c>
      <c r="M17" s="37">
        <f>9110</f>
        <v>9110</v>
      </c>
      <c r="N17" s="34" t="s">
        <v>84</v>
      </c>
      <c r="O17" s="37">
        <f>7930</f>
        <v>7930</v>
      </c>
      <c r="P17" s="34" t="s">
        <v>48</v>
      </c>
      <c r="Q17" s="37">
        <f>8640</f>
        <v>8640</v>
      </c>
      <c r="R17" s="34" t="s">
        <v>50</v>
      </c>
      <c r="S17" s="36">
        <f>8770</f>
        <v>8770</v>
      </c>
      <c r="T17" s="33">
        <f>37150</f>
        <v>37150</v>
      </c>
      <c r="U17" s="33">
        <f>40</f>
        <v>40</v>
      </c>
      <c r="V17" s="33">
        <f>324811600</f>
        <v>324811600</v>
      </c>
      <c r="W17" s="33">
        <f>352500</f>
        <v>352500</v>
      </c>
      <c r="X17" s="35">
        <f>19</f>
        <v>19</v>
      </c>
    </row>
    <row r="18" spans="1:24">
      <c r="A18" s="29" t="s">
        <v>42</v>
      </c>
      <c r="B18" s="29" t="s">
        <v>85</v>
      </c>
      <c r="C18" s="29" t="s">
        <v>86</v>
      </c>
      <c r="D18" s="29" t="s">
        <v>87</v>
      </c>
      <c r="E18" s="30" t="s">
        <v>46</v>
      </c>
      <c r="F18" s="31" t="s">
        <v>46</v>
      </c>
      <c r="G18" s="32" t="s">
        <v>46</v>
      </c>
      <c r="H18" s="27"/>
      <c r="I18" s="27" t="s">
        <v>47</v>
      </c>
      <c r="J18" s="33">
        <v>100</v>
      </c>
      <c r="K18" s="37">
        <f>392</f>
        <v>392</v>
      </c>
      <c r="L18" s="34" t="s">
        <v>48</v>
      </c>
      <c r="M18" s="37">
        <f>396</f>
        <v>396</v>
      </c>
      <c r="N18" s="34" t="s">
        <v>77</v>
      </c>
      <c r="O18" s="37">
        <f>371</f>
        <v>371</v>
      </c>
      <c r="P18" s="34" t="s">
        <v>88</v>
      </c>
      <c r="Q18" s="37">
        <f>382</f>
        <v>382</v>
      </c>
      <c r="R18" s="34" t="s">
        <v>50</v>
      </c>
      <c r="S18" s="36">
        <f>385.42</f>
        <v>385.42</v>
      </c>
      <c r="T18" s="33">
        <f>80000</f>
        <v>80000</v>
      </c>
      <c r="U18" s="33" t="str">
        <f>"－"</f>
        <v>－</v>
      </c>
      <c r="V18" s="33">
        <f>30852000</f>
        <v>30852000</v>
      </c>
      <c r="W18" s="33" t="str">
        <f>"－"</f>
        <v>－</v>
      </c>
      <c r="X18" s="35">
        <f>19</f>
        <v>19</v>
      </c>
    </row>
    <row r="19" spans="1:24">
      <c r="A19" s="29" t="s">
        <v>42</v>
      </c>
      <c r="B19" s="29" t="s">
        <v>89</v>
      </c>
      <c r="C19" s="29" t="s">
        <v>90</v>
      </c>
      <c r="D19" s="29" t="s">
        <v>91</v>
      </c>
      <c r="E19" s="30" t="s">
        <v>46</v>
      </c>
      <c r="F19" s="31" t="s">
        <v>46</v>
      </c>
      <c r="G19" s="32" t="s">
        <v>46</v>
      </c>
      <c r="H19" s="27"/>
      <c r="I19" s="27" t="s">
        <v>47</v>
      </c>
      <c r="J19" s="33">
        <v>100</v>
      </c>
      <c r="K19" s="37">
        <f>137</f>
        <v>137</v>
      </c>
      <c r="L19" s="34" t="s">
        <v>48</v>
      </c>
      <c r="M19" s="37">
        <f>145</f>
        <v>145</v>
      </c>
      <c r="N19" s="34" t="s">
        <v>92</v>
      </c>
      <c r="O19" s="37">
        <f>135</f>
        <v>135</v>
      </c>
      <c r="P19" s="34" t="s">
        <v>48</v>
      </c>
      <c r="Q19" s="37">
        <f>138</f>
        <v>138</v>
      </c>
      <c r="R19" s="34" t="s">
        <v>50</v>
      </c>
      <c r="S19" s="36">
        <f>140.63</f>
        <v>140.63</v>
      </c>
      <c r="T19" s="33">
        <f>343600</f>
        <v>343600</v>
      </c>
      <c r="U19" s="33">
        <f>100</f>
        <v>100</v>
      </c>
      <c r="V19" s="33">
        <f>48398400</f>
        <v>48398400</v>
      </c>
      <c r="W19" s="33">
        <f>14300</f>
        <v>14300</v>
      </c>
      <c r="X19" s="35">
        <f>19</f>
        <v>19</v>
      </c>
    </row>
    <row r="20" spans="1:24">
      <c r="A20" s="29" t="s">
        <v>42</v>
      </c>
      <c r="B20" s="29" t="s">
        <v>93</v>
      </c>
      <c r="C20" s="29" t="s">
        <v>94</v>
      </c>
      <c r="D20" s="29" t="s">
        <v>95</v>
      </c>
      <c r="E20" s="30" t="s">
        <v>46</v>
      </c>
      <c r="F20" s="31" t="s">
        <v>46</v>
      </c>
      <c r="G20" s="32" t="s">
        <v>46</v>
      </c>
      <c r="H20" s="27"/>
      <c r="I20" s="27" t="s">
        <v>47</v>
      </c>
      <c r="J20" s="33">
        <v>100</v>
      </c>
      <c r="K20" s="37">
        <f>174</f>
        <v>174</v>
      </c>
      <c r="L20" s="34" t="s">
        <v>48</v>
      </c>
      <c r="M20" s="37">
        <f>178</f>
        <v>178</v>
      </c>
      <c r="N20" s="34" t="s">
        <v>96</v>
      </c>
      <c r="O20" s="37">
        <f>164</f>
        <v>164</v>
      </c>
      <c r="P20" s="34" t="s">
        <v>88</v>
      </c>
      <c r="Q20" s="37">
        <f>167</f>
        <v>167</v>
      </c>
      <c r="R20" s="34" t="s">
        <v>50</v>
      </c>
      <c r="S20" s="36">
        <f>172.05</f>
        <v>172.05</v>
      </c>
      <c r="T20" s="33">
        <f>528900</f>
        <v>528900</v>
      </c>
      <c r="U20" s="33">
        <f>100</f>
        <v>100</v>
      </c>
      <c r="V20" s="33">
        <f>90950900</f>
        <v>90950900</v>
      </c>
      <c r="W20" s="33">
        <f>17400</f>
        <v>17400</v>
      </c>
      <c r="X20" s="35">
        <f>19</f>
        <v>19</v>
      </c>
    </row>
    <row r="21" spans="1:24">
      <c r="A21" s="29" t="s">
        <v>42</v>
      </c>
      <c r="B21" s="29" t="s">
        <v>97</v>
      </c>
      <c r="C21" s="29" t="s">
        <v>98</v>
      </c>
      <c r="D21" s="29" t="s">
        <v>99</v>
      </c>
      <c r="E21" s="30" t="s">
        <v>46</v>
      </c>
      <c r="F21" s="31" t="s">
        <v>46</v>
      </c>
      <c r="G21" s="32" t="s">
        <v>46</v>
      </c>
      <c r="H21" s="27"/>
      <c r="I21" s="27" t="s">
        <v>47</v>
      </c>
      <c r="J21" s="33">
        <v>1</v>
      </c>
      <c r="K21" s="37">
        <f>18520</f>
        <v>18520</v>
      </c>
      <c r="L21" s="34" t="s">
        <v>48</v>
      </c>
      <c r="M21" s="37">
        <f>18830</f>
        <v>18830</v>
      </c>
      <c r="N21" s="34" t="s">
        <v>77</v>
      </c>
      <c r="O21" s="37">
        <f>17640</f>
        <v>17640</v>
      </c>
      <c r="P21" s="34" t="s">
        <v>100</v>
      </c>
      <c r="Q21" s="37">
        <f>18090</f>
        <v>18090</v>
      </c>
      <c r="R21" s="34" t="s">
        <v>50</v>
      </c>
      <c r="S21" s="36">
        <f>18195.79</f>
        <v>18195.79</v>
      </c>
      <c r="T21" s="33">
        <f>282825</f>
        <v>282825</v>
      </c>
      <c r="U21" s="33">
        <f>600</f>
        <v>600</v>
      </c>
      <c r="V21" s="33">
        <f>5149471320</f>
        <v>5149471320</v>
      </c>
      <c r="W21" s="33">
        <f>10812000</f>
        <v>10812000</v>
      </c>
      <c r="X21" s="35">
        <f>19</f>
        <v>19</v>
      </c>
    </row>
    <row r="22" spans="1:24">
      <c r="A22" s="29" t="s">
        <v>42</v>
      </c>
      <c r="B22" s="29" t="s">
        <v>101</v>
      </c>
      <c r="C22" s="29" t="s">
        <v>102</v>
      </c>
      <c r="D22" s="29" t="s">
        <v>103</v>
      </c>
      <c r="E22" s="30" t="s">
        <v>46</v>
      </c>
      <c r="F22" s="31" t="s">
        <v>46</v>
      </c>
      <c r="G22" s="32" t="s">
        <v>46</v>
      </c>
      <c r="H22" s="27"/>
      <c r="I22" s="27" t="s">
        <v>47</v>
      </c>
      <c r="J22" s="33">
        <v>1</v>
      </c>
      <c r="K22" s="37">
        <f>2912</f>
        <v>2912</v>
      </c>
      <c r="L22" s="34" t="s">
        <v>48</v>
      </c>
      <c r="M22" s="37">
        <f>3200</f>
        <v>3200</v>
      </c>
      <c r="N22" s="34" t="s">
        <v>69</v>
      </c>
      <c r="O22" s="37">
        <f>2905</f>
        <v>2905</v>
      </c>
      <c r="P22" s="34" t="s">
        <v>48</v>
      </c>
      <c r="Q22" s="37">
        <f>3085</f>
        <v>3085</v>
      </c>
      <c r="R22" s="34" t="s">
        <v>50</v>
      </c>
      <c r="S22" s="36">
        <f>3072.42</f>
        <v>3072.42</v>
      </c>
      <c r="T22" s="33">
        <f>5050</f>
        <v>5050</v>
      </c>
      <c r="U22" s="33" t="str">
        <f>"－"</f>
        <v>－</v>
      </c>
      <c r="V22" s="33">
        <f>15564660</f>
        <v>15564660</v>
      </c>
      <c r="W22" s="33" t="str">
        <f>"－"</f>
        <v>－</v>
      </c>
      <c r="X22" s="35">
        <f>19</f>
        <v>19</v>
      </c>
    </row>
    <row r="23" spans="1:24">
      <c r="A23" s="29" t="s">
        <v>42</v>
      </c>
      <c r="B23" s="29" t="s">
        <v>104</v>
      </c>
      <c r="C23" s="29" t="s">
        <v>105</v>
      </c>
      <c r="D23" s="29" t="s">
        <v>106</v>
      </c>
      <c r="E23" s="30" t="s">
        <v>46</v>
      </c>
      <c r="F23" s="31" t="s">
        <v>46</v>
      </c>
      <c r="G23" s="32" t="s">
        <v>46</v>
      </c>
      <c r="H23" s="27"/>
      <c r="I23" s="27" t="s">
        <v>47</v>
      </c>
      <c r="J23" s="33">
        <v>10</v>
      </c>
      <c r="K23" s="37">
        <f>5070</f>
        <v>5070</v>
      </c>
      <c r="L23" s="34" t="s">
        <v>48</v>
      </c>
      <c r="M23" s="37">
        <f>5140</f>
        <v>5140</v>
      </c>
      <c r="N23" s="34" t="s">
        <v>84</v>
      </c>
      <c r="O23" s="37">
        <f>4810</f>
        <v>4810</v>
      </c>
      <c r="P23" s="34" t="s">
        <v>100</v>
      </c>
      <c r="Q23" s="37">
        <f>4930</f>
        <v>4930</v>
      </c>
      <c r="R23" s="34" t="s">
        <v>50</v>
      </c>
      <c r="S23" s="36">
        <f>4959.74</f>
        <v>4959.74</v>
      </c>
      <c r="T23" s="33">
        <f>426070</f>
        <v>426070</v>
      </c>
      <c r="U23" s="33">
        <f>10</f>
        <v>10</v>
      </c>
      <c r="V23" s="33">
        <f>2120070750</f>
        <v>2120070750</v>
      </c>
      <c r="W23" s="33">
        <f>49050</f>
        <v>49050</v>
      </c>
      <c r="X23" s="35">
        <f>19</f>
        <v>19</v>
      </c>
    </row>
    <row r="24" spans="1:24">
      <c r="A24" s="29" t="s">
        <v>42</v>
      </c>
      <c r="B24" s="29" t="s">
        <v>107</v>
      </c>
      <c r="C24" s="29" t="s">
        <v>108</v>
      </c>
      <c r="D24" s="29" t="s">
        <v>109</v>
      </c>
      <c r="E24" s="30" t="s">
        <v>46</v>
      </c>
      <c r="F24" s="31" t="s">
        <v>46</v>
      </c>
      <c r="G24" s="32" t="s">
        <v>46</v>
      </c>
      <c r="H24" s="27"/>
      <c r="I24" s="27" t="s">
        <v>47</v>
      </c>
      <c r="J24" s="33">
        <v>1</v>
      </c>
      <c r="K24" s="37">
        <f>28600</f>
        <v>28600</v>
      </c>
      <c r="L24" s="34" t="s">
        <v>48</v>
      </c>
      <c r="M24" s="37">
        <f>30050</f>
        <v>30050</v>
      </c>
      <c r="N24" s="34" t="s">
        <v>49</v>
      </c>
      <c r="O24" s="37">
        <f>27960</f>
        <v>27960</v>
      </c>
      <c r="P24" s="34" t="s">
        <v>77</v>
      </c>
      <c r="Q24" s="37">
        <f>28600</f>
        <v>28600</v>
      </c>
      <c r="R24" s="34" t="s">
        <v>50</v>
      </c>
      <c r="S24" s="36">
        <f>29197.37</f>
        <v>29197.37</v>
      </c>
      <c r="T24" s="33">
        <f>1191456</f>
        <v>1191456</v>
      </c>
      <c r="U24" s="33">
        <f>788497</f>
        <v>788497</v>
      </c>
      <c r="V24" s="33">
        <f>34221930017</f>
        <v>34221930017</v>
      </c>
      <c r="W24" s="33">
        <f>22476271347</f>
        <v>22476271347</v>
      </c>
      <c r="X24" s="35">
        <f>19</f>
        <v>19</v>
      </c>
    </row>
    <row r="25" spans="1:24">
      <c r="A25" s="29" t="s">
        <v>42</v>
      </c>
      <c r="B25" s="29" t="s">
        <v>110</v>
      </c>
      <c r="C25" s="29" t="s">
        <v>111</v>
      </c>
      <c r="D25" s="29" t="s">
        <v>112</v>
      </c>
      <c r="E25" s="30" t="s">
        <v>46</v>
      </c>
      <c r="F25" s="31" t="s">
        <v>46</v>
      </c>
      <c r="G25" s="32" t="s">
        <v>46</v>
      </c>
      <c r="H25" s="27"/>
      <c r="I25" s="27" t="s">
        <v>47</v>
      </c>
      <c r="J25" s="33">
        <v>10</v>
      </c>
      <c r="K25" s="37">
        <f>28510</f>
        <v>28510</v>
      </c>
      <c r="L25" s="34" t="s">
        <v>48</v>
      </c>
      <c r="M25" s="37">
        <f>29930</f>
        <v>29930</v>
      </c>
      <c r="N25" s="34" t="s">
        <v>49</v>
      </c>
      <c r="O25" s="37">
        <f>27880</f>
        <v>27880</v>
      </c>
      <c r="P25" s="34" t="s">
        <v>77</v>
      </c>
      <c r="Q25" s="37">
        <f>28530</f>
        <v>28530</v>
      </c>
      <c r="R25" s="34" t="s">
        <v>50</v>
      </c>
      <c r="S25" s="36">
        <f>29106.32</f>
        <v>29106.32</v>
      </c>
      <c r="T25" s="33">
        <f>1284840</f>
        <v>1284840</v>
      </c>
      <c r="U25" s="33">
        <f>466730</f>
        <v>466730</v>
      </c>
      <c r="V25" s="33">
        <f>37621500980</f>
        <v>37621500980</v>
      </c>
      <c r="W25" s="33">
        <f>13826699680</f>
        <v>13826699680</v>
      </c>
      <c r="X25" s="35">
        <f>19</f>
        <v>19</v>
      </c>
    </row>
    <row r="26" spans="1:24">
      <c r="A26" s="29" t="s">
        <v>42</v>
      </c>
      <c r="B26" s="29" t="s">
        <v>113</v>
      </c>
      <c r="C26" s="29" t="s">
        <v>114</v>
      </c>
      <c r="D26" s="29" t="s">
        <v>115</v>
      </c>
      <c r="E26" s="30" t="s">
        <v>46</v>
      </c>
      <c r="F26" s="31" t="s">
        <v>46</v>
      </c>
      <c r="G26" s="32" t="s">
        <v>46</v>
      </c>
      <c r="H26" s="27"/>
      <c r="I26" s="27" t="s">
        <v>47</v>
      </c>
      <c r="J26" s="33">
        <v>10</v>
      </c>
      <c r="K26" s="37">
        <f>1918</f>
        <v>1918</v>
      </c>
      <c r="L26" s="34" t="s">
        <v>48</v>
      </c>
      <c r="M26" s="37">
        <f>1994</f>
        <v>1994</v>
      </c>
      <c r="N26" s="34" t="s">
        <v>50</v>
      </c>
      <c r="O26" s="37">
        <f>1875</f>
        <v>1875</v>
      </c>
      <c r="P26" s="34" t="s">
        <v>69</v>
      </c>
      <c r="Q26" s="37">
        <f>1979</f>
        <v>1979</v>
      </c>
      <c r="R26" s="34" t="s">
        <v>50</v>
      </c>
      <c r="S26" s="36">
        <f>1915.32</f>
        <v>1915.32</v>
      </c>
      <c r="T26" s="33">
        <f>18316460</f>
        <v>18316460</v>
      </c>
      <c r="U26" s="33">
        <f>1048010</f>
        <v>1048010</v>
      </c>
      <c r="V26" s="33">
        <f>34936400126</f>
        <v>34936400126</v>
      </c>
      <c r="W26" s="33">
        <f>2004119966</f>
        <v>2004119966</v>
      </c>
      <c r="X26" s="35">
        <f>19</f>
        <v>19</v>
      </c>
    </row>
    <row r="27" spans="1:24">
      <c r="A27" s="29" t="s">
        <v>42</v>
      </c>
      <c r="B27" s="29" t="s">
        <v>116</v>
      </c>
      <c r="C27" s="29" t="s">
        <v>117</v>
      </c>
      <c r="D27" s="29" t="s">
        <v>118</v>
      </c>
      <c r="E27" s="30" t="s">
        <v>46</v>
      </c>
      <c r="F27" s="31" t="s">
        <v>46</v>
      </c>
      <c r="G27" s="32" t="s">
        <v>46</v>
      </c>
      <c r="H27" s="27"/>
      <c r="I27" s="27" t="s">
        <v>47</v>
      </c>
      <c r="J27" s="33">
        <v>10</v>
      </c>
      <c r="K27" s="37">
        <f>806</f>
        <v>806</v>
      </c>
      <c r="L27" s="34" t="s">
        <v>48</v>
      </c>
      <c r="M27" s="37">
        <f>827</f>
        <v>827</v>
      </c>
      <c r="N27" s="34" t="s">
        <v>49</v>
      </c>
      <c r="O27" s="37">
        <f>787</f>
        <v>787</v>
      </c>
      <c r="P27" s="34" t="s">
        <v>77</v>
      </c>
      <c r="Q27" s="37">
        <f>800</f>
        <v>800</v>
      </c>
      <c r="R27" s="34" t="s">
        <v>50</v>
      </c>
      <c r="S27" s="36">
        <f>802.84</f>
        <v>802.84</v>
      </c>
      <c r="T27" s="33">
        <f>29360</f>
        <v>29360</v>
      </c>
      <c r="U27" s="33" t="str">
        <f>"－"</f>
        <v>－</v>
      </c>
      <c r="V27" s="33">
        <f>23634830</f>
        <v>23634830</v>
      </c>
      <c r="W27" s="33" t="str">
        <f>"－"</f>
        <v>－</v>
      </c>
      <c r="X27" s="35">
        <f>19</f>
        <v>19</v>
      </c>
    </row>
    <row r="28" spans="1:24">
      <c r="A28" s="29" t="s">
        <v>42</v>
      </c>
      <c r="B28" s="29" t="s">
        <v>119</v>
      </c>
      <c r="C28" s="29" t="s">
        <v>120</v>
      </c>
      <c r="D28" s="29" t="s">
        <v>121</v>
      </c>
      <c r="E28" s="30" t="s">
        <v>46</v>
      </c>
      <c r="F28" s="31" t="s">
        <v>46</v>
      </c>
      <c r="G28" s="32" t="s">
        <v>46</v>
      </c>
      <c r="H28" s="27"/>
      <c r="I28" s="27" t="s">
        <v>47</v>
      </c>
      <c r="J28" s="33">
        <v>100</v>
      </c>
      <c r="K28" s="37">
        <f>1811</f>
        <v>1811</v>
      </c>
      <c r="L28" s="34" t="s">
        <v>48</v>
      </c>
      <c r="M28" s="37">
        <f>1875</f>
        <v>1875</v>
      </c>
      <c r="N28" s="34" t="s">
        <v>50</v>
      </c>
      <c r="O28" s="37">
        <f>1770</f>
        <v>1770</v>
      </c>
      <c r="P28" s="34" t="s">
        <v>69</v>
      </c>
      <c r="Q28" s="37">
        <f>1863</f>
        <v>1863</v>
      </c>
      <c r="R28" s="34" t="s">
        <v>50</v>
      </c>
      <c r="S28" s="36">
        <f>1804.47</f>
        <v>1804.47</v>
      </c>
      <c r="T28" s="33">
        <f>1089800</f>
        <v>1089800</v>
      </c>
      <c r="U28" s="33">
        <f>3800</f>
        <v>3800</v>
      </c>
      <c r="V28" s="33">
        <f>1963716950</f>
        <v>1963716950</v>
      </c>
      <c r="W28" s="33">
        <f>6830650</f>
        <v>6830650</v>
      </c>
      <c r="X28" s="35">
        <f>19</f>
        <v>19</v>
      </c>
    </row>
    <row r="29" spans="1:24">
      <c r="A29" s="29" t="s">
        <v>42</v>
      </c>
      <c r="B29" s="29" t="s">
        <v>122</v>
      </c>
      <c r="C29" s="29" t="s">
        <v>123</v>
      </c>
      <c r="D29" s="29" t="s">
        <v>124</v>
      </c>
      <c r="E29" s="30" t="s">
        <v>46</v>
      </c>
      <c r="F29" s="31" t="s">
        <v>46</v>
      </c>
      <c r="G29" s="32" t="s">
        <v>46</v>
      </c>
      <c r="H29" s="27"/>
      <c r="I29" s="27" t="s">
        <v>47</v>
      </c>
      <c r="J29" s="33">
        <v>1</v>
      </c>
      <c r="K29" s="37">
        <f>28590</f>
        <v>28590</v>
      </c>
      <c r="L29" s="34" t="s">
        <v>48</v>
      </c>
      <c r="M29" s="37">
        <f>29860</f>
        <v>29860</v>
      </c>
      <c r="N29" s="34" t="s">
        <v>49</v>
      </c>
      <c r="O29" s="37">
        <f>27970</f>
        <v>27970</v>
      </c>
      <c r="P29" s="34" t="s">
        <v>77</v>
      </c>
      <c r="Q29" s="37">
        <f>28530</f>
        <v>28530</v>
      </c>
      <c r="R29" s="34" t="s">
        <v>50</v>
      </c>
      <c r="S29" s="36">
        <f>29097.89</f>
        <v>29097.89</v>
      </c>
      <c r="T29" s="33">
        <f>1310786</f>
        <v>1310786</v>
      </c>
      <c r="U29" s="33">
        <f>731566</f>
        <v>731566</v>
      </c>
      <c r="V29" s="33">
        <f>38199311953</f>
        <v>38199311953</v>
      </c>
      <c r="W29" s="33">
        <f>21354559993</f>
        <v>21354559993</v>
      </c>
      <c r="X29" s="35">
        <f>19</f>
        <v>19</v>
      </c>
    </row>
    <row r="30" spans="1:24">
      <c r="A30" s="29" t="s">
        <v>42</v>
      </c>
      <c r="B30" s="29" t="s">
        <v>125</v>
      </c>
      <c r="C30" s="29" t="s">
        <v>126</v>
      </c>
      <c r="D30" s="29" t="s">
        <v>127</v>
      </c>
      <c r="E30" s="30" t="s">
        <v>46</v>
      </c>
      <c r="F30" s="31" t="s">
        <v>46</v>
      </c>
      <c r="G30" s="32" t="s">
        <v>46</v>
      </c>
      <c r="H30" s="27"/>
      <c r="I30" s="27" t="s">
        <v>47</v>
      </c>
      <c r="J30" s="33">
        <v>10</v>
      </c>
      <c r="K30" s="37">
        <f>1882</f>
        <v>1882</v>
      </c>
      <c r="L30" s="34" t="s">
        <v>48</v>
      </c>
      <c r="M30" s="37">
        <f>1947</f>
        <v>1947</v>
      </c>
      <c r="N30" s="34" t="s">
        <v>49</v>
      </c>
      <c r="O30" s="37">
        <f>1846</f>
        <v>1846</v>
      </c>
      <c r="P30" s="34" t="s">
        <v>48</v>
      </c>
      <c r="Q30" s="37">
        <f>1863</f>
        <v>1863</v>
      </c>
      <c r="R30" s="34" t="s">
        <v>50</v>
      </c>
      <c r="S30" s="36">
        <f>1906.11</f>
        <v>1906.11</v>
      </c>
      <c r="T30" s="33">
        <f>2185410</f>
        <v>2185410</v>
      </c>
      <c r="U30" s="33">
        <f>355110</f>
        <v>355110</v>
      </c>
      <c r="V30" s="33">
        <f>4165745440</f>
        <v>4165745440</v>
      </c>
      <c r="W30" s="33">
        <f>679939030</f>
        <v>679939030</v>
      </c>
      <c r="X30" s="35">
        <f>19</f>
        <v>19</v>
      </c>
    </row>
    <row r="31" spans="1:24">
      <c r="A31" s="29" t="s">
        <v>42</v>
      </c>
      <c r="B31" s="29" t="s">
        <v>128</v>
      </c>
      <c r="C31" s="29" t="s">
        <v>129</v>
      </c>
      <c r="D31" s="29" t="s">
        <v>130</v>
      </c>
      <c r="E31" s="30" t="s">
        <v>46</v>
      </c>
      <c r="F31" s="31" t="s">
        <v>46</v>
      </c>
      <c r="G31" s="32" t="s">
        <v>46</v>
      </c>
      <c r="H31" s="27"/>
      <c r="I31" s="27" t="s">
        <v>47</v>
      </c>
      <c r="J31" s="33">
        <v>1</v>
      </c>
      <c r="K31" s="37">
        <f>13150</f>
        <v>13150</v>
      </c>
      <c r="L31" s="34" t="s">
        <v>48</v>
      </c>
      <c r="M31" s="37">
        <f>13250</f>
        <v>13250</v>
      </c>
      <c r="N31" s="34" t="s">
        <v>131</v>
      </c>
      <c r="O31" s="37">
        <f>12990</f>
        <v>12990</v>
      </c>
      <c r="P31" s="34" t="s">
        <v>132</v>
      </c>
      <c r="Q31" s="37">
        <f>13050</f>
        <v>13050</v>
      </c>
      <c r="R31" s="34" t="s">
        <v>50</v>
      </c>
      <c r="S31" s="36">
        <f>13121.05</f>
        <v>13121.05</v>
      </c>
      <c r="T31" s="33">
        <f>1034</f>
        <v>1034</v>
      </c>
      <c r="U31" s="33" t="str">
        <f>"－"</f>
        <v>－</v>
      </c>
      <c r="V31" s="33">
        <f>13554990</f>
        <v>13554990</v>
      </c>
      <c r="W31" s="33" t="str">
        <f>"－"</f>
        <v>－</v>
      </c>
      <c r="X31" s="35">
        <f>19</f>
        <v>19</v>
      </c>
    </row>
    <row r="32" spans="1:24">
      <c r="A32" s="29" t="s">
        <v>42</v>
      </c>
      <c r="B32" s="29" t="s">
        <v>133</v>
      </c>
      <c r="C32" s="29" t="s">
        <v>134</v>
      </c>
      <c r="D32" s="29" t="s">
        <v>135</v>
      </c>
      <c r="E32" s="30" t="s">
        <v>46</v>
      </c>
      <c r="F32" s="31" t="s">
        <v>46</v>
      </c>
      <c r="G32" s="32" t="s">
        <v>46</v>
      </c>
      <c r="H32" s="27"/>
      <c r="I32" s="27" t="s">
        <v>47</v>
      </c>
      <c r="J32" s="33">
        <v>10</v>
      </c>
      <c r="K32" s="37">
        <f>1412</f>
        <v>1412</v>
      </c>
      <c r="L32" s="34" t="s">
        <v>48</v>
      </c>
      <c r="M32" s="37">
        <f>1470</f>
        <v>1470</v>
      </c>
      <c r="N32" s="34" t="s">
        <v>48</v>
      </c>
      <c r="O32" s="37">
        <f>1298</f>
        <v>1298</v>
      </c>
      <c r="P32" s="34" t="s">
        <v>49</v>
      </c>
      <c r="Q32" s="37">
        <f>1411</f>
        <v>1411</v>
      </c>
      <c r="R32" s="34" t="s">
        <v>50</v>
      </c>
      <c r="S32" s="36">
        <f>1363.37</f>
        <v>1363.37</v>
      </c>
      <c r="T32" s="33">
        <f>7245220</f>
        <v>7245220</v>
      </c>
      <c r="U32" s="33">
        <f>506860</f>
        <v>506860</v>
      </c>
      <c r="V32" s="33">
        <f>9951071050</f>
        <v>9951071050</v>
      </c>
      <c r="W32" s="33">
        <f>729959060</f>
        <v>729959060</v>
      </c>
      <c r="X32" s="35">
        <f>19</f>
        <v>19</v>
      </c>
    </row>
    <row r="33" spans="1:24">
      <c r="A33" s="29" t="s">
        <v>42</v>
      </c>
      <c r="B33" s="29" t="s">
        <v>136</v>
      </c>
      <c r="C33" s="29" t="s">
        <v>137</v>
      </c>
      <c r="D33" s="29" t="s">
        <v>138</v>
      </c>
      <c r="E33" s="30" t="s">
        <v>46</v>
      </c>
      <c r="F33" s="31" t="s">
        <v>46</v>
      </c>
      <c r="G33" s="32" t="s">
        <v>46</v>
      </c>
      <c r="H33" s="27"/>
      <c r="I33" s="27" t="s">
        <v>47</v>
      </c>
      <c r="J33" s="33">
        <v>1</v>
      </c>
      <c r="K33" s="37">
        <f>489</f>
        <v>489</v>
      </c>
      <c r="L33" s="34" t="s">
        <v>48</v>
      </c>
      <c r="M33" s="37">
        <f>512</f>
        <v>512</v>
      </c>
      <c r="N33" s="34" t="s">
        <v>77</v>
      </c>
      <c r="O33" s="37">
        <f>441</f>
        <v>441</v>
      </c>
      <c r="P33" s="34" t="s">
        <v>49</v>
      </c>
      <c r="Q33" s="37">
        <f>483</f>
        <v>483</v>
      </c>
      <c r="R33" s="34" t="s">
        <v>50</v>
      </c>
      <c r="S33" s="36">
        <f>467.58</f>
        <v>467.58</v>
      </c>
      <c r="T33" s="33">
        <f>1243364265</f>
        <v>1243364265</v>
      </c>
      <c r="U33" s="33">
        <f>864424</f>
        <v>864424</v>
      </c>
      <c r="V33" s="33">
        <f>583582110759</f>
        <v>583582110759</v>
      </c>
      <c r="W33" s="33">
        <f>406922123</f>
        <v>406922123</v>
      </c>
      <c r="X33" s="35">
        <f>19</f>
        <v>19</v>
      </c>
    </row>
    <row r="34" spans="1:24">
      <c r="A34" s="29" t="s">
        <v>42</v>
      </c>
      <c r="B34" s="29" t="s">
        <v>139</v>
      </c>
      <c r="C34" s="29" t="s">
        <v>140</v>
      </c>
      <c r="D34" s="29" t="s">
        <v>141</v>
      </c>
      <c r="E34" s="30" t="s">
        <v>46</v>
      </c>
      <c r="F34" s="31" t="s">
        <v>46</v>
      </c>
      <c r="G34" s="32" t="s">
        <v>46</v>
      </c>
      <c r="H34" s="27"/>
      <c r="I34" s="27" t="s">
        <v>47</v>
      </c>
      <c r="J34" s="33">
        <v>1</v>
      </c>
      <c r="K34" s="37">
        <f>27150</f>
        <v>27150</v>
      </c>
      <c r="L34" s="34" t="s">
        <v>48</v>
      </c>
      <c r="M34" s="37">
        <f>29850</f>
        <v>29850</v>
      </c>
      <c r="N34" s="34" t="s">
        <v>49</v>
      </c>
      <c r="O34" s="37">
        <f>25940</f>
        <v>25940</v>
      </c>
      <c r="P34" s="34" t="s">
        <v>77</v>
      </c>
      <c r="Q34" s="37">
        <f>27080</f>
        <v>27080</v>
      </c>
      <c r="R34" s="34" t="s">
        <v>50</v>
      </c>
      <c r="S34" s="36">
        <f>28238.95</f>
        <v>28238.95</v>
      </c>
      <c r="T34" s="33">
        <f>257029</f>
        <v>257029</v>
      </c>
      <c r="U34" s="33">
        <f>1</f>
        <v>1</v>
      </c>
      <c r="V34" s="33">
        <f>7260669680</f>
        <v>7260669680</v>
      </c>
      <c r="W34" s="33">
        <f>28170</f>
        <v>28170</v>
      </c>
      <c r="X34" s="35">
        <f>19</f>
        <v>19</v>
      </c>
    </row>
    <row r="35" spans="1:24">
      <c r="A35" s="29" t="s">
        <v>42</v>
      </c>
      <c r="B35" s="29" t="s">
        <v>142</v>
      </c>
      <c r="C35" s="29" t="s">
        <v>143</v>
      </c>
      <c r="D35" s="29" t="s">
        <v>144</v>
      </c>
      <c r="E35" s="30" t="s">
        <v>46</v>
      </c>
      <c r="F35" s="31" t="s">
        <v>46</v>
      </c>
      <c r="G35" s="32" t="s">
        <v>46</v>
      </c>
      <c r="H35" s="27"/>
      <c r="I35" s="27" t="s">
        <v>47</v>
      </c>
      <c r="J35" s="33">
        <v>10</v>
      </c>
      <c r="K35" s="37">
        <f>1189</f>
        <v>1189</v>
      </c>
      <c r="L35" s="34" t="s">
        <v>48</v>
      </c>
      <c r="M35" s="37">
        <f>1244</f>
        <v>1244</v>
      </c>
      <c r="N35" s="34" t="s">
        <v>77</v>
      </c>
      <c r="O35" s="37">
        <f>1074</f>
        <v>1074</v>
      </c>
      <c r="P35" s="34" t="s">
        <v>49</v>
      </c>
      <c r="Q35" s="37">
        <f>1175</f>
        <v>1175</v>
      </c>
      <c r="R35" s="34" t="s">
        <v>50</v>
      </c>
      <c r="S35" s="36">
        <f>1137.68</f>
        <v>1137.68</v>
      </c>
      <c r="T35" s="33">
        <f>116317980</f>
        <v>116317980</v>
      </c>
      <c r="U35" s="33">
        <f>3550</f>
        <v>3550</v>
      </c>
      <c r="V35" s="33">
        <f>133579556300</f>
        <v>133579556300</v>
      </c>
      <c r="W35" s="33">
        <f>4131590</f>
        <v>4131590</v>
      </c>
      <c r="X35" s="35">
        <f>19</f>
        <v>19</v>
      </c>
    </row>
    <row r="36" spans="1:24">
      <c r="A36" s="29" t="s">
        <v>42</v>
      </c>
      <c r="B36" s="29" t="s">
        <v>145</v>
      </c>
      <c r="C36" s="29" t="s">
        <v>146</v>
      </c>
      <c r="D36" s="29" t="s">
        <v>147</v>
      </c>
      <c r="E36" s="30" t="s">
        <v>46</v>
      </c>
      <c r="F36" s="31" t="s">
        <v>46</v>
      </c>
      <c r="G36" s="32" t="s">
        <v>46</v>
      </c>
      <c r="H36" s="27"/>
      <c r="I36" s="27" t="s">
        <v>47</v>
      </c>
      <c r="J36" s="33">
        <v>1</v>
      </c>
      <c r="K36" s="37">
        <f>16840</f>
        <v>16840</v>
      </c>
      <c r="L36" s="34" t="s">
        <v>48</v>
      </c>
      <c r="M36" s="37">
        <f>17540</f>
        <v>17540</v>
      </c>
      <c r="N36" s="34" t="s">
        <v>49</v>
      </c>
      <c r="O36" s="37">
        <f>16500</f>
        <v>16500</v>
      </c>
      <c r="P36" s="34" t="s">
        <v>48</v>
      </c>
      <c r="Q36" s="37">
        <f>16840</f>
        <v>16840</v>
      </c>
      <c r="R36" s="34" t="s">
        <v>50</v>
      </c>
      <c r="S36" s="36">
        <f>17130.53</f>
        <v>17130.53</v>
      </c>
      <c r="T36" s="33">
        <f>21288</f>
        <v>21288</v>
      </c>
      <c r="U36" s="33">
        <f>4000</f>
        <v>4000</v>
      </c>
      <c r="V36" s="33">
        <f>365515190</f>
        <v>365515190</v>
      </c>
      <c r="W36" s="33">
        <f>68985980</f>
        <v>68985980</v>
      </c>
      <c r="X36" s="35">
        <f>19</f>
        <v>19</v>
      </c>
    </row>
    <row r="37" spans="1:24">
      <c r="A37" s="29" t="s">
        <v>42</v>
      </c>
      <c r="B37" s="29" t="s">
        <v>148</v>
      </c>
      <c r="C37" s="29" t="s">
        <v>149</v>
      </c>
      <c r="D37" s="29" t="s">
        <v>150</v>
      </c>
      <c r="E37" s="30" t="s">
        <v>46</v>
      </c>
      <c r="F37" s="31" t="s">
        <v>46</v>
      </c>
      <c r="G37" s="32" t="s">
        <v>46</v>
      </c>
      <c r="H37" s="27"/>
      <c r="I37" s="27" t="s">
        <v>47</v>
      </c>
      <c r="J37" s="33">
        <v>1</v>
      </c>
      <c r="K37" s="37">
        <f>22410</f>
        <v>22410</v>
      </c>
      <c r="L37" s="34" t="s">
        <v>48</v>
      </c>
      <c r="M37" s="37">
        <f>24680</f>
        <v>24680</v>
      </c>
      <c r="N37" s="34" t="s">
        <v>49</v>
      </c>
      <c r="O37" s="37">
        <f>21440</f>
        <v>21440</v>
      </c>
      <c r="P37" s="34" t="s">
        <v>77</v>
      </c>
      <c r="Q37" s="37">
        <f>22400</f>
        <v>22400</v>
      </c>
      <c r="R37" s="34" t="s">
        <v>50</v>
      </c>
      <c r="S37" s="36">
        <f>23345.26</f>
        <v>23345.26</v>
      </c>
      <c r="T37" s="33">
        <f>834970</f>
        <v>834970</v>
      </c>
      <c r="U37" s="33">
        <f>6</f>
        <v>6</v>
      </c>
      <c r="V37" s="33">
        <f>19472944000</f>
        <v>19472944000</v>
      </c>
      <c r="W37" s="33">
        <f>138110</f>
        <v>138110</v>
      </c>
      <c r="X37" s="35">
        <f>19</f>
        <v>19</v>
      </c>
    </row>
    <row r="38" spans="1:24">
      <c r="A38" s="29" t="s">
        <v>42</v>
      </c>
      <c r="B38" s="29" t="s">
        <v>151</v>
      </c>
      <c r="C38" s="29" t="s">
        <v>152</v>
      </c>
      <c r="D38" s="29" t="s">
        <v>153</v>
      </c>
      <c r="E38" s="30" t="s">
        <v>46</v>
      </c>
      <c r="F38" s="31" t="s">
        <v>46</v>
      </c>
      <c r="G38" s="32" t="s">
        <v>46</v>
      </c>
      <c r="H38" s="27"/>
      <c r="I38" s="27" t="s">
        <v>47</v>
      </c>
      <c r="J38" s="33">
        <v>1</v>
      </c>
      <c r="K38" s="37">
        <f>1274</f>
        <v>1274</v>
      </c>
      <c r="L38" s="34" t="s">
        <v>48</v>
      </c>
      <c r="M38" s="37">
        <f>1332</f>
        <v>1332</v>
      </c>
      <c r="N38" s="34" t="s">
        <v>77</v>
      </c>
      <c r="O38" s="37">
        <f>1151</f>
        <v>1151</v>
      </c>
      <c r="P38" s="34" t="s">
        <v>49</v>
      </c>
      <c r="Q38" s="37">
        <f>1260</f>
        <v>1260</v>
      </c>
      <c r="R38" s="34" t="s">
        <v>50</v>
      </c>
      <c r="S38" s="36">
        <f>1218.63</f>
        <v>1218.6300000000001</v>
      </c>
      <c r="T38" s="33">
        <f>12488348</f>
        <v>12488348</v>
      </c>
      <c r="U38" s="33">
        <f>5</f>
        <v>5</v>
      </c>
      <c r="V38" s="33">
        <f>15218758929</f>
        <v>15218758929</v>
      </c>
      <c r="W38" s="33">
        <f>6341</f>
        <v>6341</v>
      </c>
      <c r="X38" s="35">
        <f>19</f>
        <v>19</v>
      </c>
    </row>
    <row r="39" spans="1:24">
      <c r="A39" s="29" t="s">
        <v>42</v>
      </c>
      <c r="B39" s="29" t="s">
        <v>154</v>
      </c>
      <c r="C39" s="29" t="s">
        <v>155</v>
      </c>
      <c r="D39" s="29" t="s">
        <v>156</v>
      </c>
      <c r="E39" s="30" t="s">
        <v>46</v>
      </c>
      <c r="F39" s="31" t="s">
        <v>46</v>
      </c>
      <c r="G39" s="32" t="s">
        <v>46</v>
      </c>
      <c r="H39" s="27"/>
      <c r="I39" s="27" t="s">
        <v>47</v>
      </c>
      <c r="J39" s="33">
        <v>1</v>
      </c>
      <c r="K39" s="37">
        <f>16020</f>
        <v>16020</v>
      </c>
      <c r="L39" s="34" t="s">
        <v>48</v>
      </c>
      <c r="M39" s="37">
        <f>17360</f>
        <v>17360</v>
      </c>
      <c r="N39" s="34" t="s">
        <v>49</v>
      </c>
      <c r="O39" s="37">
        <f>15390</f>
        <v>15390</v>
      </c>
      <c r="P39" s="34" t="s">
        <v>48</v>
      </c>
      <c r="Q39" s="37">
        <f>15930</f>
        <v>15930</v>
      </c>
      <c r="R39" s="34" t="s">
        <v>50</v>
      </c>
      <c r="S39" s="36">
        <f>16544.74</f>
        <v>16544.740000000002</v>
      </c>
      <c r="T39" s="33">
        <f>248454</f>
        <v>248454</v>
      </c>
      <c r="U39" s="33">
        <f>810</f>
        <v>810</v>
      </c>
      <c r="V39" s="33">
        <f>4116631220</f>
        <v>4116631220</v>
      </c>
      <c r="W39" s="33">
        <f>13259000</f>
        <v>13259000</v>
      </c>
      <c r="X39" s="35">
        <f>19</f>
        <v>19</v>
      </c>
    </row>
    <row r="40" spans="1:24">
      <c r="A40" s="29" t="s">
        <v>42</v>
      </c>
      <c r="B40" s="29" t="s">
        <v>157</v>
      </c>
      <c r="C40" s="29" t="s">
        <v>158</v>
      </c>
      <c r="D40" s="29" t="s">
        <v>159</v>
      </c>
      <c r="E40" s="30" t="s">
        <v>46</v>
      </c>
      <c r="F40" s="31" t="s">
        <v>46</v>
      </c>
      <c r="G40" s="32" t="s">
        <v>46</v>
      </c>
      <c r="H40" s="27"/>
      <c r="I40" s="27" t="s">
        <v>47</v>
      </c>
      <c r="J40" s="33">
        <v>1</v>
      </c>
      <c r="K40" s="37">
        <f>2054</f>
        <v>2054</v>
      </c>
      <c r="L40" s="34" t="s">
        <v>48</v>
      </c>
      <c r="M40" s="37">
        <f>2134</f>
        <v>2134</v>
      </c>
      <c r="N40" s="34" t="s">
        <v>48</v>
      </c>
      <c r="O40" s="37">
        <f>1886</f>
        <v>1886</v>
      </c>
      <c r="P40" s="34" t="s">
        <v>49</v>
      </c>
      <c r="Q40" s="37">
        <f>2046</f>
        <v>2046</v>
      </c>
      <c r="R40" s="34" t="s">
        <v>50</v>
      </c>
      <c r="S40" s="36">
        <f>1978.16</f>
        <v>1978.16</v>
      </c>
      <c r="T40" s="33">
        <f>1441907</f>
        <v>1441907</v>
      </c>
      <c r="U40" s="33">
        <f>3192</f>
        <v>3192</v>
      </c>
      <c r="V40" s="33">
        <f>2883569056</f>
        <v>2883569056</v>
      </c>
      <c r="W40" s="33">
        <f>6411735</f>
        <v>6411735</v>
      </c>
      <c r="X40" s="35">
        <f>19</f>
        <v>19</v>
      </c>
    </row>
    <row r="41" spans="1:24">
      <c r="A41" s="29" t="s">
        <v>42</v>
      </c>
      <c r="B41" s="29" t="s">
        <v>160</v>
      </c>
      <c r="C41" s="29" t="s">
        <v>161</v>
      </c>
      <c r="D41" s="29" t="s">
        <v>162</v>
      </c>
      <c r="E41" s="30" t="s">
        <v>46</v>
      </c>
      <c r="F41" s="31" t="s">
        <v>46</v>
      </c>
      <c r="G41" s="32" t="s">
        <v>46</v>
      </c>
      <c r="H41" s="27"/>
      <c r="I41" s="27" t="s">
        <v>47</v>
      </c>
      <c r="J41" s="33">
        <v>1</v>
      </c>
      <c r="K41" s="37">
        <f>27790</f>
        <v>27790</v>
      </c>
      <c r="L41" s="34" t="s">
        <v>48</v>
      </c>
      <c r="M41" s="37">
        <f>28980</f>
        <v>28980</v>
      </c>
      <c r="N41" s="34" t="s">
        <v>49</v>
      </c>
      <c r="O41" s="37">
        <f>27200</f>
        <v>27200</v>
      </c>
      <c r="P41" s="34" t="s">
        <v>77</v>
      </c>
      <c r="Q41" s="37">
        <f>27680</f>
        <v>27680</v>
      </c>
      <c r="R41" s="34" t="s">
        <v>50</v>
      </c>
      <c r="S41" s="36">
        <f>28222.11</f>
        <v>28222.11</v>
      </c>
      <c r="T41" s="33">
        <f>208957</f>
        <v>208957</v>
      </c>
      <c r="U41" s="33">
        <f>111540</f>
        <v>111540</v>
      </c>
      <c r="V41" s="33">
        <f>5856152393</f>
        <v>5856152393</v>
      </c>
      <c r="W41" s="33">
        <f>3112896483</f>
        <v>3112896483</v>
      </c>
      <c r="X41" s="35">
        <f>19</f>
        <v>19</v>
      </c>
    </row>
    <row r="42" spans="1:24">
      <c r="A42" s="29" t="s">
        <v>42</v>
      </c>
      <c r="B42" s="29" t="s">
        <v>163</v>
      </c>
      <c r="C42" s="29" t="s">
        <v>164</v>
      </c>
      <c r="D42" s="29" t="s">
        <v>165</v>
      </c>
      <c r="E42" s="30" t="s">
        <v>46</v>
      </c>
      <c r="F42" s="31" t="s">
        <v>46</v>
      </c>
      <c r="G42" s="32" t="s">
        <v>46</v>
      </c>
      <c r="H42" s="27"/>
      <c r="I42" s="27" t="s">
        <v>47</v>
      </c>
      <c r="J42" s="33">
        <v>1</v>
      </c>
      <c r="K42" s="37">
        <f>4515</f>
        <v>4515</v>
      </c>
      <c r="L42" s="34" t="s">
        <v>48</v>
      </c>
      <c r="M42" s="37">
        <f>4645</f>
        <v>4645</v>
      </c>
      <c r="N42" s="34" t="s">
        <v>96</v>
      </c>
      <c r="O42" s="37">
        <f>4420</f>
        <v>4420</v>
      </c>
      <c r="P42" s="34" t="s">
        <v>88</v>
      </c>
      <c r="Q42" s="37">
        <f>4445</f>
        <v>4445</v>
      </c>
      <c r="R42" s="34" t="s">
        <v>50</v>
      </c>
      <c r="S42" s="36">
        <f>4553.16</f>
        <v>4553.16</v>
      </c>
      <c r="T42" s="33">
        <f>4953</f>
        <v>4953</v>
      </c>
      <c r="U42" s="33" t="str">
        <f t="shared" ref="U42:U51" si="0">"－"</f>
        <v>－</v>
      </c>
      <c r="V42" s="33">
        <f>22536100</f>
        <v>22536100</v>
      </c>
      <c r="W42" s="33" t="str">
        <f t="shared" ref="W42:W51" si="1">"－"</f>
        <v>－</v>
      </c>
      <c r="X42" s="35">
        <f>19</f>
        <v>19</v>
      </c>
    </row>
    <row r="43" spans="1:24">
      <c r="A43" s="29" t="s">
        <v>42</v>
      </c>
      <c r="B43" s="29" t="s">
        <v>166</v>
      </c>
      <c r="C43" s="29" t="s">
        <v>167</v>
      </c>
      <c r="D43" s="29" t="s">
        <v>168</v>
      </c>
      <c r="E43" s="30" t="s">
        <v>46</v>
      </c>
      <c r="F43" s="31" t="s">
        <v>46</v>
      </c>
      <c r="G43" s="32" t="s">
        <v>46</v>
      </c>
      <c r="H43" s="27"/>
      <c r="I43" s="27" t="s">
        <v>47</v>
      </c>
      <c r="J43" s="33">
        <v>1</v>
      </c>
      <c r="K43" s="37">
        <f>8230</f>
        <v>8230</v>
      </c>
      <c r="L43" s="34" t="s">
        <v>48</v>
      </c>
      <c r="M43" s="37">
        <f>8470</f>
        <v>8470</v>
      </c>
      <c r="N43" s="34" t="s">
        <v>49</v>
      </c>
      <c r="O43" s="37">
        <f>8050</f>
        <v>8050</v>
      </c>
      <c r="P43" s="34" t="s">
        <v>48</v>
      </c>
      <c r="Q43" s="37">
        <f>8110</f>
        <v>8110</v>
      </c>
      <c r="R43" s="34" t="s">
        <v>50</v>
      </c>
      <c r="S43" s="36">
        <f>8310.53</f>
        <v>8310.5300000000007</v>
      </c>
      <c r="T43" s="33">
        <f>3429</f>
        <v>3429</v>
      </c>
      <c r="U43" s="33" t="str">
        <f t="shared" si="0"/>
        <v>－</v>
      </c>
      <c r="V43" s="33">
        <f>28510010</f>
        <v>28510010</v>
      </c>
      <c r="W43" s="33" t="str">
        <f t="shared" si="1"/>
        <v>－</v>
      </c>
      <c r="X43" s="35">
        <f>19</f>
        <v>19</v>
      </c>
    </row>
    <row r="44" spans="1:24">
      <c r="A44" s="29" t="s">
        <v>42</v>
      </c>
      <c r="B44" s="29" t="s">
        <v>169</v>
      </c>
      <c r="C44" s="29" t="s">
        <v>170</v>
      </c>
      <c r="D44" s="29" t="s">
        <v>171</v>
      </c>
      <c r="E44" s="30" t="s">
        <v>46</v>
      </c>
      <c r="F44" s="31" t="s">
        <v>46</v>
      </c>
      <c r="G44" s="32" t="s">
        <v>46</v>
      </c>
      <c r="H44" s="27"/>
      <c r="I44" s="27" t="s">
        <v>47</v>
      </c>
      <c r="J44" s="33">
        <v>1</v>
      </c>
      <c r="K44" s="37">
        <f>17000</f>
        <v>17000</v>
      </c>
      <c r="L44" s="34" t="s">
        <v>172</v>
      </c>
      <c r="M44" s="37">
        <f>17100</f>
        <v>17100</v>
      </c>
      <c r="N44" s="34" t="s">
        <v>96</v>
      </c>
      <c r="O44" s="37">
        <f>15910</f>
        <v>15910</v>
      </c>
      <c r="P44" s="34" t="s">
        <v>88</v>
      </c>
      <c r="Q44" s="37">
        <f>15910</f>
        <v>15910</v>
      </c>
      <c r="R44" s="34" t="s">
        <v>88</v>
      </c>
      <c r="S44" s="36">
        <f>16753</f>
        <v>16753</v>
      </c>
      <c r="T44" s="33">
        <f>146</f>
        <v>146</v>
      </c>
      <c r="U44" s="33" t="str">
        <f t="shared" si="0"/>
        <v>－</v>
      </c>
      <c r="V44" s="33">
        <f>2448270</f>
        <v>2448270</v>
      </c>
      <c r="W44" s="33" t="str">
        <f t="shared" si="1"/>
        <v>－</v>
      </c>
      <c r="X44" s="35">
        <f>10</f>
        <v>10</v>
      </c>
    </row>
    <row r="45" spans="1:24">
      <c r="A45" s="29" t="s">
        <v>42</v>
      </c>
      <c r="B45" s="29" t="s">
        <v>173</v>
      </c>
      <c r="C45" s="29" t="s">
        <v>174</v>
      </c>
      <c r="D45" s="29" t="s">
        <v>175</v>
      </c>
      <c r="E45" s="30" t="s">
        <v>46</v>
      </c>
      <c r="F45" s="31" t="s">
        <v>46</v>
      </c>
      <c r="G45" s="32" t="s">
        <v>46</v>
      </c>
      <c r="H45" s="27"/>
      <c r="I45" s="27" t="s">
        <v>47</v>
      </c>
      <c r="J45" s="33">
        <v>1</v>
      </c>
      <c r="K45" s="37">
        <f>13930</f>
        <v>13930</v>
      </c>
      <c r="L45" s="34" t="s">
        <v>84</v>
      </c>
      <c r="M45" s="37">
        <f>14660</f>
        <v>14660</v>
      </c>
      <c r="N45" s="34" t="s">
        <v>176</v>
      </c>
      <c r="O45" s="37">
        <f>13710</f>
        <v>13710</v>
      </c>
      <c r="P45" s="34" t="s">
        <v>77</v>
      </c>
      <c r="Q45" s="37">
        <f>14660</f>
        <v>14660</v>
      </c>
      <c r="R45" s="34" t="s">
        <v>176</v>
      </c>
      <c r="S45" s="36">
        <f>14254.29</f>
        <v>14254.29</v>
      </c>
      <c r="T45" s="33">
        <f>40</f>
        <v>40</v>
      </c>
      <c r="U45" s="33" t="str">
        <f t="shared" si="0"/>
        <v>－</v>
      </c>
      <c r="V45" s="33">
        <f>575040</f>
        <v>575040</v>
      </c>
      <c r="W45" s="33" t="str">
        <f t="shared" si="1"/>
        <v>－</v>
      </c>
      <c r="X45" s="35">
        <f>7</f>
        <v>7</v>
      </c>
    </row>
    <row r="46" spans="1:24">
      <c r="A46" s="29" t="s">
        <v>42</v>
      </c>
      <c r="B46" s="29" t="s">
        <v>177</v>
      </c>
      <c r="C46" s="29" t="s">
        <v>178</v>
      </c>
      <c r="D46" s="29" t="s">
        <v>179</v>
      </c>
      <c r="E46" s="30" t="s">
        <v>46</v>
      </c>
      <c r="F46" s="31" t="s">
        <v>46</v>
      </c>
      <c r="G46" s="32" t="s">
        <v>46</v>
      </c>
      <c r="H46" s="27"/>
      <c r="I46" s="27" t="s">
        <v>47</v>
      </c>
      <c r="J46" s="33">
        <v>1</v>
      </c>
      <c r="K46" s="37">
        <f>8650</f>
        <v>8650</v>
      </c>
      <c r="L46" s="34" t="s">
        <v>48</v>
      </c>
      <c r="M46" s="37">
        <f>9100</f>
        <v>9100</v>
      </c>
      <c r="N46" s="34" t="s">
        <v>172</v>
      </c>
      <c r="O46" s="37">
        <f>8410</f>
        <v>8410</v>
      </c>
      <c r="P46" s="34" t="s">
        <v>48</v>
      </c>
      <c r="Q46" s="37">
        <f>8640</f>
        <v>8640</v>
      </c>
      <c r="R46" s="34" t="s">
        <v>50</v>
      </c>
      <c r="S46" s="36">
        <f>8846.84</f>
        <v>8846.84</v>
      </c>
      <c r="T46" s="33">
        <f>4135</f>
        <v>4135</v>
      </c>
      <c r="U46" s="33" t="str">
        <f t="shared" si="0"/>
        <v>－</v>
      </c>
      <c r="V46" s="33">
        <f>36283850</f>
        <v>36283850</v>
      </c>
      <c r="W46" s="33" t="str">
        <f t="shared" si="1"/>
        <v>－</v>
      </c>
      <c r="X46" s="35">
        <f>19</f>
        <v>19</v>
      </c>
    </row>
    <row r="47" spans="1:24">
      <c r="A47" s="29" t="s">
        <v>42</v>
      </c>
      <c r="B47" s="29" t="s">
        <v>180</v>
      </c>
      <c r="C47" s="29" t="s">
        <v>181</v>
      </c>
      <c r="D47" s="29" t="s">
        <v>182</v>
      </c>
      <c r="E47" s="30" t="s">
        <v>46</v>
      </c>
      <c r="F47" s="31" t="s">
        <v>46</v>
      </c>
      <c r="G47" s="32" t="s">
        <v>46</v>
      </c>
      <c r="H47" s="27"/>
      <c r="I47" s="27" t="s">
        <v>47</v>
      </c>
      <c r="J47" s="33">
        <v>1</v>
      </c>
      <c r="K47" s="37">
        <f>4860</f>
        <v>4860</v>
      </c>
      <c r="L47" s="34" t="s">
        <v>48</v>
      </c>
      <c r="M47" s="37">
        <f>5040</f>
        <v>5040</v>
      </c>
      <c r="N47" s="34" t="s">
        <v>92</v>
      </c>
      <c r="O47" s="37">
        <f>4755</f>
        <v>4755</v>
      </c>
      <c r="P47" s="34" t="s">
        <v>84</v>
      </c>
      <c r="Q47" s="37">
        <f>4865</f>
        <v>4865</v>
      </c>
      <c r="R47" s="34" t="s">
        <v>50</v>
      </c>
      <c r="S47" s="36">
        <f>4923.68</f>
        <v>4923.68</v>
      </c>
      <c r="T47" s="33">
        <f>1677</f>
        <v>1677</v>
      </c>
      <c r="U47" s="33" t="str">
        <f t="shared" si="0"/>
        <v>－</v>
      </c>
      <c r="V47" s="33">
        <f>8242060</f>
        <v>8242060</v>
      </c>
      <c r="W47" s="33" t="str">
        <f t="shared" si="1"/>
        <v>－</v>
      </c>
      <c r="X47" s="35">
        <f>19</f>
        <v>19</v>
      </c>
    </row>
    <row r="48" spans="1:24">
      <c r="A48" s="29" t="s">
        <v>42</v>
      </c>
      <c r="B48" s="29" t="s">
        <v>183</v>
      </c>
      <c r="C48" s="29" t="s">
        <v>184</v>
      </c>
      <c r="D48" s="29" t="s">
        <v>185</v>
      </c>
      <c r="E48" s="30" t="s">
        <v>46</v>
      </c>
      <c r="F48" s="31" t="s">
        <v>46</v>
      </c>
      <c r="G48" s="32" t="s">
        <v>46</v>
      </c>
      <c r="H48" s="27"/>
      <c r="I48" s="27" t="s">
        <v>47</v>
      </c>
      <c r="J48" s="33">
        <v>1</v>
      </c>
      <c r="K48" s="37">
        <f>2394</f>
        <v>2394</v>
      </c>
      <c r="L48" s="34" t="s">
        <v>48</v>
      </c>
      <c r="M48" s="37">
        <f>2481</f>
        <v>2481</v>
      </c>
      <c r="N48" s="34" t="s">
        <v>131</v>
      </c>
      <c r="O48" s="37">
        <f>2333</f>
        <v>2333</v>
      </c>
      <c r="P48" s="34" t="s">
        <v>84</v>
      </c>
      <c r="Q48" s="37">
        <f>2395</f>
        <v>2395</v>
      </c>
      <c r="R48" s="34" t="s">
        <v>50</v>
      </c>
      <c r="S48" s="36">
        <f>2401.21</f>
        <v>2401.21</v>
      </c>
      <c r="T48" s="33">
        <f>5236</f>
        <v>5236</v>
      </c>
      <c r="U48" s="33" t="str">
        <f t="shared" si="0"/>
        <v>－</v>
      </c>
      <c r="V48" s="33">
        <f>12526722</f>
        <v>12526722</v>
      </c>
      <c r="W48" s="33" t="str">
        <f t="shared" si="1"/>
        <v>－</v>
      </c>
      <c r="X48" s="35">
        <f>19</f>
        <v>19</v>
      </c>
    </row>
    <row r="49" spans="1:24">
      <c r="A49" s="29" t="s">
        <v>42</v>
      </c>
      <c r="B49" s="29" t="s">
        <v>186</v>
      </c>
      <c r="C49" s="29" t="s">
        <v>187</v>
      </c>
      <c r="D49" s="29" t="s">
        <v>188</v>
      </c>
      <c r="E49" s="30" t="s">
        <v>46</v>
      </c>
      <c r="F49" s="31" t="s">
        <v>46</v>
      </c>
      <c r="G49" s="32" t="s">
        <v>46</v>
      </c>
      <c r="H49" s="27"/>
      <c r="I49" s="27" t="s">
        <v>47</v>
      </c>
      <c r="J49" s="33">
        <v>1</v>
      </c>
      <c r="K49" s="37">
        <f>2339</f>
        <v>2339</v>
      </c>
      <c r="L49" s="34" t="s">
        <v>48</v>
      </c>
      <c r="M49" s="37">
        <f>2496</f>
        <v>2496</v>
      </c>
      <c r="N49" s="34" t="s">
        <v>96</v>
      </c>
      <c r="O49" s="37">
        <f>2269</f>
        <v>2269</v>
      </c>
      <c r="P49" s="34" t="s">
        <v>48</v>
      </c>
      <c r="Q49" s="37">
        <f>2307</f>
        <v>2307</v>
      </c>
      <c r="R49" s="34" t="s">
        <v>50</v>
      </c>
      <c r="S49" s="36">
        <f>2381.63</f>
        <v>2381.63</v>
      </c>
      <c r="T49" s="33">
        <f>10351</f>
        <v>10351</v>
      </c>
      <c r="U49" s="33" t="str">
        <f t="shared" si="0"/>
        <v>－</v>
      </c>
      <c r="V49" s="33">
        <f>24828804</f>
        <v>24828804</v>
      </c>
      <c r="W49" s="33" t="str">
        <f t="shared" si="1"/>
        <v>－</v>
      </c>
      <c r="X49" s="35">
        <f>19</f>
        <v>19</v>
      </c>
    </row>
    <row r="50" spans="1:24">
      <c r="A50" s="29" t="s">
        <v>42</v>
      </c>
      <c r="B50" s="29" t="s">
        <v>189</v>
      </c>
      <c r="C50" s="29" t="s">
        <v>190</v>
      </c>
      <c r="D50" s="29" t="s">
        <v>191</v>
      </c>
      <c r="E50" s="30" t="s">
        <v>46</v>
      </c>
      <c r="F50" s="31" t="s">
        <v>46</v>
      </c>
      <c r="G50" s="32" t="s">
        <v>46</v>
      </c>
      <c r="H50" s="27"/>
      <c r="I50" s="27" t="s">
        <v>47</v>
      </c>
      <c r="J50" s="33">
        <v>1</v>
      </c>
      <c r="K50" s="37">
        <f>38200</f>
        <v>38200</v>
      </c>
      <c r="L50" s="34" t="s">
        <v>48</v>
      </c>
      <c r="M50" s="37">
        <f>39950</f>
        <v>39950</v>
      </c>
      <c r="N50" s="34" t="s">
        <v>69</v>
      </c>
      <c r="O50" s="37">
        <f>37450</f>
        <v>37450</v>
      </c>
      <c r="P50" s="34" t="s">
        <v>77</v>
      </c>
      <c r="Q50" s="37">
        <f>38700</f>
        <v>38700</v>
      </c>
      <c r="R50" s="34" t="s">
        <v>50</v>
      </c>
      <c r="S50" s="36">
        <f>38942.11</f>
        <v>38942.11</v>
      </c>
      <c r="T50" s="33">
        <f>783</f>
        <v>783</v>
      </c>
      <c r="U50" s="33" t="str">
        <f t="shared" si="0"/>
        <v>－</v>
      </c>
      <c r="V50" s="33">
        <f>30483050</f>
        <v>30483050</v>
      </c>
      <c r="W50" s="33" t="str">
        <f t="shared" si="1"/>
        <v>－</v>
      </c>
      <c r="X50" s="35">
        <f>19</f>
        <v>19</v>
      </c>
    </row>
    <row r="51" spans="1:24">
      <c r="A51" s="29" t="s">
        <v>42</v>
      </c>
      <c r="B51" s="29" t="s">
        <v>192</v>
      </c>
      <c r="C51" s="29" t="s">
        <v>193</v>
      </c>
      <c r="D51" s="29" t="s">
        <v>194</v>
      </c>
      <c r="E51" s="30" t="s">
        <v>46</v>
      </c>
      <c r="F51" s="31" t="s">
        <v>46</v>
      </c>
      <c r="G51" s="32" t="s">
        <v>46</v>
      </c>
      <c r="H51" s="27"/>
      <c r="I51" s="27" t="s">
        <v>47</v>
      </c>
      <c r="J51" s="33">
        <v>1</v>
      </c>
      <c r="K51" s="37">
        <f>28500</f>
        <v>28500</v>
      </c>
      <c r="L51" s="34" t="s">
        <v>77</v>
      </c>
      <c r="M51" s="37">
        <f>29790</f>
        <v>29790</v>
      </c>
      <c r="N51" s="34" t="s">
        <v>49</v>
      </c>
      <c r="O51" s="37">
        <f>28000</f>
        <v>28000</v>
      </c>
      <c r="P51" s="34" t="s">
        <v>77</v>
      </c>
      <c r="Q51" s="37">
        <f>28690</f>
        <v>28690</v>
      </c>
      <c r="R51" s="34" t="s">
        <v>50</v>
      </c>
      <c r="S51" s="36">
        <f>29102.31</f>
        <v>29102.31</v>
      </c>
      <c r="T51" s="33">
        <f>253</f>
        <v>253</v>
      </c>
      <c r="U51" s="33" t="str">
        <f t="shared" si="0"/>
        <v>－</v>
      </c>
      <c r="V51" s="33">
        <f>7286210</f>
        <v>7286210</v>
      </c>
      <c r="W51" s="33" t="str">
        <f t="shared" si="1"/>
        <v>－</v>
      </c>
      <c r="X51" s="35">
        <f>13</f>
        <v>13</v>
      </c>
    </row>
    <row r="52" spans="1:24">
      <c r="A52" s="29" t="s">
        <v>42</v>
      </c>
      <c r="B52" s="29" t="s">
        <v>195</v>
      </c>
      <c r="C52" s="29" t="s">
        <v>196</v>
      </c>
      <c r="D52" s="29" t="s">
        <v>197</v>
      </c>
      <c r="E52" s="30" t="s">
        <v>46</v>
      </c>
      <c r="F52" s="31" t="s">
        <v>46</v>
      </c>
      <c r="G52" s="32" t="s">
        <v>46</v>
      </c>
      <c r="H52" s="27"/>
      <c r="I52" s="27" t="s">
        <v>47</v>
      </c>
      <c r="J52" s="33">
        <v>1</v>
      </c>
      <c r="K52" s="37">
        <f>27820</f>
        <v>27820</v>
      </c>
      <c r="L52" s="34" t="s">
        <v>48</v>
      </c>
      <c r="M52" s="37">
        <f>29300</f>
        <v>29300</v>
      </c>
      <c r="N52" s="34" t="s">
        <v>69</v>
      </c>
      <c r="O52" s="37">
        <f>26840</f>
        <v>26840</v>
      </c>
      <c r="P52" s="34" t="s">
        <v>77</v>
      </c>
      <c r="Q52" s="37">
        <f>27800</f>
        <v>27800</v>
      </c>
      <c r="R52" s="34" t="s">
        <v>50</v>
      </c>
      <c r="S52" s="36">
        <f>28305.88</f>
        <v>28305.88</v>
      </c>
      <c r="T52" s="33">
        <f>417636</f>
        <v>417636</v>
      </c>
      <c r="U52" s="33">
        <f>416887</f>
        <v>416887</v>
      </c>
      <c r="V52" s="33">
        <f>12103745413</f>
        <v>12103745413</v>
      </c>
      <c r="W52" s="33">
        <f>12082322853</f>
        <v>12082322853</v>
      </c>
      <c r="X52" s="35">
        <f>17</f>
        <v>17</v>
      </c>
    </row>
    <row r="53" spans="1:24">
      <c r="A53" s="29" t="s">
        <v>42</v>
      </c>
      <c r="B53" s="29" t="s">
        <v>198</v>
      </c>
      <c r="C53" s="29" t="s">
        <v>199</v>
      </c>
      <c r="D53" s="29" t="s">
        <v>200</v>
      </c>
      <c r="E53" s="30" t="s">
        <v>46</v>
      </c>
      <c r="F53" s="31" t="s">
        <v>46</v>
      </c>
      <c r="G53" s="32" t="s">
        <v>46</v>
      </c>
      <c r="H53" s="27"/>
      <c r="I53" s="27" t="s">
        <v>47</v>
      </c>
      <c r="J53" s="33">
        <v>10</v>
      </c>
      <c r="K53" s="37">
        <f>1820</f>
        <v>1820</v>
      </c>
      <c r="L53" s="34" t="s">
        <v>48</v>
      </c>
      <c r="M53" s="37">
        <f>1882</f>
        <v>1882</v>
      </c>
      <c r="N53" s="34" t="s">
        <v>50</v>
      </c>
      <c r="O53" s="37">
        <f>1786</f>
        <v>1786</v>
      </c>
      <c r="P53" s="34" t="s">
        <v>69</v>
      </c>
      <c r="Q53" s="37">
        <f>1864</f>
        <v>1864</v>
      </c>
      <c r="R53" s="34" t="s">
        <v>50</v>
      </c>
      <c r="S53" s="36">
        <f>1818.58</f>
        <v>1818.58</v>
      </c>
      <c r="T53" s="33">
        <f>102690</f>
        <v>102690</v>
      </c>
      <c r="U53" s="33">
        <f>41000</f>
        <v>41000</v>
      </c>
      <c r="V53" s="33">
        <f>185556890</f>
        <v>185556890</v>
      </c>
      <c r="W53" s="33">
        <f>73801950</f>
        <v>73801950</v>
      </c>
      <c r="X53" s="35">
        <f>19</f>
        <v>19</v>
      </c>
    </row>
    <row r="54" spans="1:24">
      <c r="A54" s="29" t="s">
        <v>42</v>
      </c>
      <c r="B54" s="29" t="s">
        <v>201</v>
      </c>
      <c r="C54" s="29" t="s">
        <v>202</v>
      </c>
      <c r="D54" s="29" t="s">
        <v>203</v>
      </c>
      <c r="E54" s="30" t="s">
        <v>46</v>
      </c>
      <c r="F54" s="31" t="s">
        <v>46</v>
      </c>
      <c r="G54" s="32" t="s">
        <v>46</v>
      </c>
      <c r="H54" s="27"/>
      <c r="I54" s="27" t="s">
        <v>47</v>
      </c>
      <c r="J54" s="33">
        <v>10</v>
      </c>
      <c r="K54" s="37">
        <f>1459</f>
        <v>1459</v>
      </c>
      <c r="L54" s="34" t="s">
        <v>48</v>
      </c>
      <c r="M54" s="37">
        <f>1494</f>
        <v>1494</v>
      </c>
      <c r="N54" s="34" t="s">
        <v>73</v>
      </c>
      <c r="O54" s="37">
        <f>1415</f>
        <v>1415</v>
      </c>
      <c r="P54" s="34" t="s">
        <v>48</v>
      </c>
      <c r="Q54" s="37">
        <f>1483</f>
        <v>1483</v>
      </c>
      <c r="R54" s="34" t="s">
        <v>50</v>
      </c>
      <c r="S54" s="36">
        <f>1465.78</f>
        <v>1465.78</v>
      </c>
      <c r="T54" s="33">
        <f>74330</f>
        <v>74330</v>
      </c>
      <c r="U54" s="33">
        <f>32000</f>
        <v>32000</v>
      </c>
      <c r="V54" s="33">
        <f>107471950</f>
        <v>107471950</v>
      </c>
      <c r="W54" s="33">
        <f>46176640</f>
        <v>46176640</v>
      </c>
      <c r="X54" s="35">
        <f>18</f>
        <v>18</v>
      </c>
    </row>
    <row r="55" spans="1:24">
      <c r="A55" s="29" t="s">
        <v>42</v>
      </c>
      <c r="B55" s="29" t="s">
        <v>204</v>
      </c>
      <c r="C55" s="29" t="s">
        <v>205</v>
      </c>
      <c r="D55" s="29" t="s">
        <v>206</v>
      </c>
      <c r="E55" s="30" t="s">
        <v>46</v>
      </c>
      <c r="F55" s="31" t="s">
        <v>46</v>
      </c>
      <c r="G55" s="32" t="s">
        <v>46</v>
      </c>
      <c r="H55" s="27"/>
      <c r="I55" s="27" t="s">
        <v>47</v>
      </c>
      <c r="J55" s="33">
        <v>1</v>
      </c>
      <c r="K55" s="37">
        <f>4695</f>
        <v>4695</v>
      </c>
      <c r="L55" s="34" t="s">
        <v>48</v>
      </c>
      <c r="M55" s="37">
        <f>4795</f>
        <v>4795</v>
      </c>
      <c r="N55" s="34" t="s">
        <v>77</v>
      </c>
      <c r="O55" s="37">
        <f>4465</f>
        <v>4465</v>
      </c>
      <c r="P55" s="34" t="s">
        <v>49</v>
      </c>
      <c r="Q55" s="37">
        <f>4675</f>
        <v>4675</v>
      </c>
      <c r="R55" s="34" t="s">
        <v>50</v>
      </c>
      <c r="S55" s="36">
        <f>4589.47</f>
        <v>4589.47</v>
      </c>
      <c r="T55" s="33">
        <f>365320</f>
        <v>365320</v>
      </c>
      <c r="U55" s="33">
        <f>5</f>
        <v>5</v>
      </c>
      <c r="V55" s="33">
        <f>1680286835</f>
        <v>1680286835</v>
      </c>
      <c r="W55" s="33">
        <f>23365</f>
        <v>23365</v>
      </c>
      <c r="X55" s="35">
        <f>19</f>
        <v>19</v>
      </c>
    </row>
    <row r="56" spans="1:24">
      <c r="A56" s="29" t="s">
        <v>42</v>
      </c>
      <c r="B56" s="29" t="s">
        <v>207</v>
      </c>
      <c r="C56" s="29" t="s">
        <v>208</v>
      </c>
      <c r="D56" s="29" t="s">
        <v>209</v>
      </c>
      <c r="E56" s="30" t="s">
        <v>46</v>
      </c>
      <c r="F56" s="31" t="s">
        <v>46</v>
      </c>
      <c r="G56" s="32" t="s">
        <v>46</v>
      </c>
      <c r="H56" s="27"/>
      <c r="I56" s="27" t="s">
        <v>47</v>
      </c>
      <c r="J56" s="33">
        <v>1</v>
      </c>
      <c r="K56" s="37">
        <f>5890</f>
        <v>5890</v>
      </c>
      <c r="L56" s="34" t="s">
        <v>48</v>
      </c>
      <c r="M56" s="37">
        <f>6010</f>
        <v>6010</v>
      </c>
      <c r="N56" s="34" t="s">
        <v>48</v>
      </c>
      <c r="O56" s="37">
        <f>5650</f>
        <v>5650</v>
      </c>
      <c r="P56" s="34" t="s">
        <v>49</v>
      </c>
      <c r="Q56" s="37">
        <f>5890</f>
        <v>5890</v>
      </c>
      <c r="R56" s="34" t="s">
        <v>50</v>
      </c>
      <c r="S56" s="36">
        <f>5781.58</f>
        <v>5781.58</v>
      </c>
      <c r="T56" s="33">
        <f>531565</f>
        <v>531565</v>
      </c>
      <c r="U56" s="33">
        <f>286261</f>
        <v>286261</v>
      </c>
      <c r="V56" s="33">
        <f>3065657705</f>
        <v>3065657705</v>
      </c>
      <c r="W56" s="33">
        <f>1643876765</f>
        <v>1643876765</v>
      </c>
      <c r="X56" s="35">
        <f>19</f>
        <v>19</v>
      </c>
    </row>
    <row r="57" spans="1:24">
      <c r="A57" s="29" t="s">
        <v>42</v>
      </c>
      <c r="B57" s="29" t="s">
        <v>210</v>
      </c>
      <c r="C57" s="29" t="s">
        <v>211</v>
      </c>
      <c r="D57" s="29" t="s">
        <v>212</v>
      </c>
      <c r="E57" s="30" t="s">
        <v>46</v>
      </c>
      <c r="F57" s="31" t="s">
        <v>46</v>
      </c>
      <c r="G57" s="32" t="s">
        <v>46</v>
      </c>
      <c r="H57" s="27"/>
      <c r="I57" s="27" t="s">
        <v>47</v>
      </c>
      <c r="J57" s="33">
        <v>1</v>
      </c>
      <c r="K57" s="37">
        <f>17010</f>
        <v>17010</v>
      </c>
      <c r="L57" s="34" t="s">
        <v>48</v>
      </c>
      <c r="M57" s="37">
        <f>18700</f>
        <v>18700</v>
      </c>
      <c r="N57" s="34" t="s">
        <v>49</v>
      </c>
      <c r="O57" s="37">
        <f>16240</f>
        <v>16240</v>
      </c>
      <c r="P57" s="34" t="s">
        <v>77</v>
      </c>
      <c r="Q57" s="37">
        <f>17000</f>
        <v>17000</v>
      </c>
      <c r="R57" s="34" t="s">
        <v>50</v>
      </c>
      <c r="S57" s="36">
        <f>17699.47</f>
        <v>17699.47</v>
      </c>
      <c r="T57" s="33">
        <f>13994416</f>
        <v>13994416</v>
      </c>
      <c r="U57" s="33">
        <f>6</f>
        <v>6</v>
      </c>
      <c r="V57" s="33">
        <f>248158091770</f>
        <v>248158091770</v>
      </c>
      <c r="W57" s="33">
        <f>103750</f>
        <v>103750</v>
      </c>
      <c r="X57" s="35">
        <f>19</f>
        <v>19</v>
      </c>
    </row>
    <row r="58" spans="1:24">
      <c r="A58" s="29" t="s">
        <v>42</v>
      </c>
      <c r="B58" s="29" t="s">
        <v>213</v>
      </c>
      <c r="C58" s="29" t="s">
        <v>214</v>
      </c>
      <c r="D58" s="29" t="s">
        <v>215</v>
      </c>
      <c r="E58" s="30" t="s">
        <v>46</v>
      </c>
      <c r="F58" s="31" t="s">
        <v>46</v>
      </c>
      <c r="G58" s="32" t="s">
        <v>46</v>
      </c>
      <c r="H58" s="27"/>
      <c r="I58" s="27" t="s">
        <v>47</v>
      </c>
      <c r="J58" s="33">
        <v>1</v>
      </c>
      <c r="K58" s="37">
        <f>1946</f>
        <v>1946</v>
      </c>
      <c r="L58" s="34" t="s">
        <v>48</v>
      </c>
      <c r="M58" s="37">
        <f>2034</f>
        <v>2034</v>
      </c>
      <c r="N58" s="34" t="s">
        <v>77</v>
      </c>
      <c r="O58" s="37">
        <f>1757</f>
        <v>1757</v>
      </c>
      <c r="P58" s="34" t="s">
        <v>49</v>
      </c>
      <c r="Q58" s="37">
        <f>1921</f>
        <v>1921</v>
      </c>
      <c r="R58" s="34" t="s">
        <v>50</v>
      </c>
      <c r="S58" s="36">
        <f>1860.95</f>
        <v>1860.95</v>
      </c>
      <c r="T58" s="33">
        <f>63540444</f>
        <v>63540444</v>
      </c>
      <c r="U58" s="33">
        <f>3</f>
        <v>3</v>
      </c>
      <c r="V58" s="33">
        <f>119019918821</f>
        <v>119019918821</v>
      </c>
      <c r="W58" s="33">
        <f>5652</f>
        <v>5652</v>
      </c>
      <c r="X58" s="35">
        <f>19</f>
        <v>19</v>
      </c>
    </row>
    <row r="59" spans="1:24">
      <c r="A59" s="29" t="s">
        <v>42</v>
      </c>
      <c r="B59" s="29" t="s">
        <v>216</v>
      </c>
      <c r="C59" s="29" t="s">
        <v>217</v>
      </c>
      <c r="D59" s="29" t="s">
        <v>218</v>
      </c>
      <c r="E59" s="30" t="s">
        <v>46</v>
      </c>
      <c r="F59" s="31" t="s">
        <v>46</v>
      </c>
      <c r="G59" s="32" t="s">
        <v>46</v>
      </c>
      <c r="H59" s="27"/>
      <c r="I59" s="27" t="s">
        <v>47</v>
      </c>
      <c r="J59" s="33">
        <v>1</v>
      </c>
      <c r="K59" s="37">
        <f>23110</f>
        <v>23110</v>
      </c>
      <c r="L59" s="34" t="s">
        <v>48</v>
      </c>
      <c r="M59" s="37">
        <f>24000</f>
        <v>24000</v>
      </c>
      <c r="N59" s="34" t="s">
        <v>48</v>
      </c>
      <c r="O59" s="37">
        <f>23110</f>
        <v>23110</v>
      </c>
      <c r="P59" s="34" t="s">
        <v>48</v>
      </c>
      <c r="Q59" s="37">
        <f>23800</f>
        <v>23800</v>
      </c>
      <c r="R59" s="34" t="s">
        <v>176</v>
      </c>
      <c r="S59" s="36">
        <f>23866</f>
        <v>23866</v>
      </c>
      <c r="T59" s="33">
        <f>7036</f>
        <v>7036</v>
      </c>
      <c r="U59" s="33">
        <f>7000</f>
        <v>7000</v>
      </c>
      <c r="V59" s="33">
        <f>171174130</f>
        <v>171174130</v>
      </c>
      <c r="W59" s="33">
        <f>170317000</f>
        <v>170317000</v>
      </c>
      <c r="X59" s="35">
        <f>5</f>
        <v>5</v>
      </c>
    </row>
    <row r="60" spans="1:24">
      <c r="A60" s="29" t="s">
        <v>42</v>
      </c>
      <c r="B60" s="29" t="s">
        <v>219</v>
      </c>
      <c r="C60" s="29" t="s">
        <v>220</v>
      </c>
      <c r="D60" s="29" t="s">
        <v>221</v>
      </c>
      <c r="E60" s="30" t="s">
        <v>46</v>
      </c>
      <c r="F60" s="31" t="s">
        <v>46</v>
      </c>
      <c r="G60" s="32" t="s">
        <v>46</v>
      </c>
      <c r="H60" s="27"/>
      <c r="I60" s="27" t="s">
        <v>47</v>
      </c>
      <c r="J60" s="33">
        <v>1</v>
      </c>
      <c r="K60" s="37">
        <f>12910</f>
        <v>12910</v>
      </c>
      <c r="L60" s="34" t="s">
        <v>48</v>
      </c>
      <c r="M60" s="37">
        <f>14080</f>
        <v>14080</v>
      </c>
      <c r="N60" s="34" t="s">
        <v>49</v>
      </c>
      <c r="O60" s="37">
        <f>12430</f>
        <v>12430</v>
      </c>
      <c r="P60" s="34" t="s">
        <v>48</v>
      </c>
      <c r="Q60" s="37">
        <f>12920</f>
        <v>12920</v>
      </c>
      <c r="R60" s="34" t="s">
        <v>50</v>
      </c>
      <c r="S60" s="36">
        <f>13390.53</f>
        <v>13390.53</v>
      </c>
      <c r="T60" s="33">
        <f>3241</f>
        <v>3241</v>
      </c>
      <c r="U60" s="33" t="str">
        <f>"－"</f>
        <v>－</v>
      </c>
      <c r="V60" s="33">
        <f>43084010</f>
        <v>43084010</v>
      </c>
      <c r="W60" s="33" t="str">
        <f>"－"</f>
        <v>－</v>
      </c>
      <c r="X60" s="35">
        <f>19</f>
        <v>19</v>
      </c>
    </row>
    <row r="61" spans="1:24">
      <c r="A61" s="29" t="s">
        <v>42</v>
      </c>
      <c r="B61" s="29" t="s">
        <v>222</v>
      </c>
      <c r="C61" s="29" t="s">
        <v>223</v>
      </c>
      <c r="D61" s="29" t="s">
        <v>224</v>
      </c>
      <c r="E61" s="30" t="s">
        <v>46</v>
      </c>
      <c r="F61" s="31" t="s">
        <v>46</v>
      </c>
      <c r="G61" s="32" t="s">
        <v>46</v>
      </c>
      <c r="H61" s="27"/>
      <c r="I61" s="27" t="s">
        <v>47</v>
      </c>
      <c r="J61" s="33">
        <v>1</v>
      </c>
      <c r="K61" s="37">
        <f>5740</f>
        <v>5740</v>
      </c>
      <c r="L61" s="34" t="s">
        <v>48</v>
      </c>
      <c r="M61" s="37">
        <f>5850</f>
        <v>5850</v>
      </c>
      <c r="N61" s="34" t="s">
        <v>48</v>
      </c>
      <c r="O61" s="37">
        <f>5490</f>
        <v>5490</v>
      </c>
      <c r="P61" s="34" t="s">
        <v>49</v>
      </c>
      <c r="Q61" s="37">
        <f>5610</f>
        <v>5610</v>
      </c>
      <c r="R61" s="34" t="s">
        <v>88</v>
      </c>
      <c r="S61" s="36">
        <f>5610</f>
        <v>5610</v>
      </c>
      <c r="T61" s="33">
        <f>1155</f>
        <v>1155</v>
      </c>
      <c r="U61" s="33" t="str">
        <f>"－"</f>
        <v>－</v>
      </c>
      <c r="V61" s="33">
        <f>6526150</f>
        <v>6526150</v>
      </c>
      <c r="W61" s="33" t="str">
        <f>"－"</f>
        <v>－</v>
      </c>
      <c r="X61" s="35">
        <f>17</f>
        <v>17</v>
      </c>
    </row>
    <row r="62" spans="1:24">
      <c r="A62" s="29" t="s">
        <v>42</v>
      </c>
      <c r="B62" s="29" t="s">
        <v>225</v>
      </c>
      <c r="C62" s="29" t="s">
        <v>226</v>
      </c>
      <c r="D62" s="29" t="s">
        <v>227</v>
      </c>
      <c r="E62" s="30" t="s">
        <v>46</v>
      </c>
      <c r="F62" s="31" t="s">
        <v>46</v>
      </c>
      <c r="G62" s="32" t="s">
        <v>46</v>
      </c>
      <c r="H62" s="27"/>
      <c r="I62" s="27" t="s">
        <v>47</v>
      </c>
      <c r="J62" s="33">
        <v>1</v>
      </c>
      <c r="K62" s="37">
        <f>2640</f>
        <v>2640</v>
      </c>
      <c r="L62" s="34" t="s">
        <v>48</v>
      </c>
      <c r="M62" s="37">
        <f>2735</f>
        <v>2735</v>
      </c>
      <c r="N62" s="34" t="s">
        <v>48</v>
      </c>
      <c r="O62" s="37">
        <f>2404</f>
        <v>2404</v>
      </c>
      <c r="P62" s="34" t="s">
        <v>49</v>
      </c>
      <c r="Q62" s="37">
        <f>2610</f>
        <v>2610</v>
      </c>
      <c r="R62" s="34" t="s">
        <v>50</v>
      </c>
      <c r="S62" s="36">
        <f>2525.95</f>
        <v>2525.9499999999998</v>
      </c>
      <c r="T62" s="33">
        <f>23221</f>
        <v>23221</v>
      </c>
      <c r="U62" s="33" t="str">
        <f>"－"</f>
        <v>－</v>
      </c>
      <c r="V62" s="33">
        <f>58970425</f>
        <v>58970425</v>
      </c>
      <c r="W62" s="33" t="str">
        <f>"－"</f>
        <v>－</v>
      </c>
      <c r="X62" s="35">
        <f>19</f>
        <v>19</v>
      </c>
    </row>
    <row r="63" spans="1:24">
      <c r="A63" s="29" t="s">
        <v>42</v>
      </c>
      <c r="B63" s="29" t="s">
        <v>228</v>
      </c>
      <c r="C63" s="29" t="s">
        <v>229</v>
      </c>
      <c r="D63" s="29" t="s">
        <v>230</v>
      </c>
      <c r="E63" s="30" t="s">
        <v>46</v>
      </c>
      <c r="F63" s="31" t="s">
        <v>46</v>
      </c>
      <c r="G63" s="32" t="s">
        <v>46</v>
      </c>
      <c r="H63" s="27"/>
      <c r="I63" s="27" t="s">
        <v>47</v>
      </c>
      <c r="J63" s="33">
        <v>10</v>
      </c>
      <c r="K63" s="37">
        <f>12470</f>
        <v>12470</v>
      </c>
      <c r="L63" s="34" t="s">
        <v>48</v>
      </c>
      <c r="M63" s="37">
        <f>13490</f>
        <v>13490</v>
      </c>
      <c r="N63" s="34" t="s">
        <v>49</v>
      </c>
      <c r="O63" s="37">
        <f>11800</f>
        <v>11800</v>
      </c>
      <c r="P63" s="34" t="s">
        <v>48</v>
      </c>
      <c r="Q63" s="37">
        <f>12430</f>
        <v>12430</v>
      </c>
      <c r="R63" s="34" t="s">
        <v>50</v>
      </c>
      <c r="S63" s="36">
        <f>12838.95</f>
        <v>12838.95</v>
      </c>
      <c r="T63" s="33">
        <f>5010</f>
        <v>5010</v>
      </c>
      <c r="U63" s="33" t="str">
        <f>"－"</f>
        <v>－</v>
      </c>
      <c r="V63" s="33">
        <f>64005400</f>
        <v>64005400</v>
      </c>
      <c r="W63" s="33" t="str">
        <f>"－"</f>
        <v>－</v>
      </c>
      <c r="X63" s="35">
        <f>19</f>
        <v>19</v>
      </c>
    </row>
    <row r="64" spans="1:24">
      <c r="A64" s="29" t="s">
        <v>42</v>
      </c>
      <c r="B64" s="29" t="s">
        <v>231</v>
      </c>
      <c r="C64" s="29" t="s">
        <v>232</v>
      </c>
      <c r="D64" s="29" t="s">
        <v>233</v>
      </c>
      <c r="E64" s="30" t="s">
        <v>46</v>
      </c>
      <c r="F64" s="31" t="s">
        <v>46</v>
      </c>
      <c r="G64" s="32" t="s">
        <v>46</v>
      </c>
      <c r="H64" s="27"/>
      <c r="I64" s="27" t="s">
        <v>47</v>
      </c>
      <c r="J64" s="33">
        <v>10</v>
      </c>
      <c r="K64" s="37">
        <f>5600</f>
        <v>5600</v>
      </c>
      <c r="L64" s="34" t="s">
        <v>77</v>
      </c>
      <c r="M64" s="37">
        <f>5660</f>
        <v>5660</v>
      </c>
      <c r="N64" s="34" t="s">
        <v>50</v>
      </c>
      <c r="O64" s="37">
        <f>5330</f>
        <v>5330</v>
      </c>
      <c r="P64" s="34" t="s">
        <v>49</v>
      </c>
      <c r="Q64" s="37">
        <f>5510</f>
        <v>5510</v>
      </c>
      <c r="R64" s="34" t="s">
        <v>50</v>
      </c>
      <c r="S64" s="36">
        <f>5454.55</f>
        <v>5454.55</v>
      </c>
      <c r="T64" s="33">
        <f>7670</f>
        <v>7670</v>
      </c>
      <c r="U64" s="33">
        <f>3500</f>
        <v>3500</v>
      </c>
      <c r="V64" s="33">
        <f>41841321</f>
        <v>41841321</v>
      </c>
      <c r="W64" s="33">
        <f>18994521</f>
        <v>18994521</v>
      </c>
      <c r="X64" s="35">
        <f>11</f>
        <v>11</v>
      </c>
    </row>
    <row r="65" spans="1:24">
      <c r="A65" s="29" t="s">
        <v>42</v>
      </c>
      <c r="B65" s="29" t="s">
        <v>234</v>
      </c>
      <c r="C65" s="29" t="s">
        <v>235</v>
      </c>
      <c r="D65" s="29" t="s">
        <v>236</v>
      </c>
      <c r="E65" s="30" t="s">
        <v>46</v>
      </c>
      <c r="F65" s="31" t="s">
        <v>46</v>
      </c>
      <c r="G65" s="32" t="s">
        <v>46</v>
      </c>
      <c r="H65" s="27"/>
      <c r="I65" s="27" t="s">
        <v>47</v>
      </c>
      <c r="J65" s="33">
        <v>10</v>
      </c>
      <c r="K65" s="37">
        <f>2648</f>
        <v>2648</v>
      </c>
      <c r="L65" s="34" t="s">
        <v>48</v>
      </c>
      <c r="M65" s="37">
        <f>2728</f>
        <v>2728</v>
      </c>
      <c r="N65" s="34" t="s">
        <v>48</v>
      </c>
      <c r="O65" s="37">
        <f>2405</f>
        <v>2405</v>
      </c>
      <c r="P65" s="34" t="s">
        <v>49</v>
      </c>
      <c r="Q65" s="37">
        <f>2623</f>
        <v>2623</v>
      </c>
      <c r="R65" s="34" t="s">
        <v>50</v>
      </c>
      <c r="S65" s="36">
        <f>2525.58</f>
        <v>2525.58</v>
      </c>
      <c r="T65" s="33">
        <f>70040</f>
        <v>70040</v>
      </c>
      <c r="U65" s="33">
        <f>10</f>
        <v>10</v>
      </c>
      <c r="V65" s="33">
        <f>178501330</f>
        <v>178501330</v>
      </c>
      <c r="W65" s="33">
        <f>24680</f>
        <v>24680</v>
      </c>
      <c r="X65" s="35">
        <f>19</f>
        <v>19</v>
      </c>
    </row>
    <row r="66" spans="1:24">
      <c r="A66" s="29" t="s">
        <v>42</v>
      </c>
      <c r="B66" s="29" t="s">
        <v>237</v>
      </c>
      <c r="C66" s="29" t="s">
        <v>238</v>
      </c>
      <c r="D66" s="29" t="s">
        <v>239</v>
      </c>
      <c r="E66" s="30" t="s">
        <v>46</v>
      </c>
      <c r="F66" s="31" t="s">
        <v>46</v>
      </c>
      <c r="G66" s="32" t="s">
        <v>46</v>
      </c>
      <c r="H66" s="27"/>
      <c r="I66" s="27" t="s">
        <v>47</v>
      </c>
      <c r="J66" s="33">
        <v>1</v>
      </c>
      <c r="K66" s="37">
        <f>23150</f>
        <v>23150</v>
      </c>
      <c r="L66" s="34" t="s">
        <v>48</v>
      </c>
      <c r="M66" s="37">
        <f>24200</f>
        <v>24200</v>
      </c>
      <c r="N66" s="34" t="s">
        <v>240</v>
      </c>
      <c r="O66" s="37">
        <f>22430</f>
        <v>22430</v>
      </c>
      <c r="P66" s="34" t="s">
        <v>77</v>
      </c>
      <c r="Q66" s="37">
        <f>23280</f>
        <v>23280</v>
      </c>
      <c r="R66" s="34" t="s">
        <v>50</v>
      </c>
      <c r="S66" s="36">
        <f>23420.53</f>
        <v>23420.53</v>
      </c>
      <c r="T66" s="33">
        <f>3674</f>
        <v>3674</v>
      </c>
      <c r="U66" s="33" t="str">
        <f>"－"</f>
        <v>－</v>
      </c>
      <c r="V66" s="33">
        <f>85691270</f>
        <v>85691270</v>
      </c>
      <c r="W66" s="33" t="str">
        <f>"－"</f>
        <v>－</v>
      </c>
      <c r="X66" s="35">
        <f>19</f>
        <v>19</v>
      </c>
    </row>
    <row r="67" spans="1:24">
      <c r="A67" s="29" t="s">
        <v>42</v>
      </c>
      <c r="B67" s="29" t="s">
        <v>241</v>
      </c>
      <c r="C67" s="29" t="s">
        <v>242</v>
      </c>
      <c r="D67" s="29" t="s">
        <v>243</v>
      </c>
      <c r="E67" s="30" t="s">
        <v>46</v>
      </c>
      <c r="F67" s="31" t="s">
        <v>46</v>
      </c>
      <c r="G67" s="32" t="s">
        <v>46</v>
      </c>
      <c r="H67" s="27"/>
      <c r="I67" s="27" t="s">
        <v>47</v>
      </c>
      <c r="J67" s="33">
        <v>1</v>
      </c>
      <c r="K67" s="37">
        <f>3720</f>
        <v>3720</v>
      </c>
      <c r="L67" s="34" t="s">
        <v>48</v>
      </c>
      <c r="M67" s="37">
        <f>3970</f>
        <v>3970</v>
      </c>
      <c r="N67" s="34" t="s">
        <v>131</v>
      </c>
      <c r="O67" s="37">
        <f>3550</f>
        <v>3550</v>
      </c>
      <c r="P67" s="34" t="s">
        <v>49</v>
      </c>
      <c r="Q67" s="37">
        <f>3625</f>
        <v>3625</v>
      </c>
      <c r="R67" s="34" t="s">
        <v>50</v>
      </c>
      <c r="S67" s="36">
        <f>3620.83</f>
        <v>3620.83</v>
      </c>
      <c r="T67" s="33">
        <f>2738</f>
        <v>2738</v>
      </c>
      <c r="U67" s="33" t="str">
        <f>"－"</f>
        <v>－</v>
      </c>
      <c r="V67" s="33">
        <f>10009135</f>
        <v>10009135</v>
      </c>
      <c r="W67" s="33" t="str">
        <f>"－"</f>
        <v>－</v>
      </c>
      <c r="X67" s="35">
        <f>18</f>
        <v>18</v>
      </c>
    </row>
    <row r="68" spans="1:24">
      <c r="A68" s="29" t="s">
        <v>42</v>
      </c>
      <c r="B68" s="29" t="s">
        <v>244</v>
      </c>
      <c r="C68" s="29" t="s">
        <v>245</v>
      </c>
      <c r="D68" s="29" t="s">
        <v>246</v>
      </c>
      <c r="E68" s="30" t="s">
        <v>46</v>
      </c>
      <c r="F68" s="31" t="s">
        <v>46</v>
      </c>
      <c r="G68" s="32" t="s">
        <v>46</v>
      </c>
      <c r="H68" s="27"/>
      <c r="I68" s="27" t="s">
        <v>47</v>
      </c>
      <c r="J68" s="33">
        <v>1</v>
      </c>
      <c r="K68" s="37">
        <f>1050</f>
        <v>1050</v>
      </c>
      <c r="L68" s="34" t="s">
        <v>48</v>
      </c>
      <c r="M68" s="37">
        <f>1085</f>
        <v>1085</v>
      </c>
      <c r="N68" s="34" t="s">
        <v>48</v>
      </c>
      <c r="O68" s="37">
        <f>968</f>
        <v>968</v>
      </c>
      <c r="P68" s="34" t="s">
        <v>49</v>
      </c>
      <c r="Q68" s="37">
        <f>1043</f>
        <v>1043</v>
      </c>
      <c r="R68" s="34" t="s">
        <v>50</v>
      </c>
      <c r="S68" s="36">
        <f>1012.74</f>
        <v>1012.74</v>
      </c>
      <c r="T68" s="33">
        <f>61755</f>
        <v>61755</v>
      </c>
      <c r="U68" s="33" t="str">
        <f>"－"</f>
        <v>－</v>
      </c>
      <c r="V68" s="33">
        <f>62462949</f>
        <v>62462949</v>
      </c>
      <c r="W68" s="33" t="str">
        <f>"－"</f>
        <v>－</v>
      </c>
      <c r="X68" s="35">
        <f>19</f>
        <v>19</v>
      </c>
    </row>
    <row r="69" spans="1:24">
      <c r="A69" s="29" t="s">
        <v>42</v>
      </c>
      <c r="B69" s="29" t="s">
        <v>247</v>
      </c>
      <c r="C69" s="29" t="s">
        <v>248</v>
      </c>
      <c r="D69" s="29" t="s">
        <v>249</v>
      </c>
      <c r="E69" s="30" t="s">
        <v>46</v>
      </c>
      <c r="F69" s="31" t="s">
        <v>46</v>
      </c>
      <c r="G69" s="32" t="s">
        <v>46</v>
      </c>
      <c r="H69" s="27"/>
      <c r="I69" s="27" t="s">
        <v>47</v>
      </c>
      <c r="J69" s="33">
        <v>10</v>
      </c>
      <c r="K69" s="37">
        <f>1842</f>
        <v>1842</v>
      </c>
      <c r="L69" s="34" t="s">
        <v>48</v>
      </c>
      <c r="M69" s="37">
        <f>1905</f>
        <v>1905</v>
      </c>
      <c r="N69" s="34" t="s">
        <v>49</v>
      </c>
      <c r="O69" s="37">
        <f>1810</f>
        <v>1810</v>
      </c>
      <c r="P69" s="34" t="s">
        <v>48</v>
      </c>
      <c r="Q69" s="37">
        <f>1825</f>
        <v>1825</v>
      </c>
      <c r="R69" s="34" t="s">
        <v>50</v>
      </c>
      <c r="S69" s="36">
        <f>1863.05</f>
        <v>1863.05</v>
      </c>
      <c r="T69" s="33">
        <f>543370</f>
        <v>543370</v>
      </c>
      <c r="U69" s="33">
        <f>73530</f>
        <v>73530</v>
      </c>
      <c r="V69" s="33">
        <f>1002048952</f>
        <v>1002048952</v>
      </c>
      <c r="W69" s="33">
        <f>134074602</f>
        <v>134074602</v>
      </c>
      <c r="X69" s="35">
        <f>19</f>
        <v>19</v>
      </c>
    </row>
    <row r="70" spans="1:24">
      <c r="A70" s="29" t="s">
        <v>42</v>
      </c>
      <c r="B70" s="29" t="s">
        <v>250</v>
      </c>
      <c r="C70" s="29" t="s">
        <v>251</v>
      </c>
      <c r="D70" s="29" t="s">
        <v>252</v>
      </c>
      <c r="E70" s="30" t="s">
        <v>46</v>
      </c>
      <c r="F70" s="31" t="s">
        <v>46</v>
      </c>
      <c r="G70" s="32" t="s">
        <v>46</v>
      </c>
      <c r="H70" s="27"/>
      <c r="I70" s="27" t="s">
        <v>47</v>
      </c>
      <c r="J70" s="33">
        <v>1</v>
      </c>
      <c r="K70" s="37">
        <f>17060</f>
        <v>17060</v>
      </c>
      <c r="L70" s="34" t="s">
        <v>48</v>
      </c>
      <c r="M70" s="37">
        <f>17230</f>
        <v>17230</v>
      </c>
      <c r="N70" s="34" t="s">
        <v>49</v>
      </c>
      <c r="O70" s="37">
        <f>16400</f>
        <v>16400</v>
      </c>
      <c r="P70" s="34" t="s">
        <v>48</v>
      </c>
      <c r="Q70" s="37">
        <f>16560</f>
        <v>16560</v>
      </c>
      <c r="R70" s="34" t="s">
        <v>50</v>
      </c>
      <c r="S70" s="36">
        <f>16853.68</f>
        <v>16853.68</v>
      </c>
      <c r="T70" s="33">
        <f>112244</f>
        <v>112244</v>
      </c>
      <c r="U70" s="33">
        <f>80400</f>
        <v>80400</v>
      </c>
      <c r="V70" s="33">
        <f>1886138070</f>
        <v>1886138070</v>
      </c>
      <c r="W70" s="33">
        <f>1349194800</f>
        <v>1349194800</v>
      </c>
      <c r="X70" s="35">
        <f>19</f>
        <v>19</v>
      </c>
    </row>
    <row r="71" spans="1:24">
      <c r="A71" s="29" t="s">
        <v>42</v>
      </c>
      <c r="B71" s="29" t="s">
        <v>253</v>
      </c>
      <c r="C71" s="29" t="s">
        <v>254</v>
      </c>
      <c r="D71" s="29" t="s">
        <v>255</v>
      </c>
      <c r="E71" s="30" t="s">
        <v>46</v>
      </c>
      <c r="F71" s="31" t="s">
        <v>46</v>
      </c>
      <c r="G71" s="32" t="s">
        <v>46</v>
      </c>
      <c r="H71" s="27"/>
      <c r="I71" s="27" t="s">
        <v>47</v>
      </c>
      <c r="J71" s="33">
        <v>1</v>
      </c>
      <c r="K71" s="37">
        <f>1857</f>
        <v>1857</v>
      </c>
      <c r="L71" s="34" t="s">
        <v>48</v>
      </c>
      <c r="M71" s="37">
        <f>1933</f>
        <v>1933</v>
      </c>
      <c r="N71" s="34" t="s">
        <v>49</v>
      </c>
      <c r="O71" s="37">
        <f>1820</f>
        <v>1820</v>
      </c>
      <c r="P71" s="34" t="s">
        <v>48</v>
      </c>
      <c r="Q71" s="37">
        <f>1848</f>
        <v>1848</v>
      </c>
      <c r="R71" s="34" t="s">
        <v>50</v>
      </c>
      <c r="S71" s="36">
        <f>1887.68</f>
        <v>1887.68</v>
      </c>
      <c r="T71" s="33">
        <f>3066793</f>
        <v>3066793</v>
      </c>
      <c r="U71" s="33">
        <f>11673</f>
        <v>11673</v>
      </c>
      <c r="V71" s="33">
        <f>5771079620</f>
        <v>5771079620</v>
      </c>
      <c r="W71" s="33">
        <f>22317888</f>
        <v>22317888</v>
      </c>
      <c r="X71" s="35">
        <f>19</f>
        <v>19</v>
      </c>
    </row>
    <row r="72" spans="1:24">
      <c r="A72" s="29" t="s">
        <v>42</v>
      </c>
      <c r="B72" s="29" t="s">
        <v>256</v>
      </c>
      <c r="C72" s="29" t="s">
        <v>257</v>
      </c>
      <c r="D72" s="29" t="s">
        <v>258</v>
      </c>
      <c r="E72" s="30" t="s">
        <v>46</v>
      </c>
      <c r="F72" s="31" t="s">
        <v>46</v>
      </c>
      <c r="G72" s="32" t="s">
        <v>46</v>
      </c>
      <c r="H72" s="27"/>
      <c r="I72" s="27" t="s">
        <v>47</v>
      </c>
      <c r="J72" s="33">
        <v>1</v>
      </c>
      <c r="K72" s="37">
        <f>1856</f>
        <v>1856</v>
      </c>
      <c r="L72" s="34" t="s">
        <v>48</v>
      </c>
      <c r="M72" s="37">
        <f>1930</f>
        <v>1930</v>
      </c>
      <c r="N72" s="34" t="s">
        <v>50</v>
      </c>
      <c r="O72" s="37">
        <f>1803</f>
        <v>1803</v>
      </c>
      <c r="P72" s="34" t="s">
        <v>69</v>
      </c>
      <c r="Q72" s="37">
        <f>1899</f>
        <v>1899</v>
      </c>
      <c r="R72" s="34" t="s">
        <v>50</v>
      </c>
      <c r="S72" s="36">
        <f>1839.37</f>
        <v>1839.37</v>
      </c>
      <c r="T72" s="33">
        <f>4198576</f>
        <v>4198576</v>
      </c>
      <c r="U72" s="33">
        <f>1955550</f>
        <v>1955550</v>
      </c>
      <c r="V72" s="33">
        <f>7754947116</f>
        <v>7754947116</v>
      </c>
      <c r="W72" s="33">
        <f>3618269933</f>
        <v>3618269933</v>
      </c>
      <c r="X72" s="35">
        <f>19</f>
        <v>19</v>
      </c>
    </row>
    <row r="73" spans="1:24">
      <c r="A73" s="29" t="s">
        <v>42</v>
      </c>
      <c r="B73" s="29" t="s">
        <v>259</v>
      </c>
      <c r="C73" s="29" t="s">
        <v>260</v>
      </c>
      <c r="D73" s="29" t="s">
        <v>261</v>
      </c>
      <c r="E73" s="30" t="s">
        <v>46</v>
      </c>
      <c r="F73" s="31" t="s">
        <v>46</v>
      </c>
      <c r="G73" s="32" t="s">
        <v>46</v>
      </c>
      <c r="H73" s="27"/>
      <c r="I73" s="27" t="s">
        <v>47</v>
      </c>
      <c r="J73" s="33">
        <v>1</v>
      </c>
      <c r="K73" s="37">
        <f>1833</f>
        <v>1833</v>
      </c>
      <c r="L73" s="34" t="s">
        <v>48</v>
      </c>
      <c r="M73" s="37">
        <f>1887</f>
        <v>1887</v>
      </c>
      <c r="N73" s="34" t="s">
        <v>49</v>
      </c>
      <c r="O73" s="37">
        <f>1800</f>
        <v>1800</v>
      </c>
      <c r="P73" s="34" t="s">
        <v>48</v>
      </c>
      <c r="Q73" s="37">
        <f>1824</f>
        <v>1824</v>
      </c>
      <c r="R73" s="34" t="s">
        <v>50</v>
      </c>
      <c r="S73" s="36">
        <f>1849.84</f>
        <v>1849.84</v>
      </c>
      <c r="T73" s="33">
        <f>32366</f>
        <v>32366</v>
      </c>
      <c r="U73" s="33">
        <f>18776</f>
        <v>18776</v>
      </c>
      <c r="V73" s="33">
        <f>59310240</f>
        <v>59310240</v>
      </c>
      <c r="W73" s="33">
        <f>34202703</f>
        <v>34202703</v>
      </c>
      <c r="X73" s="35">
        <f>19</f>
        <v>19</v>
      </c>
    </row>
    <row r="74" spans="1:24">
      <c r="A74" s="29" t="s">
        <v>42</v>
      </c>
      <c r="B74" s="29" t="s">
        <v>262</v>
      </c>
      <c r="C74" s="29" t="s">
        <v>263</v>
      </c>
      <c r="D74" s="29" t="s">
        <v>264</v>
      </c>
      <c r="E74" s="30" t="s">
        <v>46</v>
      </c>
      <c r="F74" s="31" t="s">
        <v>46</v>
      </c>
      <c r="G74" s="32" t="s">
        <v>46</v>
      </c>
      <c r="H74" s="27"/>
      <c r="I74" s="27" t="s">
        <v>47</v>
      </c>
      <c r="J74" s="33">
        <v>1</v>
      </c>
      <c r="K74" s="37">
        <f>1931</f>
        <v>1931</v>
      </c>
      <c r="L74" s="34" t="s">
        <v>48</v>
      </c>
      <c r="M74" s="37">
        <f>2038</f>
        <v>2038</v>
      </c>
      <c r="N74" s="34" t="s">
        <v>49</v>
      </c>
      <c r="O74" s="37">
        <f>1900</f>
        <v>1900</v>
      </c>
      <c r="P74" s="34" t="s">
        <v>48</v>
      </c>
      <c r="Q74" s="37">
        <f>1978</f>
        <v>1978</v>
      </c>
      <c r="R74" s="34" t="s">
        <v>50</v>
      </c>
      <c r="S74" s="36">
        <f>1993.89</f>
        <v>1993.89</v>
      </c>
      <c r="T74" s="33">
        <f>116806</f>
        <v>116806</v>
      </c>
      <c r="U74" s="33" t="str">
        <f>"－"</f>
        <v>－</v>
      </c>
      <c r="V74" s="33">
        <f>231820941</f>
        <v>231820941</v>
      </c>
      <c r="W74" s="33" t="str">
        <f>"－"</f>
        <v>－</v>
      </c>
      <c r="X74" s="35">
        <f>19</f>
        <v>19</v>
      </c>
    </row>
    <row r="75" spans="1:24">
      <c r="A75" s="29" t="s">
        <v>42</v>
      </c>
      <c r="B75" s="29" t="s">
        <v>265</v>
      </c>
      <c r="C75" s="29" t="s">
        <v>266</v>
      </c>
      <c r="D75" s="29" t="s">
        <v>267</v>
      </c>
      <c r="E75" s="30" t="s">
        <v>46</v>
      </c>
      <c r="F75" s="31" t="s">
        <v>46</v>
      </c>
      <c r="G75" s="32" t="s">
        <v>46</v>
      </c>
      <c r="H75" s="27"/>
      <c r="I75" s="27" t="s">
        <v>47</v>
      </c>
      <c r="J75" s="33">
        <v>1</v>
      </c>
      <c r="K75" s="37">
        <f>22020</f>
        <v>22020</v>
      </c>
      <c r="L75" s="34" t="s">
        <v>84</v>
      </c>
      <c r="M75" s="37">
        <f>22750</f>
        <v>22750</v>
      </c>
      <c r="N75" s="34" t="s">
        <v>268</v>
      </c>
      <c r="O75" s="37">
        <f>21960</f>
        <v>21960</v>
      </c>
      <c r="P75" s="34" t="s">
        <v>77</v>
      </c>
      <c r="Q75" s="37">
        <f>21990</f>
        <v>21990</v>
      </c>
      <c r="R75" s="34" t="s">
        <v>50</v>
      </c>
      <c r="S75" s="36">
        <f>22407.86</f>
        <v>22407.86</v>
      </c>
      <c r="T75" s="33">
        <f>12240</f>
        <v>12240</v>
      </c>
      <c r="U75" s="33" t="str">
        <f>"－"</f>
        <v>－</v>
      </c>
      <c r="V75" s="33">
        <f>277119780</f>
        <v>277119780</v>
      </c>
      <c r="W75" s="33" t="str">
        <f>"－"</f>
        <v>－</v>
      </c>
      <c r="X75" s="35">
        <f>14</f>
        <v>14</v>
      </c>
    </row>
    <row r="76" spans="1:24">
      <c r="A76" s="29" t="s">
        <v>42</v>
      </c>
      <c r="B76" s="29" t="s">
        <v>269</v>
      </c>
      <c r="C76" s="29" t="s">
        <v>270</v>
      </c>
      <c r="D76" s="29" t="s">
        <v>271</v>
      </c>
      <c r="E76" s="30" t="s">
        <v>46</v>
      </c>
      <c r="F76" s="31" t="s">
        <v>46</v>
      </c>
      <c r="G76" s="32" t="s">
        <v>46</v>
      </c>
      <c r="H76" s="27"/>
      <c r="I76" s="27" t="s">
        <v>47</v>
      </c>
      <c r="J76" s="33">
        <v>1</v>
      </c>
      <c r="K76" s="37">
        <f>18380</f>
        <v>18380</v>
      </c>
      <c r="L76" s="34" t="s">
        <v>48</v>
      </c>
      <c r="M76" s="37">
        <f>19050</f>
        <v>19050</v>
      </c>
      <c r="N76" s="34" t="s">
        <v>69</v>
      </c>
      <c r="O76" s="37">
        <f>18180</f>
        <v>18180</v>
      </c>
      <c r="P76" s="34" t="s">
        <v>77</v>
      </c>
      <c r="Q76" s="37">
        <f>18710</f>
        <v>18710</v>
      </c>
      <c r="R76" s="34" t="s">
        <v>88</v>
      </c>
      <c r="S76" s="36">
        <f>18758.75</f>
        <v>18758.75</v>
      </c>
      <c r="T76" s="33">
        <f>1768</f>
        <v>1768</v>
      </c>
      <c r="U76" s="33" t="str">
        <f>"－"</f>
        <v>－</v>
      </c>
      <c r="V76" s="33">
        <f>33307860</f>
        <v>33307860</v>
      </c>
      <c r="W76" s="33" t="str">
        <f>"－"</f>
        <v>－</v>
      </c>
      <c r="X76" s="35">
        <f>16</f>
        <v>16</v>
      </c>
    </row>
    <row r="77" spans="1:24">
      <c r="A77" s="29" t="s">
        <v>42</v>
      </c>
      <c r="B77" s="29" t="s">
        <v>272</v>
      </c>
      <c r="C77" s="29" t="s">
        <v>273</v>
      </c>
      <c r="D77" s="29" t="s">
        <v>274</v>
      </c>
      <c r="E77" s="30" t="s">
        <v>46</v>
      </c>
      <c r="F77" s="31" t="s">
        <v>46</v>
      </c>
      <c r="G77" s="32" t="s">
        <v>46</v>
      </c>
      <c r="H77" s="27"/>
      <c r="I77" s="27" t="s">
        <v>47</v>
      </c>
      <c r="J77" s="33">
        <v>1</v>
      </c>
      <c r="K77" s="37">
        <f>1840</f>
        <v>1840</v>
      </c>
      <c r="L77" s="34" t="s">
        <v>48</v>
      </c>
      <c r="M77" s="37">
        <f>1875</f>
        <v>1875</v>
      </c>
      <c r="N77" s="34" t="s">
        <v>49</v>
      </c>
      <c r="O77" s="37">
        <f>1796</f>
        <v>1796</v>
      </c>
      <c r="P77" s="34" t="s">
        <v>50</v>
      </c>
      <c r="Q77" s="37">
        <f>1798</f>
        <v>1798</v>
      </c>
      <c r="R77" s="34" t="s">
        <v>50</v>
      </c>
      <c r="S77" s="36">
        <f>1836.53</f>
        <v>1836.53</v>
      </c>
      <c r="T77" s="33">
        <f>1744</f>
        <v>1744</v>
      </c>
      <c r="U77" s="33" t="str">
        <f>"－"</f>
        <v>－</v>
      </c>
      <c r="V77" s="33">
        <f>3202599</f>
        <v>3202599</v>
      </c>
      <c r="W77" s="33" t="str">
        <f>"－"</f>
        <v>－</v>
      </c>
      <c r="X77" s="35">
        <f>17</f>
        <v>17</v>
      </c>
    </row>
    <row r="78" spans="1:24">
      <c r="A78" s="29" t="s">
        <v>42</v>
      </c>
      <c r="B78" s="29" t="s">
        <v>275</v>
      </c>
      <c r="C78" s="29" t="s">
        <v>276</v>
      </c>
      <c r="D78" s="29" t="s">
        <v>277</v>
      </c>
      <c r="E78" s="30" t="s">
        <v>46</v>
      </c>
      <c r="F78" s="31" t="s">
        <v>46</v>
      </c>
      <c r="G78" s="32" t="s">
        <v>46</v>
      </c>
      <c r="H78" s="27"/>
      <c r="I78" s="27" t="s">
        <v>47</v>
      </c>
      <c r="J78" s="33">
        <v>1</v>
      </c>
      <c r="K78" s="37">
        <f>2478</f>
        <v>2478</v>
      </c>
      <c r="L78" s="34" t="s">
        <v>48</v>
      </c>
      <c r="M78" s="37">
        <f>2478</f>
        <v>2478</v>
      </c>
      <c r="N78" s="34" t="s">
        <v>48</v>
      </c>
      <c r="O78" s="37">
        <f>2414</f>
        <v>2414</v>
      </c>
      <c r="P78" s="34" t="s">
        <v>131</v>
      </c>
      <c r="Q78" s="37">
        <f>2437</f>
        <v>2437</v>
      </c>
      <c r="R78" s="34" t="s">
        <v>50</v>
      </c>
      <c r="S78" s="36">
        <f>2434.58</f>
        <v>2434.58</v>
      </c>
      <c r="T78" s="33">
        <f>2413109</f>
        <v>2413109</v>
      </c>
      <c r="U78" s="33">
        <f>162003</f>
        <v>162003</v>
      </c>
      <c r="V78" s="33">
        <f>5877867083</f>
        <v>5877867083</v>
      </c>
      <c r="W78" s="33">
        <f>400017728</f>
        <v>400017728</v>
      </c>
      <c r="X78" s="35">
        <f>19</f>
        <v>19</v>
      </c>
    </row>
    <row r="79" spans="1:24">
      <c r="A79" s="29" t="s">
        <v>42</v>
      </c>
      <c r="B79" s="29" t="s">
        <v>278</v>
      </c>
      <c r="C79" s="29" t="s">
        <v>279</v>
      </c>
      <c r="D79" s="29" t="s">
        <v>280</v>
      </c>
      <c r="E79" s="30" t="s">
        <v>46</v>
      </c>
      <c r="F79" s="31" t="s">
        <v>46</v>
      </c>
      <c r="G79" s="32" t="s">
        <v>46</v>
      </c>
      <c r="H79" s="27"/>
      <c r="I79" s="27" t="s">
        <v>47</v>
      </c>
      <c r="J79" s="33">
        <v>1</v>
      </c>
      <c r="K79" s="37">
        <f>1809</f>
        <v>1809</v>
      </c>
      <c r="L79" s="34" t="s">
        <v>48</v>
      </c>
      <c r="M79" s="37">
        <f>1850</f>
        <v>1850</v>
      </c>
      <c r="N79" s="34" t="s">
        <v>49</v>
      </c>
      <c r="O79" s="37">
        <f>1756</f>
        <v>1756</v>
      </c>
      <c r="P79" s="34" t="s">
        <v>48</v>
      </c>
      <c r="Q79" s="37">
        <f>1799</f>
        <v>1799</v>
      </c>
      <c r="R79" s="34" t="s">
        <v>50</v>
      </c>
      <c r="S79" s="36">
        <f>1815.16</f>
        <v>1815.16</v>
      </c>
      <c r="T79" s="33">
        <f>1123</f>
        <v>1123</v>
      </c>
      <c r="U79" s="33" t="str">
        <f>"－"</f>
        <v>－</v>
      </c>
      <c r="V79" s="33">
        <f>2042144</f>
        <v>2042144</v>
      </c>
      <c r="W79" s="33" t="str">
        <f>"－"</f>
        <v>－</v>
      </c>
      <c r="X79" s="35">
        <f>19</f>
        <v>19</v>
      </c>
    </row>
    <row r="80" spans="1:24">
      <c r="A80" s="29" t="s">
        <v>42</v>
      </c>
      <c r="B80" s="29" t="s">
        <v>281</v>
      </c>
      <c r="C80" s="29" t="s">
        <v>282</v>
      </c>
      <c r="D80" s="29" t="s">
        <v>283</v>
      </c>
      <c r="E80" s="30" t="s">
        <v>46</v>
      </c>
      <c r="F80" s="31" t="s">
        <v>46</v>
      </c>
      <c r="G80" s="32" t="s">
        <v>46</v>
      </c>
      <c r="H80" s="27"/>
      <c r="I80" s="27" t="s">
        <v>47</v>
      </c>
      <c r="J80" s="33">
        <v>10</v>
      </c>
      <c r="K80" s="37">
        <f>1800</f>
        <v>1800</v>
      </c>
      <c r="L80" s="34" t="s">
        <v>48</v>
      </c>
      <c r="M80" s="37">
        <f>1838</f>
        <v>1838</v>
      </c>
      <c r="N80" s="34" t="s">
        <v>49</v>
      </c>
      <c r="O80" s="37">
        <f>1765</f>
        <v>1765</v>
      </c>
      <c r="P80" s="34" t="s">
        <v>96</v>
      </c>
      <c r="Q80" s="37">
        <f>1771</f>
        <v>1771</v>
      </c>
      <c r="R80" s="34" t="s">
        <v>50</v>
      </c>
      <c r="S80" s="36">
        <f>1813.11</f>
        <v>1813.11</v>
      </c>
      <c r="T80" s="33">
        <f>4140</f>
        <v>4140</v>
      </c>
      <c r="U80" s="33" t="str">
        <f>"－"</f>
        <v>－</v>
      </c>
      <c r="V80" s="33">
        <f>7506490</f>
        <v>7506490</v>
      </c>
      <c r="W80" s="33" t="str">
        <f>"－"</f>
        <v>－</v>
      </c>
      <c r="X80" s="35">
        <f>19</f>
        <v>19</v>
      </c>
    </row>
    <row r="81" spans="1:24">
      <c r="A81" s="29" t="s">
        <v>42</v>
      </c>
      <c r="B81" s="29" t="s">
        <v>284</v>
      </c>
      <c r="C81" s="29" t="s">
        <v>285</v>
      </c>
      <c r="D81" s="29" t="s">
        <v>286</v>
      </c>
      <c r="E81" s="30" t="s">
        <v>46</v>
      </c>
      <c r="F81" s="31" t="s">
        <v>46</v>
      </c>
      <c r="G81" s="32" t="s">
        <v>46</v>
      </c>
      <c r="H81" s="27"/>
      <c r="I81" s="27" t="s">
        <v>47</v>
      </c>
      <c r="J81" s="33">
        <v>1</v>
      </c>
      <c r="K81" s="37">
        <f>29030</f>
        <v>29030</v>
      </c>
      <c r="L81" s="34" t="s">
        <v>48</v>
      </c>
      <c r="M81" s="37">
        <f>31500</f>
        <v>31500</v>
      </c>
      <c r="N81" s="34" t="s">
        <v>49</v>
      </c>
      <c r="O81" s="37">
        <f>29030</f>
        <v>29030</v>
      </c>
      <c r="P81" s="34" t="s">
        <v>48</v>
      </c>
      <c r="Q81" s="37">
        <f>29600</f>
        <v>29600</v>
      </c>
      <c r="R81" s="34" t="s">
        <v>50</v>
      </c>
      <c r="S81" s="36">
        <f>30275.45</f>
        <v>30275.45</v>
      </c>
      <c r="T81" s="33">
        <f>79</f>
        <v>79</v>
      </c>
      <c r="U81" s="33" t="str">
        <f>"－"</f>
        <v>－</v>
      </c>
      <c r="V81" s="33">
        <f>2404320</f>
        <v>2404320</v>
      </c>
      <c r="W81" s="33" t="str">
        <f>"－"</f>
        <v>－</v>
      </c>
      <c r="X81" s="35">
        <f>11</f>
        <v>11</v>
      </c>
    </row>
    <row r="82" spans="1:24">
      <c r="A82" s="29" t="s">
        <v>42</v>
      </c>
      <c r="B82" s="29" t="s">
        <v>287</v>
      </c>
      <c r="C82" s="29" t="s">
        <v>288</v>
      </c>
      <c r="D82" s="29" t="s">
        <v>289</v>
      </c>
      <c r="E82" s="30" t="s">
        <v>46</v>
      </c>
      <c r="F82" s="31" t="s">
        <v>46</v>
      </c>
      <c r="G82" s="32" t="s">
        <v>46</v>
      </c>
      <c r="H82" s="27"/>
      <c r="I82" s="27" t="s">
        <v>47</v>
      </c>
      <c r="J82" s="33">
        <v>1</v>
      </c>
      <c r="K82" s="37">
        <f>21170</f>
        <v>21170</v>
      </c>
      <c r="L82" s="34" t="s">
        <v>48</v>
      </c>
      <c r="M82" s="37">
        <f>21170</f>
        <v>21170</v>
      </c>
      <c r="N82" s="34" t="s">
        <v>48</v>
      </c>
      <c r="O82" s="37">
        <f>20660</f>
        <v>20660</v>
      </c>
      <c r="P82" s="34" t="s">
        <v>92</v>
      </c>
      <c r="Q82" s="37">
        <f>21000</f>
        <v>21000</v>
      </c>
      <c r="R82" s="34" t="s">
        <v>50</v>
      </c>
      <c r="S82" s="36">
        <f>20841.58</f>
        <v>20841.580000000002</v>
      </c>
      <c r="T82" s="33">
        <f>31776</f>
        <v>31776</v>
      </c>
      <c r="U82" s="33">
        <f>16900</f>
        <v>16900</v>
      </c>
      <c r="V82" s="33">
        <f>661728690</f>
        <v>661728690</v>
      </c>
      <c r="W82" s="33">
        <f>350772280</f>
        <v>350772280</v>
      </c>
      <c r="X82" s="35">
        <f>19</f>
        <v>19</v>
      </c>
    </row>
    <row r="83" spans="1:24">
      <c r="A83" s="29" t="s">
        <v>42</v>
      </c>
      <c r="B83" s="29" t="s">
        <v>290</v>
      </c>
      <c r="C83" s="29" t="s">
        <v>291</v>
      </c>
      <c r="D83" s="29" t="s">
        <v>292</v>
      </c>
      <c r="E83" s="30" t="s">
        <v>46</v>
      </c>
      <c r="F83" s="31" t="s">
        <v>46</v>
      </c>
      <c r="G83" s="32" t="s">
        <v>46</v>
      </c>
      <c r="H83" s="27"/>
      <c r="I83" s="27" t="s">
        <v>47</v>
      </c>
      <c r="J83" s="33">
        <v>1</v>
      </c>
      <c r="K83" s="37">
        <f>19560</f>
        <v>19560</v>
      </c>
      <c r="L83" s="34" t="s">
        <v>48</v>
      </c>
      <c r="M83" s="37">
        <f>19560</f>
        <v>19560</v>
      </c>
      <c r="N83" s="34" t="s">
        <v>48</v>
      </c>
      <c r="O83" s="37">
        <f>18870</f>
        <v>18870</v>
      </c>
      <c r="P83" s="34" t="s">
        <v>131</v>
      </c>
      <c r="Q83" s="37">
        <f>19030</f>
        <v>19030</v>
      </c>
      <c r="R83" s="34" t="s">
        <v>50</v>
      </c>
      <c r="S83" s="36">
        <f>19020.53</f>
        <v>19020.53</v>
      </c>
      <c r="T83" s="33">
        <f>209872</f>
        <v>209872</v>
      </c>
      <c r="U83" s="33">
        <f>32000</f>
        <v>32000</v>
      </c>
      <c r="V83" s="33">
        <f>3982932080</f>
        <v>3982932080</v>
      </c>
      <c r="W83" s="33">
        <f>609367300</f>
        <v>609367300</v>
      </c>
      <c r="X83" s="35">
        <f>19</f>
        <v>19</v>
      </c>
    </row>
    <row r="84" spans="1:24">
      <c r="A84" s="29" t="s">
        <v>42</v>
      </c>
      <c r="B84" s="29" t="s">
        <v>293</v>
      </c>
      <c r="C84" s="29" t="s">
        <v>294</v>
      </c>
      <c r="D84" s="29" t="s">
        <v>295</v>
      </c>
      <c r="E84" s="30" t="s">
        <v>46</v>
      </c>
      <c r="F84" s="31" t="s">
        <v>46</v>
      </c>
      <c r="G84" s="32" t="s">
        <v>46</v>
      </c>
      <c r="H84" s="27"/>
      <c r="I84" s="27" t="s">
        <v>47</v>
      </c>
      <c r="J84" s="33">
        <v>10</v>
      </c>
      <c r="K84" s="37">
        <f>1839</f>
        <v>1839</v>
      </c>
      <c r="L84" s="34" t="s">
        <v>48</v>
      </c>
      <c r="M84" s="37">
        <f>1911</f>
        <v>1911</v>
      </c>
      <c r="N84" s="34" t="s">
        <v>50</v>
      </c>
      <c r="O84" s="37">
        <f>1800</f>
        <v>1800</v>
      </c>
      <c r="P84" s="34" t="s">
        <v>48</v>
      </c>
      <c r="Q84" s="37">
        <f>1897</f>
        <v>1897</v>
      </c>
      <c r="R84" s="34" t="s">
        <v>50</v>
      </c>
      <c r="S84" s="36">
        <f>1837.05</f>
        <v>1837.05</v>
      </c>
      <c r="T84" s="33">
        <f>1129950</f>
        <v>1129950</v>
      </c>
      <c r="U84" s="33">
        <f>90040</f>
        <v>90040</v>
      </c>
      <c r="V84" s="33">
        <f>2078187080</f>
        <v>2078187080</v>
      </c>
      <c r="W84" s="33">
        <f>164999750</f>
        <v>164999750</v>
      </c>
      <c r="X84" s="35">
        <f>19</f>
        <v>19</v>
      </c>
    </row>
    <row r="85" spans="1:24">
      <c r="A85" s="29" t="s">
        <v>42</v>
      </c>
      <c r="B85" s="29" t="s">
        <v>296</v>
      </c>
      <c r="C85" s="29" t="s">
        <v>297</v>
      </c>
      <c r="D85" s="29" t="s">
        <v>298</v>
      </c>
      <c r="E85" s="30" t="s">
        <v>46</v>
      </c>
      <c r="F85" s="31" t="s">
        <v>46</v>
      </c>
      <c r="G85" s="32" t="s">
        <v>46</v>
      </c>
      <c r="H85" s="27"/>
      <c r="I85" s="27" t="s">
        <v>47</v>
      </c>
      <c r="J85" s="33">
        <v>1</v>
      </c>
      <c r="K85" s="37">
        <f>30050</f>
        <v>30050</v>
      </c>
      <c r="L85" s="34" t="s">
        <v>48</v>
      </c>
      <c r="M85" s="37">
        <f>31950</f>
        <v>31950</v>
      </c>
      <c r="N85" s="34" t="s">
        <v>69</v>
      </c>
      <c r="O85" s="37">
        <f>29420</f>
        <v>29420</v>
      </c>
      <c r="P85" s="34" t="s">
        <v>48</v>
      </c>
      <c r="Q85" s="37">
        <f>31000</f>
        <v>31000</v>
      </c>
      <c r="R85" s="34" t="s">
        <v>50</v>
      </c>
      <c r="S85" s="36">
        <f>31084.74</f>
        <v>31084.74</v>
      </c>
      <c r="T85" s="33">
        <f>39268</f>
        <v>39268</v>
      </c>
      <c r="U85" s="33" t="str">
        <f t="shared" ref="U85:U90" si="2">"－"</f>
        <v>－</v>
      </c>
      <c r="V85" s="33">
        <f>1219759400</f>
        <v>1219759400</v>
      </c>
      <c r="W85" s="33" t="str">
        <f t="shared" ref="W85:W90" si="3">"－"</f>
        <v>－</v>
      </c>
      <c r="X85" s="35">
        <f>19</f>
        <v>19</v>
      </c>
    </row>
    <row r="86" spans="1:24">
      <c r="A86" s="29" t="s">
        <v>42</v>
      </c>
      <c r="B86" s="29" t="s">
        <v>299</v>
      </c>
      <c r="C86" s="29" t="s">
        <v>300</v>
      </c>
      <c r="D86" s="29" t="s">
        <v>301</v>
      </c>
      <c r="E86" s="30" t="s">
        <v>46</v>
      </c>
      <c r="F86" s="31" t="s">
        <v>46</v>
      </c>
      <c r="G86" s="32" t="s">
        <v>46</v>
      </c>
      <c r="H86" s="27"/>
      <c r="I86" s="27" t="s">
        <v>47</v>
      </c>
      <c r="J86" s="33">
        <v>10</v>
      </c>
      <c r="K86" s="37">
        <f>7700</f>
        <v>7700</v>
      </c>
      <c r="L86" s="34" t="s">
        <v>48</v>
      </c>
      <c r="M86" s="37">
        <f>7750</f>
        <v>7750</v>
      </c>
      <c r="N86" s="34" t="s">
        <v>88</v>
      </c>
      <c r="O86" s="37">
        <f>7630</f>
        <v>7630</v>
      </c>
      <c r="P86" s="34" t="s">
        <v>49</v>
      </c>
      <c r="Q86" s="37">
        <f>7750</f>
        <v>7750</v>
      </c>
      <c r="R86" s="34" t="s">
        <v>88</v>
      </c>
      <c r="S86" s="36">
        <f>7684.29</f>
        <v>7684.29</v>
      </c>
      <c r="T86" s="33">
        <f>3070</f>
        <v>3070</v>
      </c>
      <c r="U86" s="33" t="str">
        <f t="shared" si="2"/>
        <v>－</v>
      </c>
      <c r="V86" s="33">
        <f>23577300</f>
        <v>23577300</v>
      </c>
      <c r="W86" s="33" t="str">
        <f t="shared" si="3"/>
        <v>－</v>
      </c>
      <c r="X86" s="35">
        <f>7</f>
        <v>7</v>
      </c>
    </row>
    <row r="87" spans="1:24">
      <c r="A87" s="29" t="s">
        <v>42</v>
      </c>
      <c r="B87" s="29" t="s">
        <v>302</v>
      </c>
      <c r="C87" s="29" t="s">
        <v>303</v>
      </c>
      <c r="D87" s="29" t="s">
        <v>304</v>
      </c>
      <c r="E87" s="30" t="s">
        <v>46</v>
      </c>
      <c r="F87" s="31" t="s">
        <v>46</v>
      </c>
      <c r="G87" s="32" t="s">
        <v>46</v>
      </c>
      <c r="H87" s="27"/>
      <c r="I87" s="27" t="s">
        <v>47</v>
      </c>
      <c r="J87" s="33">
        <v>1</v>
      </c>
      <c r="K87" s="37">
        <f>15070</f>
        <v>15070</v>
      </c>
      <c r="L87" s="34" t="s">
        <v>48</v>
      </c>
      <c r="M87" s="37">
        <f>15410</f>
        <v>15410</v>
      </c>
      <c r="N87" s="34" t="s">
        <v>240</v>
      </c>
      <c r="O87" s="37">
        <f>14830</f>
        <v>14830</v>
      </c>
      <c r="P87" s="34" t="s">
        <v>84</v>
      </c>
      <c r="Q87" s="37">
        <f>15080</f>
        <v>15080</v>
      </c>
      <c r="R87" s="34" t="s">
        <v>50</v>
      </c>
      <c r="S87" s="36">
        <f>15211.58</f>
        <v>15211.58</v>
      </c>
      <c r="T87" s="33">
        <f>712</f>
        <v>712</v>
      </c>
      <c r="U87" s="33" t="str">
        <f t="shared" si="2"/>
        <v>－</v>
      </c>
      <c r="V87" s="33">
        <f>10818710</f>
        <v>10818710</v>
      </c>
      <c r="W87" s="33" t="str">
        <f t="shared" si="3"/>
        <v>－</v>
      </c>
      <c r="X87" s="35">
        <f>19</f>
        <v>19</v>
      </c>
    </row>
    <row r="88" spans="1:24">
      <c r="A88" s="29" t="s">
        <v>42</v>
      </c>
      <c r="B88" s="29" t="s">
        <v>305</v>
      </c>
      <c r="C88" s="29" t="s">
        <v>306</v>
      </c>
      <c r="D88" s="29" t="s">
        <v>307</v>
      </c>
      <c r="E88" s="30" t="s">
        <v>46</v>
      </c>
      <c r="F88" s="31" t="s">
        <v>46</v>
      </c>
      <c r="G88" s="32" t="s">
        <v>46</v>
      </c>
      <c r="H88" s="27"/>
      <c r="I88" s="27" t="s">
        <v>47</v>
      </c>
      <c r="J88" s="33">
        <v>1</v>
      </c>
      <c r="K88" s="37">
        <f>15180</f>
        <v>15180</v>
      </c>
      <c r="L88" s="34" t="s">
        <v>48</v>
      </c>
      <c r="M88" s="37">
        <f>15480</f>
        <v>15480</v>
      </c>
      <c r="N88" s="34" t="s">
        <v>49</v>
      </c>
      <c r="O88" s="37">
        <f>14850</f>
        <v>14850</v>
      </c>
      <c r="P88" s="34" t="s">
        <v>48</v>
      </c>
      <c r="Q88" s="37">
        <f>15090</f>
        <v>15090</v>
      </c>
      <c r="R88" s="34" t="s">
        <v>50</v>
      </c>
      <c r="S88" s="36">
        <f>15264.21</f>
        <v>15264.21</v>
      </c>
      <c r="T88" s="33">
        <f>979</f>
        <v>979</v>
      </c>
      <c r="U88" s="33" t="str">
        <f t="shared" si="2"/>
        <v>－</v>
      </c>
      <c r="V88" s="33">
        <f>14932290</f>
        <v>14932290</v>
      </c>
      <c r="W88" s="33" t="str">
        <f t="shared" si="3"/>
        <v>－</v>
      </c>
      <c r="X88" s="35">
        <f>19</f>
        <v>19</v>
      </c>
    </row>
    <row r="89" spans="1:24">
      <c r="A89" s="29" t="s">
        <v>42</v>
      </c>
      <c r="B89" s="29" t="s">
        <v>308</v>
      </c>
      <c r="C89" s="29" t="s">
        <v>309</v>
      </c>
      <c r="D89" s="29" t="s">
        <v>310</v>
      </c>
      <c r="E89" s="30" t="s">
        <v>46</v>
      </c>
      <c r="F89" s="31" t="s">
        <v>46</v>
      </c>
      <c r="G89" s="32" t="s">
        <v>46</v>
      </c>
      <c r="H89" s="27"/>
      <c r="I89" s="27" t="s">
        <v>47</v>
      </c>
      <c r="J89" s="33">
        <v>1</v>
      </c>
      <c r="K89" s="37">
        <f>17290</f>
        <v>17290</v>
      </c>
      <c r="L89" s="34" t="s">
        <v>48</v>
      </c>
      <c r="M89" s="37">
        <f>18230</f>
        <v>18230</v>
      </c>
      <c r="N89" s="34" t="s">
        <v>49</v>
      </c>
      <c r="O89" s="37">
        <f>16950</f>
        <v>16950</v>
      </c>
      <c r="P89" s="34" t="s">
        <v>84</v>
      </c>
      <c r="Q89" s="37">
        <f>17600</f>
        <v>17600</v>
      </c>
      <c r="R89" s="34" t="s">
        <v>50</v>
      </c>
      <c r="S89" s="36">
        <f>17710.53</f>
        <v>17710.53</v>
      </c>
      <c r="T89" s="33">
        <f>1194</f>
        <v>1194</v>
      </c>
      <c r="U89" s="33" t="str">
        <f t="shared" si="2"/>
        <v>－</v>
      </c>
      <c r="V89" s="33">
        <f>21209190</f>
        <v>21209190</v>
      </c>
      <c r="W89" s="33" t="str">
        <f t="shared" si="3"/>
        <v>－</v>
      </c>
      <c r="X89" s="35">
        <f>19</f>
        <v>19</v>
      </c>
    </row>
    <row r="90" spans="1:24">
      <c r="A90" s="29" t="s">
        <v>42</v>
      </c>
      <c r="B90" s="29" t="s">
        <v>311</v>
      </c>
      <c r="C90" s="29" t="s">
        <v>312</v>
      </c>
      <c r="D90" s="29" t="s">
        <v>313</v>
      </c>
      <c r="E90" s="30" t="s">
        <v>46</v>
      </c>
      <c r="F90" s="31" t="s">
        <v>46</v>
      </c>
      <c r="G90" s="32" t="s">
        <v>46</v>
      </c>
      <c r="H90" s="27"/>
      <c r="I90" s="27" t="s">
        <v>47</v>
      </c>
      <c r="J90" s="33">
        <v>10</v>
      </c>
      <c r="K90" s="37">
        <f>10030</f>
        <v>10030</v>
      </c>
      <c r="L90" s="34" t="s">
        <v>48</v>
      </c>
      <c r="M90" s="37">
        <f>10500</f>
        <v>10500</v>
      </c>
      <c r="N90" s="34" t="s">
        <v>49</v>
      </c>
      <c r="O90" s="37">
        <f>9970</f>
        <v>9970</v>
      </c>
      <c r="P90" s="34" t="s">
        <v>88</v>
      </c>
      <c r="Q90" s="37">
        <f>10150</f>
        <v>10150</v>
      </c>
      <c r="R90" s="34" t="s">
        <v>50</v>
      </c>
      <c r="S90" s="36">
        <f>10243.68</f>
        <v>10243.68</v>
      </c>
      <c r="T90" s="33">
        <f>15630</f>
        <v>15630</v>
      </c>
      <c r="U90" s="33" t="str">
        <f t="shared" si="2"/>
        <v>－</v>
      </c>
      <c r="V90" s="33">
        <f>160146300</f>
        <v>160146300</v>
      </c>
      <c r="W90" s="33" t="str">
        <f t="shared" si="3"/>
        <v>－</v>
      </c>
      <c r="X90" s="35">
        <f>19</f>
        <v>19</v>
      </c>
    </row>
    <row r="91" spans="1:24">
      <c r="A91" s="29" t="s">
        <v>42</v>
      </c>
      <c r="B91" s="29" t="s">
        <v>314</v>
      </c>
      <c r="C91" s="29" t="s">
        <v>315</v>
      </c>
      <c r="D91" s="29" t="s">
        <v>316</v>
      </c>
      <c r="E91" s="30" t="s">
        <v>46</v>
      </c>
      <c r="F91" s="31" t="s">
        <v>46</v>
      </c>
      <c r="G91" s="32" t="s">
        <v>46</v>
      </c>
      <c r="H91" s="27"/>
      <c r="I91" s="27" t="s">
        <v>47</v>
      </c>
      <c r="J91" s="33">
        <v>1</v>
      </c>
      <c r="K91" s="37">
        <f>2702</f>
        <v>2702</v>
      </c>
      <c r="L91" s="34" t="s">
        <v>48</v>
      </c>
      <c r="M91" s="37">
        <f>2702</f>
        <v>2702</v>
      </c>
      <c r="N91" s="34" t="s">
        <v>48</v>
      </c>
      <c r="O91" s="37">
        <f>2614</f>
        <v>2614</v>
      </c>
      <c r="P91" s="34" t="s">
        <v>131</v>
      </c>
      <c r="Q91" s="37">
        <f>2632</f>
        <v>2632</v>
      </c>
      <c r="R91" s="34" t="s">
        <v>50</v>
      </c>
      <c r="S91" s="36">
        <f>2643.05</f>
        <v>2643.05</v>
      </c>
      <c r="T91" s="33">
        <f>209216</f>
        <v>209216</v>
      </c>
      <c r="U91" s="33">
        <f>123078</f>
        <v>123078</v>
      </c>
      <c r="V91" s="33">
        <f>554423536</f>
        <v>554423536</v>
      </c>
      <c r="W91" s="33">
        <f>326227298</f>
        <v>326227298</v>
      </c>
      <c r="X91" s="35">
        <f>19</f>
        <v>19</v>
      </c>
    </row>
    <row r="92" spans="1:24">
      <c r="A92" s="29" t="s">
        <v>42</v>
      </c>
      <c r="B92" s="29" t="s">
        <v>317</v>
      </c>
      <c r="C92" s="29" t="s">
        <v>318</v>
      </c>
      <c r="D92" s="29" t="s">
        <v>319</v>
      </c>
      <c r="E92" s="30" t="s">
        <v>46</v>
      </c>
      <c r="F92" s="31" t="s">
        <v>46</v>
      </c>
      <c r="G92" s="32" t="s">
        <v>46</v>
      </c>
      <c r="H92" s="27"/>
      <c r="I92" s="27" t="s">
        <v>47</v>
      </c>
      <c r="J92" s="33">
        <v>1</v>
      </c>
      <c r="K92" s="37">
        <f>2390</f>
        <v>2390</v>
      </c>
      <c r="L92" s="34" t="s">
        <v>48</v>
      </c>
      <c r="M92" s="37">
        <f>2390</f>
        <v>2390</v>
      </c>
      <c r="N92" s="34" t="s">
        <v>48</v>
      </c>
      <c r="O92" s="37">
        <f>2340</f>
        <v>2340</v>
      </c>
      <c r="P92" s="34" t="s">
        <v>131</v>
      </c>
      <c r="Q92" s="37">
        <f>2348</f>
        <v>2348</v>
      </c>
      <c r="R92" s="34" t="s">
        <v>50</v>
      </c>
      <c r="S92" s="36">
        <f>2357.89</f>
        <v>2357.89</v>
      </c>
      <c r="T92" s="33">
        <f>99646</f>
        <v>99646</v>
      </c>
      <c r="U92" s="33" t="str">
        <f>"－"</f>
        <v>－</v>
      </c>
      <c r="V92" s="33">
        <f>235139442</f>
        <v>235139442</v>
      </c>
      <c r="W92" s="33" t="str">
        <f>"－"</f>
        <v>－</v>
      </c>
      <c r="X92" s="35">
        <f>19</f>
        <v>19</v>
      </c>
    </row>
    <row r="93" spans="1:24">
      <c r="A93" s="29" t="s">
        <v>42</v>
      </c>
      <c r="B93" s="29" t="s">
        <v>320</v>
      </c>
      <c r="C93" s="29" t="s">
        <v>321</v>
      </c>
      <c r="D93" s="29" t="s">
        <v>322</v>
      </c>
      <c r="E93" s="30" t="s">
        <v>46</v>
      </c>
      <c r="F93" s="31" t="s">
        <v>46</v>
      </c>
      <c r="G93" s="32" t="s">
        <v>46</v>
      </c>
      <c r="H93" s="27"/>
      <c r="I93" s="27" t="s">
        <v>47</v>
      </c>
      <c r="J93" s="33">
        <v>1</v>
      </c>
      <c r="K93" s="37">
        <f>13740</f>
        <v>13740</v>
      </c>
      <c r="L93" s="34" t="s">
        <v>48</v>
      </c>
      <c r="M93" s="37">
        <f>14040</f>
        <v>14040</v>
      </c>
      <c r="N93" s="34" t="s">
        <v>49</v>
      </c>
      <c r="O93" s="37">
        <f>13460</f>
        <v>13460</v>
      </c>
      <c r="P93" s="34" t="s">
        <v>48</v>
      </c>
      <c r="Q93" s="37">
        <f>13510</f>
        <v>13510</v>
      </c>
      <c r="R93" s="34" t="s">
        <v>50</v>
      </c>
      <c r="S93" s="36">
        <f>13758.42</f>
        <v>13758.42</v>
      </c>
      <c r="T93" s="33">
        <f>2629</f>
        <v>2629</v>
      </c>
      <c r="U93" s="33" t="str">
        <f>"－"</f>
        <v>－</v>
      </c>
      <c r="V93" s="33">
        <f>36242410</f>
        <v>36242410</v>
      </c>
      <c r="W93" s="33" t="str">
        <f>"－"</f>
        <v>－</v>
      </c>
      <c r="X93" s="35">
        <f>19</f>
        <v>19</v>
      </c>
    </row>
    <row r="94" spans="1:24">
      <c r="A94" s="29" t="s">
        <v>42</v>
      </c>
      <c r="B94" s="29" t="s">
        <v>323</v>
      </c>
      <c r="C94" s="29" t="s">
        <v>324</v>
      </c>
      <c r="D94" s="29" t="s">
        <v>325</v>
      </c>
      <c r="E94" s="30" t="s">
        <v>46</v>
      </c>
      <c r="F94" s="31" t="s">
        <v>46</v>
      </c>
      <c r="G94" s="32" t="s">
        <v>46</v>
      </c>
      <c r="H94" s="27"/>
      <c r="I94" s="27" t="s">
        <v>47</v>
      </c>
      <c r="J94" s="33">
        <v>1</v>
      </c>
      <c r="K94" s="37">
        <f>7990</f>
        <v>7990</v>
      </c>
      <c r="L94" s="34" t="s">
        <v>48</v>
      </c>
      <c r="M94" s="37">
        <f>7990</f>
        <v>7990</v>
      </c>
      <c r="N94" s="34" t="s">
        <v>48</v>
      </c>
      <c r="O94" s="37">
        <f>7740</f>
        <v>7740</v>
      </c>
      <c r="P94" s="34" t="s">
        <v>84</v>
      </c>
      <c r="Q94" s="37">
        <f>7960</f>
        <v>7960</v>
      </c>
      <c r="R94" s="34" t="s">
        <v>50</v>
      </c>
      <c r="S94" s="36">
        <f>7865.79</f>
        <v>7865.79</v>
      </c>
      <c r="T94" s="33">
        <f>788</f>
        <v>788</v>
      </c>
      <c r="U94" s="33" t="str">
        <f>"－"</f>
        <v>－</v>
      </c>
      <c r="V94" s="33">
        <f>6203880</f>
        <v>6203880</v>
      </c>
      <c r="W94" s="33" t="str">
        <f>"－"</f>
        <v>－</v>
      </c>
      <c r="X94" s="35">
        <f>19</f>
        <v>19</v>
      </c>
    </row>
    <row r="95" spans="1:24">
      <c r="A95" s="29" t="s">
        <v>42</v>
      </c>
      <c r="B95" s="29" t="s">
        <v>326</v>
      </c>
      <c r="C95" s="29" t="s">
        <v>327</v>
      </c>
      <c r="D95" s="29" t="s">
        <v>328</v>
      </c>
      <c r="E95" s="30" t="s">
        <v>46</v>
      </c>
      <c r="F95" s="31" t="s">
        <v>46</v>
      </c>
      <c r="G95" s="32" t="s">
        <v>46</v>
      </c>
      <c r="H95" s="27"/>
      <c r="I95" s="27" t="s">
        <v>47</v>
      </c>
      <c r="J95" s="33">
        <v>1</v>
      </c>
      <c r="K95" s="37">
        <f>6190</f>
        <v>6190</v>
      </c>
      <c r="L95" s="34" t="s">
        <v>48</v>
      </c>
      <c r="M95" s="37">
        <f>6290</f>
        <v>6290</v>
      </c>
      <c r="N95" s="34" t="s">
        <v>77</v>
      </c>
      <c r="O95" s="37">
        <f>5870</f>
        <v>5870</v>
      </c>
      <c r="P95" s="34" t="s">
        <v>100</v>
      </c>
      <c r="Q95" s="37">
        <f>5980</f>
        <v>5980</v>
      </c>
      <c r="R95" s="34" t="s">
        <v>50</v>
      </c>
      <c r="S95" s="36">
        <f>6033.68</f>
        <v>6033.68</v>
      </c>
      <c r="T95" s="33">
        <f>3171174</f>
        <v>3171174</v>
      </c>
      <c r="U95" s="33">
        <f>20676</f>
        <v>20676</v>
      </c>
      <c r="V95" s="33">
        <f>19160436287</f>
        <v>19160436287</v>
      </c>
      <c r="W95" s="33">
        <f>123660797</f>
        <v>123660797</v>
      </c>
      <c r="X95" s="35">
        <f>19</f>
        <v>19</v>
      </c>
    </row>
    <row r="96" spans="1:24">
      <c r="A96" s="29" t="s">
        <v>42</v>
      </c>
      <c r="B96" s="29" t="s">
        <v>329</v>
      </c>
      <c r="C96" s="29" t="s">
        <v>330</v>
      </c>
      <c r="D96" s="29" t="s">
        <v>331</v>
      </c>
      <c r="E96" s="30" t="s">
        <v>46</v>
      </c>
      <c r="F96" s="31" t="s">
        <v>46</v>
      </c>
      <c r="G96" s="32" t="s">
        <v>46</v>
      </c>
      <c r="H96" s="27"/>
      <c r="I96" s="27" t="s">
        <v>47</v>
      </c>
      <c r="J96" s="33">
        <v>1</v>
      </c>
      <c r="K96" s="37">
        <f>3300</f>
        <v>3300</v>
      </c>
      <c r="L96" s="34" t="s">
        <v>48</v>
      </c>
      <c r="M96" s="37">
        <f>3485</f>
        <v>3485</v>
      </c>
      <c r="N96" s="34" t="s">
        <v>96</v>
      </c>
      <c r="O96" s="37">
        <f>3255</f>
        <v>3255</v>
      </c>
      <c r="P96" s="34" t="s">
        <v>84</v>
      </c>
      <c r="Q96" s="37">
        <f>3330</f>
        <v>3330</v>
      </c>
      <c r="R96" s="34" t="s">
        <v>50</v>
      </c>
      <c r="S96" s="36">
        <f>3373.42</f>
        <v>3373.42</v>
      </c>
      <c r="T96" s="33">
        <f>1465077</f>
        <v>1465077</v>
      </c>
      <c r="U96" s="33">
        <f>1</f>
        <v>1</v>
      </c>
      <c r="V96" s="33">
        <f>4935816100</f>
        <v>4935816100</v>
      </c>
      <c r="W96" s="33">
        <f>3400</f>
        <v>3400</v>
      </c>
      <c r="X96" s="35">
        <f>19</f>
        <v>19</v>
      </c>
    </row>
    <row r="97" spans="1:24">
      <c r="A97" s="29" t="s">
        <v>42</v>
      </c>
      <c r="B97" s="29" t="s">
        <v>332</v>
      </c>
      <c r="C97" s="29" t="s">
        <v>333</v>
      </c>
      <c r="D97" s="29" t="s">
        <v>334</v>
      </c>
      <c r="E97" s="30" t="s">
        <v>46</v>
      </c>
      <c r="F97" s="31" t="s">
        <v>46</v>
      </c>
      <c r="G97" s="32" t="s">
        <v>46</v>
      </c>
      <c r="H97" s="27"/>
      <c r="I97" s="27" t="s">
        <v>47</v>
      </c>
      <c r="J97" s="33">
        <v>1</v>
      </c>
      <c r="K97" s="37">
        <f>8950</f>
        <v>8950</v>
      </c>
      <c r="L97" s="34" t="s">
        <v>48</v>
      </c>
      <c r="M97" s="37">
        <f>9000</f>
        <v>9000</v>
      </c>
      <c r="N97" s="34" t="s">
        <v>48</v>
      </c>
      <c r="O97" s="37">
        <f>7650</f>
        <v>7650</v>
      </c>
      <c r="P97" s="34" t="s">
        <v>100</v>
      </c>
      <c r="Q97" s="37">
        <f>8340</f>
        <v>8340</v>
      </c>
      <c r="R97" s="34" t="s">
        <v>50</v>
      </c>
      <c r="S97" s="36">
        <f>8268.95</f>
        <v>8268.9500000000007</v>
      </c>
      <c r="T97" s="33">
        <f>499772</f>
        <v>499772</v>
      </c>
      <c r="U97" s="33">
        <f>7</f>
        <v>7</v>
      </c>
      <c r="V97" s="33">
        <f>4152485770</f>
        <v>4152485770</v>
      </c>
      <c r="W97" s="33">
        <f>59250</f>
        <v>59250</v>
      </c>
      <c r="X97" s="35">
        <f>19</f>
        <v>19</v>
      </c>
    </row>
    <row r="98" spans="1:24">
      <c r="A98" s="29" t="s">
        <v>42</v>
      </c>
      <c r="B98" s="29" t="s">
        <v>335</v>
      </c>
      <c r="C98" s="29" t="s">
        <v>336</v>
      </c>
      <c r="D98" s="29" t="s">
        <v>337</v>
      </c>
      <c r="E98" s="30" t="s">
        <v>46</v>
      </c>
      <c r="F98" s="31" t="s">
        <v>46</v>
      </c>
      <c r="G98" s="32" t="s">
        <v>46</v>
      </c>
      <c r="H98" s="27"/>
      <c r="I98" s="27" t="s">
        <v>47</v>
      </c>
      <c r="J98" s="33">
        <v>1</v>
      </c>
      <c r="K98" s="37">
        <f>69900</f>
        <v>69900</v>
      </c>
      <c r="L98" s="34" t="s">
        <v>48</v>
      </c>
      <c r="M98" s="37">
        <f>71500</f>
        <v>71500</v>
      </c>
      <c r="N98" s="34" t="s">
        <v>172</v>
      </c>
      <c r="O98" s="37">
        <f>66000</f>
        <v>66000</v>
      </c>
      <c r="P98" s="34" t="s">
        <v>73</v>
      </c>
      <c r="Q98" s="37">
        <f>68900</f>
        <v>68900</v>
      </c>
      <c r="R98" s="34" t="s">
        <v>50</v>
      </c>
      <c r="S98" s="36">
        <f>69142.11</f>
        <v>69142.11</v>
      </c>
      <c r="T98" s="33">
        <f>3664</f>
        <v>3664</v>
      </c>
      <c r="U98" s="33">
        <f>1</f>
        <v>1</v>
      </c>
      <c r="V98" s="33">
        <f>254358600</f>
        <v>254358600</v>
      </c>
      <c r="W98" s="33">
        <f>69900</f>
        <v>69900</v>
      </c>
      <c r="X98" s="35">
        <f>19</f>
        <v>19</v>
      </c>
    </row>
    <row r="99" spans="1:24">
      <c r="A99" s="29" t="s">
        <v>42</v>
      </c>
      <c r="B99" s="29" t="s">
        <v>338</v>
      </c>
      <c r="C99" s="29" t="s">
        <v>339</v>
      </c>
      <c r="D99" s="29" t="s">
        <v>340</v>
      </c>
      <c r="E99" s="30" t="s">
        <v>46</v>
      </c>
      <c r="F99" s="31" t="s">
        <v>46</v>
      </c>
      <c r="G99" s="32" t="s">
        <v>46</v>
      </c>
      <c r="H99" s="27"/>
      <c r="I99" s="27" t="s">
        <v>47</v>
      </c>
      <c r="J99" s="33">
        <v>1</v>
      </c>
      <c r="K99" s="37">
        <f>13450</f>
        <v>13450</v>
      </c>
      <c r="L99" s="34" t="s">
        <v>48</v>
      </c>
      <c r="M99" s="37">
        <f>14240</f>
        <v>14240</v>
      </c>
      <c r="N99" s="34" t="s">
        <v>73</v>
      </c>
      <c r="O99" s="37">
        <f>13100</f>
        <v>13100</v>
      </c>
      <c r="P99" s="34" t="s">
        <v>77</v>
      </c>
      <c r="Q99" s="37">
        <f>13750</f>
        <v>13750</v>
      </c>
      <c r="R99" s="34" t="s">
        <v>50</v>
      </c>
      <c r="S99" s="36">
        <f>13669.47</f>
        <v>13669.47</v>
      </c>
      <c r="T99" s="33">
        <f>1727446</f>
        <v>1727446</v>
      </c>
      <c r="U99" s="33">
        <f>65630</f>
        <v>65630</v>
      </c>
      <c r="V99" s="33">
        <f>23637062533</f>
        <v>23637062533</v>
      </c>
      <c r="W99" s="33">
        <f>909562103</f>
        <v>909562103</v>
      </c>
      <c r="X99" s="35">
        <f>19</f>
        <v>19</v>
      </c>
    </row>
    <row r="100" spans="1:24">
      <c r="A100" s="29" t="s">
        <v>42</v>
      </c>
      <c r="B100" s="29" t="s">
        <v>341</v>
      </c>
      <c r="C100" s="29" t="s">
        <v>342</v>
      </c>
      <c r="D100" s="29" t="s">
        <v>343</v>
      </c>
      <c r="E100" s="30" t="s">
        <v>46</v>
      </c>
      <c r="F100" s="31" t="s">
        <v>46</v>
      </c>
      <c r="G100" s="32" t="s">
        <v>46</v>
      </c>
      <c r="H100" s="27"/>
      <c r="I100" s="27" t="s">
        <v>47</v>
      </c>
      <c r="J100" s="33">
        <v>1</v>
      </c>
      <c r="K100" s="37">
        <f>30750</f>
        <v>30750</v>
      </c>
      <c r="L100" s="34" t="s">
        <v>48</v>
      </c>
      <c r="M100" s="37">
        <f>31650</f>
        <v>31650</v>
      </c>
      <c r="N100" s="34" t="s">
        <v>96</v>
      </c>
      <c r="O100" s="37">
        <f>30250</f>
        <v>30250</v>
      </c>
      <c r="P100" s="34" t="s">
        <v>84</v>
      </c>
      <c r="Q100" s="37">
        <f>30800</f>
        <v>30800</v>
      </c>
      <c r="R100" s="34" t="s">
        <v>50</v>
      </c>
      <c r="S100" s="36">
        <f>31131.58</f>
        <v>31131.58</v>
      </c>
      <c r="T100" s="33">
        <f>153471</f>
        <v>153471</v>
      </c>
      <c r="U100" s="33">
        <f>6004</f>
        <v>6004</v>
      </c>
      <c r="V100" s="33">
        <f>4765824793</f>
        <v>4765824793</v>
      </c>
      <c r="W100" s="33">
        <f>184523193</f>
        <v>184523193</v>
      </c>
      <c r="X100" s="35">
        <f>19</f>
        <v>19</v>
      </c>
    </row>
    <row r="101" spans="1:24">
      <c r="A101" s="29" t="s">
        <v>42</v>
      </c>
      <c r="B101" s="29" t="s">
        <v>344</v>
      </c>
      <c r="C101" s="29" t="s">
        <v>345</v>
      </c>
      <c r="D101" s="29" t="s">
        <v>346</v>
      </c>
      <c r="E101" s="30" t="s">
        <v>46</v>
      </c>
      <c r="F101" s="31" t="s">
        <v>46</v>
      </c>
      <c r="G101" s="32" t="s">
        <v>46</v>
      </c>
      <c r="H101" s="27"/>
      <c r="I101" s="27" t="s">
        <v>47</v>
      </c>
      <c r="J101" s="33">
        <v>10</v>
      </c>
      <c r="K101" s="37">
        <f>4245</f>
        <v>4245</v>
      </c>
      <c r="L101" s="34" t="s">
        <v>48</v>
      </c>
      <c r="M101" s="37">
        <f>4350</f>
        <v>4350</v>
      </c>
      <c r="N101" s="34" t="s">
        <v>49</v>
      </c>
      <c r="O101" s="37">
        <f>4155</f>
        <v>4155</v>
      </c>
      <c r="P101" s="34" t="s">
        <v>77</v>
      </c>
      <c r="Q101" s="37">
        <f>4225</f>
        <v>4225</v>
      </c>
      <c r="R101" s="34" t="s">
        <v>50</v>
      </c>
      <c r="S101" s="36">
        <f>4272.89</f>
        <v>4272.8900000000003</v>
      </c>
      <c r="T101" s="33">
        <f>1189660</f>
        <v>1189660</v>
      </c>
      <c r="U101" s="33">
        <f>127220</f>
        <v>127220</v>
      </c>
      <c r="V101" s="33">
        <f>5092863181</f>
        <v>5092863181</v>
      </c>
      <c r="W101" s="33">
        <f>545602531</f>
        <v>545602531</v>
      </c>
      <c r="X101" s="35">
        <f>19</f>
        <v>19</v>
      </c>
    </row>
    <row r="102" spans="1:24">
      <c r="A102" s="29" t="s">
        <v>42</v>
      </c>
      <c r="B102" s="29" t="s">
        <v>347</v>
      </c>
      <c r="C102" s="29" t="s">
        <v>348</v>
      </c>
      <c r="D102" s="29" t="s">
        <v>349</v>
      </c>
      <c r="E102" s="30" t="s">
        <v>46</v>
      </c>
      <c r="F102" s="31" t="s">
        <v>46</v>
      </c>
      <c r="G102" s="32" t="s">
        <v>46</v>
      </c>
      <c r="H102" s="27"/>
      <c r="I102" s="27" t="s">
        <v>47</v>
      </c>
      <c r="J102" s="33">
        <v>10</v>
      </c>
      <c r="K102" s="37">
        <f>2808</f>
        <v>2808</v>
      </c>
      <c r="L102" s="34" t="s">
        <v>48</v>
      </c>
      <c r="M102" s="37">
        <f>2900</f>
        <v>2900</v>
      </c>
      <c r="N102" s="34" t="s">
        <v>176</v>
      </c>
      <c r="O102" s="37">
        <f>2768</f>
        <v>2768</v>
      </c>
      <c r="P102" s="34" t="s">
        <v>84</v>
      </c>
      <c r="Q102" s="37">
        <f>2842</f>
        <v>2842</v>
      </c>
      <c r="R102" s="34" t="s">
        <v>50</v>
      </c>
      <c r="S102" s="36">
        <f>2852.11</f>
        <v>2852.11</v>
      </c>
      <c r="T102" s="33">
        <f>117310</f>
        <v>117310</v>
      </c>
      <c r="U102" s="33">
        <f>17260</f>
        <v>17260</v>
      </c>
      <c r="V102" s="33">
        <f>334927060</f>
        <v>334927060</v>
      </c>
      <c r="W102" s="33">
        <f>49951070</f>
        <v>49951070</v>
      </c>
      <c r="X102" s="35">
        <f>19</f>
        <v>19</v>
      </c>
    </row>
    <row r="103" spans="1:24">
      <c r="A103" s="29" t="s">
        <v>42</v>
      </c>
      <c r="B103" s="29" t="s">
        <v>350</v>
      </c>
      <c r="C103" s="29" t="s">
        <v>351</v>
      </c>
      <c r="D103" s="29" t="s">
        <v>352</v>
      </c>
      <c r="E103" s="30" t="s">
        <v>46</v>
      </c>
      <c r="F103" s="31" t="s">
        <v>46</v>
      </c>
      <c r="G103" s="32" t="s">
        <v>46</v>
      </c>
      <c r="H103" s="27"/>
      <c r="I103" s="27" t="s">
        <v>47</v>
      </c>
      <c r="J103" s="33">
        <v>10</v>
      </c>
      <c r="K103" s="37">
        <f>5190</f>
        <v>5190</v>
      </c>
      <c r="L103" s="34" t="s">
        <v>48</v>
      </c>
      <c r="M103" s="37">
        <f>5470</f>
        <v>5470</v>
      </c>
      <c r="N103" s="34" t="s">
        <v>49</v>
      </c>
      <c r="O103" s="37">
        <f>5010</f>
        <v>5010</v>
      </c>
      <c r="P103" s="34" t="s">
        <v>50</v>
      </c>
      <c r="Q103" s="37">
        <f>5060</f>
        <v>5060</v>
      </c>
      <c r="R103" s="34" t="s">
        <v>50</v>
      </c>
      <c r="S103" s="36">
        <f>5267.37</f>
        <v>5267.37</v>
      </c>
      <c r="T103" s="33">
        <f>21560</f>
        <v>21560</v>
      </c>
      <c r="U103" s="33" t="str">
        <f>"－"</f>
        <v>－</v>
      </c>
      <c r="V103" s="33">
        <f>113435300</f>
        <v>113435300</v>
      </c>
      <c r="W103" s="33" t="str">
        <f>"－"</f>
        <v>－</v>
      </c>
      <c r="X103" s="35">
        <f>19</f>
        <v>19</v>
      </c>
    </row>
    <row r="104" spans="1:24">
      <c r="A104" s="29" t="s">
        <v>42</v>
      </c>
      <c r="B104" s="29" t="s">
        <v>353</v>
      </c>
      <c r="C104" s="29" t="s">
        <v>354</v>
      </c>
      <c r="D104" s="29" t="s">
        <v>355</v>
      </c>
      <c r="E104" s="30" t="s">
        <v>46</v>
      </c>
      <c r="F104" s="31" t="s">
        <v>46</v>
      </c>
      <c r="G104" s="32" t="s">
        <v>46</v>
      </c>
      <c r="H104" s="27"/>
      <c r="I104" s="27" t="s">
        <v>47</v>
      </c>
      <c r="J104" s="33">
        <v>1</v>
      </c>
      <c r="K104" s="37">
        <f>5570</f>
        <v>5570</v>
      </c>
      <c r="L104" s="34" t="s">
        <v>48</v>
      </c>
      <c r="M104" s="37">
        <f>7040</f>
        <v>7040</v>
      </c>
      <c r="N104" s="34" t="s">
        <v>50</v>
      </c>
      <c r="O104" s="37">
        <f>5370</f>
        <v>5370</v>
      </c>
      <c r="P104" s="34" t="s">
        <v>176</v>
      </c>
      <c r="Q104" s="37">
        <f>6990</f>
        <v>6990</v>
      </c>
      <c r="R104" s="34" t="s">
        <v>50</v>
      </c>
      <c r="S104" s="36">
        <f>5738.42</f>
        <v>5738.42</v>
      </c>
      <c r="T104" s="33">
        <f>13244222</f>
        <v>13244222</v>
      </c>
      <c r="U104" s="33">
        <f>244277</f>
        <v>244277</v>
      </c>
      <c r="V104" s="33">
        <f>77931099342</f>
        <v>77931099342</v>
      </c>
      <c r="W104" s="33">
        <f>1416940712</f>
        <v>1416940712</v>
      </c>
      <c r="X104" s="35">
        <f>19</f>
        <v>19</v>
      </c>
    </row>
    <row r="105" spans="1:24">
      <c r="A105" s="29" t="s">
        <v>42</v>
      </c>
      <c r="B105" s="29" t="s">
        <v>356</v>
      </c>
      <c r="C105" s="29" t="s">
        <v>357</v>
      </c>
      <c r="D105" s="29" t="s">
        <v>358</v>
      </c>
      <c r="E105" s="30" t="s">
        <v>46</v>
      </c>
      <c r="F105" s="31" t="s">
        <v>46</v>
      </c>
      <c r="G105" s="32" t="s">
        <v>46</v>
      </c>
      <c r="H105" s="27"/>
      <c r="I105" s="27" t="s">
        <v>47</v>
      </c>
      <c r="J105" s="33">
        <v>10</v>
      </c>
      <c r="K105" s="37">
        <f>2500</f>
        <v>2500</v>
      </c>
      <c r="L105" s="34" t="s">
        <v>48</v>
      </c>
      <c r="M105" s="37">
        <f>2579</f>
        <v>2579</v>
      </c>
      <c r="N105" s="34" t="s">
        <v>49</v>
      </c>
      <c r="O105" s="37">
        <f>2451</f>
        <v>2451</v>
      </c>
      <c r="P105" s="34" t="s">
        <v>84</v>
      </c>
      <c r="Q105" s="37">
        <f>2471</f>
        <v>2471</v>
      </c>
      <c r="R105" s="34" t="s">
        <v>50</v>
      </c>
      <c r="S105" s="36">
        <f>2524.37</f>
        <v>2524.37</v>
      </c>
      <c r="T105" s="33">
        <f>95900</f>
        <v>95900</v>
      </c>
      <c r="U105" s="33">
        <f>10</f>
        <v>10</v>
      </c>
      <c r="V105" s="33">
        <f>241842580</f>
        <v>241842580</v>
      </c>
      <c r="W105" s="33">
        <f>24900</f>
        <v>24900</v>
      </c>
      <c r="X105" s="35">
        <f>19</f>
        <v>19</v>
      </c>
    </row>
    <row r="106" spans="1:24">
      <c r="A106" s="29" t="s">
        <v>42</v>
      </c>
      <c r="B106" s="29" t="s">
        <v>359</v>
      </c>
      <c r="C106" s="29" t="s">
        <v>360</v>
      </c>
      <c r="D106" s="29" t="s">
        <v>361</v>
      </c>
      <c r="E106" s="30" t="s">
        <v>46</v>
      </c>
      <c r="F106" s="31" t="s">
        <v>46</v>
      </c>
      <c r="G106" s="32" t="s">
        <v>46</v>
      </c>
      <c r="H106" s="27"/>
      <c r="I106" s="27" t="s">
        <v>47</v>
      </c>
      <c r="J106" s="33">
        <v>10</v>
      </c>
      <c r="K106" s="37">
        <f>1563</f>
        <v>1563</v>
      </c>
      <c r="L106" s="34" t="s">
        <v>48</v>
      </c>
      <c r="M106" s="37">
        <f>1564</f>
        <v>1564</v>
      </c>
      <c r="N106" s="34" t="s">
        <v>48</v>
      </c>
      <c r="O106" s="37">
        <f>1455</f>
        <v>1455</v>
      </c>
      <c r="P106" s="34" t="s">
        <v>88</v>
      </c>
      <c r="Q106" s="37">
        <f>1482</f>
        <v>1482</v>
      </c>
      <c r="R106" s="34" t="s">
        <v>50</v>
      </c>
      <c r="S106" s="36">
        <f>1501.26</f>
        <v>1501.26</v>
      </c>
      <c r="T106" s="33">
        <f>241550</f>
        <v>241550</v>
      </c>
      <c r="U106" s="33">
        <f>60</f>
        <v>60</v>
      </c>
      <c r="V106" s="33">
        <f>362023040</f>
        <v>362023040</v>
      </c>
      <c r="W106" s="33">
        <f>90380</f>
        <v>90380</v>
      </c>
      <c r="X106" s="35">
        <f>19</f>
        <v>19</v>
      </c>
    </row>
    <row r="107" spans="1:24">
      <c r="A107" s="29" t="s">
        <v>42</v>
      </c>
      <c r="B107" s="29" t="s">
        <v>362</v>
      </c>
      <c r="C107" s="29" t="s">
        <v>363</v>
      </c>
      <c r="D107" s="29" t="s">
        <v>364</v>
      </c>
      <c r="E107" s="30" t="s">
        <v>46</v>
      </c>
      <c r="F107" s="31" t="s">
        <v>46</v>
      </c>
      <c r="G107" s="32" t="s">
        <v>46</v>
      </c>
      <c r="H107" s="27"/>
      <c r="I107" s="27" t="s">
        <v>47</v>
      </c>
      <c r="J107" s="33">
        <v>1</v>
      </c>
      <c r="K107" s="37">
        <f>38600</f>
        <v>38600</v>
      </c>
      <c r="L107" s="34" t="s">
        <v>48</v>
      </c>
      <c r="M107" s="37">
        <f>39950</f>
        <v>39950</v>
      </c>
      <c r="N107" s="34" t="s">
        <v>176</v>
      </c>
      <c r="O107" s="37">
        <f>37850</f>
        <v>37850</v>
      </c>
      <c r="P107" s="34" t="s">
        <v>77</v>
      </c>
      <c r="Q107" s="37">
        <f>39000</f>
        <v>39000</v>
      </c>
      <c r="R107" s="34" t="s">
        <v>50</v>
      </c>
      <c r="S107" s="36">
        <f>39184.21</f>
        <v>39184.21</v>
      </c>
      <c r="T107" s="33">
        <f>174754</f>
        <v>174754</v>
      </c>
      <c r="U107" s="33">
        <f>39000</f>
        <v>39000</v>
      </c>
      <c r="V107" s="33">
        <f>6839936372</f>
        <v>6839936372</v>
      </c>
      <c r="W107" s="33">
        <f>1526314022</f>
        <v>1526314022</v>
      </c>
      <c r="X107" s="35">
        <f>19</f>
        <v>19</v>
      </c>
    </row>
    <row r="108" spans="1:24">
      <c r="A108" s="29" t="s">
        <v>42</v>
      </c>
      <c r="B108" s="29" t="s">
        <v>365</v>
      </c>
      <c r="C108" s="29" t="s">
        <v>366</v>
      </c>
      <c r="D108" s="29" t="s">
        <v>367</v>
      </c>
      <c r="E108" s="30" t="s">
        <v>46</v>
      </c>
      <c r="F108" s="31" t="s">
        <v>46</v>
      </c>
      <c r="G108" s="32" t="s">
        <v>46</v>
      </c>
      <c r="H108" s="27"/>
      <c r="I108" s="27" t="s">
        <v>47</v>
      </c>
      <c r="J108" s="33">
        <v>1</v>
      </c>
      <c r="K108" s="37">
        <f>2900</f>
        <v>2900</v>
      </c>
      <c r="L108" s="34" t="s">
        <v>48</v>
      </c>
      <c r="M108" s="37">
        <f>3065</f>
        <v>3065</v>
      </c>
      <c r="N108" s="34" t="s">
        <v>240</v>
      </c>
      <c r="O108" s="37">
        <f>2880</f>
        <v>2880</v>
      </c>
      <c r="P108" s="34" t="s">
        <v>84</v>
      </c>
      <c r="Q108" s="37">
        <f>2951</f>
        <v>2951</v>
      </c>
      <c r="R108" s="34" t="s">
        <v>50</v>
      </c>
      <c r="S108" s="36">
        <f>2983.89</f>
        <v>2983.89</v>
      </c>
      <c r="T108" s="33">
        <f>11163</f>
        <v>11163</v>
      </c>
      <c r="U108" s="33">
        <f>1</f>
        <v>1</v>
      </c>
      <c r="V108" s="33">
        <f>33383584</f>
        <v>33383584</v>
      </c>
      <c r="W108" s="33">
        <f>2968</f>
        <v>2968</v>
      </c>
      <c r="X108" s="35">
        <f>19</f>
        <v>19</v>
      </c>
    </row>
    <row r="109" spans="1:24">
      <c r="A109" s="29" t="s">
        <v>42</v>
      </c>
      <c r="B109" s="29" t="s">
        <v>368</v>
      </c>
      <c r="C109" s="29" t="s">
        <v>369</v>
      </c>
      <c r="D109" s="29" t="s">
        <v>370</v>
      </c>
      <c r="E109" s="30" t="s">
        <v>46</v>
      </c>
      <c r="F109" s="31" t="s">
        <v>46</v>
      </c>
      <c r="G109" s="32" t="s">
        <v>46</v>
      </c>
      <c r="H109" s="27"/>
      <c r="I109" s="27" t="s">
        <v>47</v>
      </c>
      <c r="J109" s="33">
        <v>1</v>
      </c>
      <c r="K109" s="37">
        <f>4240</f>
        <v>4240</v>
      </c>
      <c r="L109" s="34" t="s">
        <v>48</v>
      </c>
      <c r="M109" s="37">
        <f>4280</f>
        <v>4280</v>
      </c>
      <c r="N109" s="34" t="s">
        <v>371</v>
      </c>
      <c r="O109" s="37">
        <f>4020</f>
        <v>4020</v>
      </c>
      <c r="P109" s="34" t="s">
        <v>84</v>
      </c>
      <c r="Q109" s="37">
        <f>4100</f>
        <v>4100</v>
      </c>
      <c r="R109" s="34" t="s">
        <v>50</v>
      </c>
      <c r="S109" s="36">
        <f>4113.95</f>
        <v>4113.95</v>
      </c>
      <c r="T109" s="33">
        <f>6827</f>
        <v>6827</v>
      </c>
      <c r="U109" s="33" t="str">
        <f>"－"</f>
        <v>－</v>
      </c>
      <c r="V109" s="33">
        <f>28273820</f>
        <v>28273820</v>
      </c>
      <c r="W109" s="33" t="str">
        <f>"－"</f>
        <v>－</v>
      </c>
      <c r="X109" s="35">
        <f>19</f>
        <v>19</v>
      </c>
    </row>
    <row r="110" spans="1:24">
      <c r="A110" s="29" t="s">
        <v>42</v>
      </c>
      <c r="B110" s="29" t="s">
        <v>372</v>
      </c>
      <c r="C110" s="29" t="s">
        <v>373</v>
      </c>
      <c r="D110" s="29" t="s">
        <v>374</v>
      </c>
      <c r="E110" s="30" t="s">
        <v>46</v>
      </c>
      <c r="F110" s="31" t="s">
        <v>46</v>
      </c>
      <c r="G110" s="32" t="s">
        <v>46</v>
      </c>
      <c r="H110" s="27"/>
      <c r="I110" s="27" t="s">
        <v>47</v>
      </c>
      <c r="J110" s="33">
        <v>1</v>
      </c>
      <c r="K110" s="37">
        <f>3575</f>
        <v>3575</v>
      </c>
      <c r="L110" s="34" t="s">
        <v>48</v>
      </c>
      <c r="M110" s="37">
        <f>3580</f>
        <v>3580</v>
      </c>
      <c r="N110" s="34" t="s">
        <v>48</v>
      </c>
      <c r="O110" s="37">
        <f>3275</f>
        <v>3275</v>
      </c>
      <c r="P110" s="34" t="s">
        <v>50</v>
      </c>
      <c r="Q110" s="37">
        <f>3300</f>
        <v>3300</v>
      </c>
      <c r="R110" s="34" t="s">
        <v>50</v>
      </c>
      <c r="S110" s="36">
        <f>3453.16</f>
        <v>3453.16</v>
      </c>
      <c r="T110" s="33">
        <f>254605</f>
        <v>254605</v>
      </c>
      <c r="U110" s="33">
        <f>1</f>
        <v>1</v>
      </c>
      <c r="V110" s="33">
        <f>879438855</f>
        <v>879438855</v>
      </c>
      <c r="W110" s="33">
        <f>3405</f>
        <v>3405</v>
      </c>
      <c r="X110" s="35">
        <f>19</f>
        <v>19</v>
      </c>
    </row>
    <row r="111" spans="1:24">
      <c r="A111" s="29" t="s">
        <v>42</v>
      </c>
      <c r="B111" s="29" t="s">
        <v>375</v>
      </c>
      <c r="C111" s="29" t="s">
        <v>376</v>
      </c>
      <c r="D111" s="29" t="s">
        <v>377</v>
      </c>
      <c r="E111" s="30" t="s">
        <v>46</v>
      </c>
      <c r="F111" s="31" t="s">
        <v>46</v>
      </c>
      <c r="G111" s="32" t="s">
        <v>46</v>
      </c>
      <c r="H111" s="27"/>
      <c r="I111" s="27" t="s">
        <v>47</v>
      </c>
      <c r="J111" s="33">
        <v>1</v>
      </c>
      <c r="K111" s="37">
        <f>45200</f>
        <v>45200</v>
      </c>
      <c r="L111" s="34" t="s">
        <v>48</v>
      </c>
      <c r="M111" s="37">
        <f>45250</f>
        <v>45250</v>
      </c>
      <c r="N111" s="34" t="s">
        <v>48</v>
      </c>
      <c r="O111" s="37">
        <f>44300</f>
        <v>44300</v>
      </c>
      <c r="P111" s="34" t="s">
        <v>240</v>
      </c>
      <c r="Q111" s="37">
        <f>44500</f>
        <v>44500</v>
      </c>
      <c r="R111" s="34" t="s">
        <v>50</v>
      </c>
      <c r="S111" s="36">
        <f>44692.11</f>
        <v>44692.11</v>
      </c>
      <c r="T111" s="33">
        <f>16501</f>
        <v>16501</v>
      </c>
      <c r="U111" s="33">
        <f>5</f>
        <v>5</v>
      </c>
      <c r="V111" s="33">
        <f>738462550</f>
        <v>738462550</v>
      </c>
      <c r="W111" s="33">
        <f>223900</f>
        <v>223900</v>
      </c>
      <c r="X111" s="35">
        <f>19</f>
        <v>19</v>
      </c>
    </row>
    <row r="112" spans="1:24">
      <c r="A112" s="29" t="s">
        <v>42</v>
      </c>
      <c r="B112" s="29" t="s">
        <v>378</v>
      </c>
      <c r="C112" s="29" t="s">
        <v>379</v>
      </c>
      <c r="D112" s="29" t="s">
        <v>380</v>
      </c>
      <c r="E112" s="30" t="s">
        <v>46</v>
      </c>
      <c r="F112" s="31" t="s">
        <v>46</v>
      </c>
      <c r="G112" s="32" t="s">
        <v>46</v>
      </c>
      <c r="H112" s="27"/>
      <c r="I112" s="27" t="s">
        <v>47</v>
      </c>
      <c r="J112" s="33">
        <v>10</v>
      </c>
      <c r="K112" s="37" t="str">
        <f>"－"</f>
        <v>－</v>
      </c>
      <c r="L112" s="34"/>
      <c r="M112" s="37" t="str">
        <f>"－"</f>
        <v>－</v>
      </c>
      <c r="N112" s="34"/>
      <c r="O112" s="37" t="str">
        <f>"－"</f>
        <v>－</v>
      </c>
      <c r="P112" s="34"/>
      <c r="Q112" s="37" t="str">
        <f>"－"</f>
        <v>－</v>
      </c>
      <c r="R112" s="34"/>
      <c r="S112" s="36" t="str">
        <f t="shared" ref="S112:X112" si="4">"－"</f>
        <v>－</v>
      </c>
      <c r="T112" s="33" t="str">
        <f t="shared" si="4"/>
        <v>－</v>
      </c>
      <c r="U112" s="33" t="str">
        <f t="shared" si="4"/>
        <v>－</v>
      </c>
      <c r="V112" s="33" t="str">
        <f t="shared" si="4"/>
        <v>－</v>
      </c>
      <c r="W112" s="33" t="str">
        <f t="shared" si="4"/>
        <v>－</v>
      </c>
      <c r="X112" s="35" t="str">
        <f t="shared" si="4"/>
        <v>－</v>
      </c>
    </row>
    <row r="113" spans="1:24">
      <c r="A113" s="29" t="s">
        <v>42</v>
      </c>
      <c r="B113" s="29" t="s">
        <v>381</v>
      </c>
      <c r="C113" s="29" t="s">
        <v>382</v>
      </c>
      <c r="D113" s="29" t="s">
        <v>383</v>
      </c>
      <c r="E113" s="30" t="s">
        <v>46</v>
      </c>
      <c r="F113" s="31" t="s">
        <v>46</v>
      </c>
      <c r="G113" s="32" t="s">
        <v>46</v>
      </c>
      <c r="H113" s="27"/>
      <c r="I113" s="27" t="s">
        <v>47</v>
      </c>
      <c r="J113" s="33">
        <v>10</v>
      </c>
      <c r="K113" s="37">
        <f>20660</f>
        <v>20660</v>
      </c>
      <c r="L113" s="34" t="s">
        <v>48</v>
      </c>
      <c r="M113" s="37">
        <f>22360</f>
        <v>22360</v>
      </c>
      <c r="N113" s="34" t="s">
        <v>49</v>
      </c>
      <c r="O113" s="37">
        <f>19820</f>
        <v>19820</v>
      </c>
      <c r="P113" s="34" t="s">
        <v>48</v>
      </c>
      <c r="Q113" s="37">
        <f>20490</f>
        <v>20490</v>
      </c>
      <c r="R113" s="34" t="s">
        <v>50</v>
      </c>
      <c r="S113" s="36">
        <f>21310</f>
        <v>21310</v>
      </c>
      <c r="T113" s="33">
        <f>2481610</f>
        <v>2481610</v>
      </c>
      <c r="U113" s="33">
        <f>49230</f>
        <v>49230</v>
      </c>
      <c r="V113" s="33">
        <f>52729648050</f>
        <v>52729648050</v>
      </c>
      <c r="W113" s="33">
        <f>1006337850</f>
        <v>1006337850</v>
      </c>
      <c r="X113" s="35">
        <f>19</f>
        <v>19</v>
      </c>
    </row>
    <row r="114" spans="1:24">
      <c r="A114" s="29" t="s">
        <v>42</v>
      </c>
      <c r="B114" s="29" t="s">
        <v>384</v>
      </c>
      <c r="C114" s="29" t="s">
        <v>385</v>
      </c>
      <c r="D114" s="29" t="s">
        <v>386</v>
      </c>
      <c r="E114" s="30" t="s">
        <v>46</v>
      </c>
      <c r="F114" s="31" t="s">
        <v>46</v>
      </c>
      <c r="G114" s="32" t="s">
        <v>46</v>
      </c>
      <c r="H114" s="27"/>
      <c r="I114" s="27" t="s">
        <v>47</v>
      </c>
      <c r="J114" s="33">
        <v>10</v>
      </c>
      <c r="K114" s="37">
        <f>2469</f>
        <v>2469</v>
      </c>
      <c r="L114" s="34" t="s">
        <v>48</v>
      </c>
      <c r="M114" s="37">
        <f>2513</f>
        <v>2513</v>
      </c>
      <c r="N114" s="34" t="s">
        <v>48</v>
      </c>
      <c r="O114" s="37">
        <f>2364</f>
        <v>2364</v>
      </c>
      <c r="P114" s="34" t="s">
        <v>49</v>
      </c>
      <c r="Q114" s="37">
        <f>2463</f>
        <v>2463</v>
      </c>
      <c r="R114" s="34" t="s">
        <v>50</v>
      </c>
      <c r="S114" s="36">
        <f>2421.26</f>
        <v>2421.2600000000002</v>
      </c>
      <c r="T114" s="33">
        <f>527990</f>
        <v>527990</v>
      </c>
      <c r="U114" s="33">
        <f>3580</f>
        <v>3580</v>
      </c>
      <c r="V114" s="33">
        <f>1284007640</f>
        <v>1284007640</v>
      </c>
      <c r="W114" s="33">
        <f>8671020</f>
        <v>8671020</v>
      </c>
      <c r="X114" s="35">
        <f>19</f>
        <v>19</v>
      </c>
    </row>
    <row r="115" spans="1:24">
      <c r="A115" s="29" t="s">
        <v>42</v>
      </c>
      <c r="B115" s="29" t="s">
        <v>387</v>
      </c>
      <c r="C115" s="29" t="s">
        <v>388</v>
      </c>
      <c r="D115" s="29" t="s">
        <v>389</v>
      </c>
      <c r="E115" s="30" t="s">
        <v>46</v>
      </c>
      <c r="F115" s="31" t="s">
        <v>46</v>
      </c>
      <c r="G115" s="32" t="s">
        <v>46</v>
      </c>
      <c r="H115" s="27"/>
      <c r="I115" s="27" t="s">
        <v>47</v>
      </c>
      <c r="J115" s="33">
        <v>1</v>
      </c>
      <c r="K115" s="37">
        <f>29220</f>
        <v>29220</v>
      </c>
      <c r="L115" s="34" t="s">
        <v>48</v>
      </c>
      <c r="M115" s="37">
        <f>32150</f>
        <v>32150</v>
      </c>
      <c r="N115" s="34" t="s">
        <v>49</v>
      </c>
      <c r="O115" s="37">
        <f>27920</f>
        <v>27920</v>
      </c>
      <c r="P115" s="34" t="s">
        <v>77</v>
      </c>
      <c r="Q115" s="37">
        <f>29190</f>
        <v>29190</v>
      </c>
      <c r="R115" s="34" t="s">
        <v>50</v>
      </c>
      <c r="S115" s="36">
        <f>30412.63</f>
        <v>30412.63</v>
      </c>
      <c r="T115" s="33">
        <f>73555260</f>
        <v>73555260</v>
      </c>
      <c r="U115" s="33">
        <f>53975</f>
        <v>53975</v>
      </c>
      <c r="V115" s="33">
        <f>2205710164417</f>
        <v>2205710164417</v>
      </c>
      <c r="W115" s="33">
        <f>1684307827</f>
        <v>1684307827</v>
      </c>
      <c r="X115" s="35">
        <f>19</f>
        <v>19</v>
      </c>
    </row>
    <row r="116" spans="1:24">
      <c r="A116" s="29" t="s">
        <v>42</v>
      </c>
      <c r="B116" s="29" t="s">
        <v>390</v>
      </c>
      <c r="C116" s="29" t="s">
        <v>391</v>
      </c>
      <c r="D116" s="29" t="s">
        <v>392</v>
      </c>
      <c r="E116" s="30" t="s">
        <v>46</v>
      </c>
      <c r="F116" s="31" t="s">
        <v>46</v>
      </c>
      <c r="G116" s="32" t="s">
        <v>46</v>
      </c>
      <c r="H116" s="27"/>
      <c r="I116" s="27" t="s">
        <v>47</v>
      </c>
      <c r="J116" s="33">
        <v>1</v>
      </c>
      <c r="K116" s="37">
        <f>1089</f>
        <v>1089</v>
      </c>
      <c r="L116" s="34" t="s">
        <v>48</v>
      </c>
      <c r="M116" s="37">
        <f>1114</f>
        <v>1114</v>
      </c>
      <c r="N116" s="34" t="s">
        <v>77</v>
      </c>
      <c r="O116" s="37">
        <f>1035</f>
        <v>1035</v>
      </c>
      <c r="P116" s="34" t="s">
        <v>49</v>
      </c>
      <c r="Q116" s="37">
        <f>1084</f>
        <v>1084</v>
      </c>
      <c r="R116" s="34" t="s">
        <v>50</v>
      </c>
      <c r="S116" s="36">
        <f>1065.32</f>
        <v>1065.32</v>
      </c>
      <c r="T116" s="33">
        <f>12372000</f>
        <v>12372000</v>
      </c>
      <c r="U116" s="33">
        <f>4</f>
        <v>4</v>
      </c>
      <c r="V116" s="33">
        <f>13107793990</f>
        <v>13107793990</v>
      </c>
      <c r="W116" s="33">
        <f>4319</f>
        <v>4319</v>
      </c>
      <c r="X116" s="35">
        <f>19</f>
        <v>19</v>
      </c>
    </row>
    <row r="117" spans="1:24">
      <c r="A117" s="29" t="s">
        <v>42</v>
      </c>
      <c r="B117" s="29" t="s">
        <v>393</v>
      </c>
      <c r="C117" s="29" t="s">
        <v>394</v>
      </c>
      <c r="D117" s="29" t="s">
        <v>395</v>
      </c>
      <c r="E117" s="30" t="s">
        <v>46</v>
      </c>
      <c r="F117" s="31" t="s">
        <v>46</v>
      </c>
      <c r="G117" s="32" t="s">
        <v>46</v>
      </c>
      <c r="H117" s="27"/>
      <c r="I117" s="27" t="s">
        <v>47</v>
      </c>
      <c r="J117" s="33">
        <v>10</v>
      </c>
      <c r="K117" s="37">
        <f>10620</f>
        <v>10620</v>
      </c>
      <c r="L117" s="34" t="s">
        <v>48</v>
      </c>
      <c r="M117" s="37">
        <f>13600</f>
        <v>13600</v>
      </c>
      <c r="N117" s="34" t="s">
        <v>132</v>
      </c>
      <c r="O117" s="37">
        <f>10520</f>
        <v>10520</v>
      </c>
      <c r="P117" s="34" t="s">
        <v>84</v>
      </c>
      <c r="Q117" s="37">
        <f>12110</f>
        <v>12110</v>
      </c>
      <c r="R117" s="34" t="s">
        <v>50</v>
      </c>
      <c r="S117" s="36">
        <f>12080</f>
        <v>12080</v>
      </c>
      <c r="T117" s="33">
        <f>27440</f>
        <v>27440</v>
      </c>
      <c r="U117" s="33" t="str">
        <f>"－"</f>
        <v>－</v>
      </c>
      <c r="V117" s="33">
        <f>339706800</f>
        <v>339706800</v>
      </c>
      <c r="W117" s="33" t="str">
        <f>"－"</f>
        <v>－</v>
      </c>
      <c r="X117" s="35">
        <f>19</f>
        <v>19</v>
      </c>
    </row>
    <row r="118" spans="1:24">
      <c r="A118" s="29" t="s">
        <v>42</v>
      </c>
      <c r="B118" s="29" t="s">
        <v>396</v>
      </c>
      <c r="C118" s="29" t="s">
        <v>397</v>
      </c>
      <c r="D118" s="29" t="s">
        <v>398</v>
      </c>
      <c r="E118" s="30" t="s">
        <v>46</v>
      </c>
      <c r="F118" s="31" t="s">
        <v>46</v>
      </c>
      <c r="G118" s="32" t="s">
        <v>46</v>
      </c>
      <c r="H118" s="27"/>
      <c r="I118" s="27" t="s">
        <v>47</v>
      </c>
      <c r="J118" s="33">
        <v>10</v>
      </c>
      <c r="K118" s="37">
        <f>6500</f>
        <v>6500</v>
      </c>
      <c r="L118" s="34" t="s">
        <v>48</v>
      </c>
      <c r="M118" s="37">
        <f>6520</f>
        <v>6520</v>
      </c>
      <c r="N118" s="34" t="s">
        <v>48</v>
      </c>
      <c r="O118" s="37">
        <f>5800</f>
        <v>5800</v>
      </c>
      <c r="P118" s="34" t="s">
        <v>268</v>
      </c>
      <c r="Q118" s="37">
        <f>6150</f>
        <v>6150</v>
      </c>
      <c r="R118" s="34" t="s">
        <v>50</v>
      </c>
      <c r="S118" s="36">
        <f>6157.89</f>
        <v>6157.89</v>
      </c>
      <c r="T118" s="33">
        <f>9610</f>
        <v>9610</v>
      </c>
      <c r="U118" s="33" t="str">
        <f>"－"</f>
        <v>－</v>
      </c>
      <c r="V118" s="33">
        <f>59216300</f>
        <v>59216300</v>
      </c>
      <c r="W118" s="33" t="str">
        <f>"－"</f>
        <v>－</v>
      </c>
      <c r="X118" s="35">
        <f>19</f>
        <v>19</v>
      </c>
    </row>
    <row r="119" spans="1:24">
      <c r="A119" s="29" t="s">
        <v>42</v>
      </c>
      <c r="B119" s="29" t="s">
        <v>399</v>
      </c>
      <c r="C119" s="29" t="s">
        <v>400</v>
      </c>
      <c r="D119" s="29" t="s">
        <v>401</v>
      </c>
      <c r="E119" s="30" t="s">
        <v>46</v>
      </c>
      <c r="F119" s="31" t="s">
        <v>46</v>
      </c>
      <c r="G119" s="32" t="s">
        <v>46</v>
      </c>
      <c r="H119" s="27"/>
      <c r="I119" s="27" t="s">
        <v>47</v>
      </c>
      <c r="J119" s="33">
        <v>10</v>
      </c>
      <c r="K119" s="37">
        <f>1580</f>
        <v>1580</v>
      </c>
      <c r="L119" s="34" t="s">
        <v>131</v>
      </c>
      <c r="M119" s="37">
        <f>1665</f>
        <v>1665</v>
      </c>
      <c r="N119" s="34" t="s">
        <v>92</v>
      </c>
      <c r="O119" s="37">
        <f>1550</f>
        <v>1550</v>
      </c>
      <c r="P119" s="34" t="s">
        <v>268</v>
      </c>
      <c r="Q119" s="37">
        <f>1550</f>
        <v>1550</v>
      </c>
      <c r="R119" s="34" t="s">
        <v>268</v>
      </c>
      <c r="S119" s="36">
        <f>1598.33</f>
        <v>1598.33</v>
      </c>
      <c r="T119" s="33">
        <f>120</f>
        <v>120</v>
      </c>
      <c r="U119" s="33" t="str">
        <f>"－"</f>
        <v>－</v>
      </c>
      <c r="V119" s="33">
        <f>187450</f>
        <v>187450</v>
      </c>
      <c r="W119" s="33" t="str">
        <f>"－"</f>
        <v>－</v>
      </c>
      <c r="X119" s="35">
        <f>3</f>
        <v>3</v>
      </c>
    </row>
    <row r="120" spans="1:24">
      <c r="A120" s="29" t="s">
        <v>42</v>
      </c>
      <c r="B120" s="29" t="s">
        <v>402</v>
      </c>
      <c r="C120" s="29" t="s">
        <v>403</v>
      </c>
      <c r="D120" s="29" t="s">
        <v>404</v>
      </c>
      <c r="E120" s="30" t="s">
        <v>46</v>
      </c>
      <c r="F120" s="31" t="s">
        <v>46</v>
      </c>
      <c r="G120" s="32" t="s">
        <v>46</v>
      </c>
      <c r="H120" s="27"/>
      <c r="I120" s="27" t="s">
        <v>47</v>
      </c>
      <c r="J120" s="33">
        <v>10</v>
      </c>
      <c r="K120" s="37">
        <f>813</f>
        <v>813</v>
      </c>
      <c r="L120" s="34" t="s">
        <v>48</v>
      </c>
      <c r="M120" s="37">
        <f>1126</f>
        <v>1126</v>
      </c>
      <c r="N120" s="34" t="s">
        <v>50</v>
      </c>
      <c r="O120" s="37">
        <f>786</f>
        <v>786</v>
      </c>
      <c r="P120" s="34" t="s">
        <v>84</v>
      </c>
      <c r="Q120" s="37">
        <f>982</f>
        <v>982</v>
      </c>
      <c r="R120" s="34" t="s">
        <v>50</v>
      </c>
      <c r="S120" s="36">
        <f>884.37</f>
        <v>884.37</v>
      </c>
      <c r="T120" s="33">
        <f>39460</f>
        <v>39460</v>
      </c>
      <c r="U120" s="33" t="str">
        <f>"－"</f>
        <v>－</v>
      </c>
      <c r="V120" s="33">
        <f>35662700</f>
        <v>35662700</v>
      </c>
      <c r="W120" s="33" t="str">
        <f>"－"</f>
        <v>－</v>
      </c>
      <c r="X120" s="35">
        <f>19</f>
        <v>19</v>
      </c>
    </row>
    <row r="121" spans="1:24">
      <c r="A121" s="29" t="s">
        <v>42</v>
      </c>
      <c r="B121" s="29" t="s">
        <v>405</v>
      </c>
      <c r="C121" s="29" t="s">
        <v>406</v>
      </c>
      <c r="D121" s="29" t="s">
        <v>407</v>
      </c>
      <c r="E121" s="30" t="s">
        <v>46</v>
      </c>
      <c r="F121" s="31" t="s">
        <v>46</v>
      </c>
      <c r="G121" s="32" t="s">
        <v>46</v>
      </c>
      <c r="H121" s="27"/>
      <c r="I121" s="27" t="s">
        <v>47</v>
      </c>
      <c r="J121" s="33">
        <v>10</v>
      </c>
      <c r="K121" s="37">
        <f>779</f>
        <v>779</v>
      </c>
      <c r="L121" s="34" t="s">
        <v>48</v>
      </c>
      <c r="M121" s="37">
        <f>977</f>
        <v>977</v>
      </c>
      <c r="N121" s="34" t="s">
        <v>100</v>
      </c>
      <c r="O121" s="37">
        <f>779</f>
        <v>779</v>
      </c>
      <c r="P121" s="34" t="s">
        <v>48</v>
      </c>
      <c r="Q121" s="37">
        <f>823</f>
        <v>823</v>
      </c>
      <c r="R121" s="34" t="s">
        <v>50</v>
      </c>
      <c r="S121" s="36">
        <f>830</f>
        <v>830</v>
      </c>
      <c r="T121" s="33">
        <f>33680</f>
        <v>33680</v>
      </c>
      <c r="U121" s="33" t="str">
        <f>"－"</f>
        <v>－</v>
      </c>
      <c r="V121" s="33">
        <f>28361790</f>
        <v>28361790</v>
      </c>
      <c r="W121" s="33" t="str">
        <f>"－"</f>
        <v>－</v>
      </c>
      <c r="X121" s="35">
        <f>19</f>
        <v>19</v>
      </c>
    </row>
    <row r="122" spans="1:24">
      <c r="A122" s="29" t="s">
        <v>42</v>
      </c>
      <c r="B122" s="29" t="s">
        <v>408</v>
      </c>
      <c r="C122" s="29" t="s">
        <v>409</v>
      </c>
      <c r="D122" s="29" t="s">
        <v>410</v>
      </c>
      <c r="E122" s="30" t="s">
        <v>46</v>
      </c>
      <c r="F122" s="31" t="s">
        <v>46</v>
      </c>
      <c r="G122" s="32" t="s">
        <v>46</v>
      </c>
      <c r="H122" s="27"/>
      <c r="I122" s="27" t="s">
        <v>47</v>
      </c>
      <c r="J122" s="33">
        <v>1</v>
      </c>
      <c r="K122" s="37">
        <f>19760</f>
        <v>19760</v>
      </c>
      <c r="L122" s="34" t="s">
        <v>48</v>
      </c>
      <c r="M122" s="37">
        <f>20850</f>
        <v>20850</v>
      </c>
      <c r="N122" s="34" t="s">
        <v>49</v>
      </c>
      <c r="O122" s="37">
        <f>19320</f>
        <v>19320</v>
      </c>
      <c r="P122" s="34" t="s">
        <v>84</v>
      </c>
      <c r="Q122" s="37">
        <f>20270</f>
        <v>20270</v>
      </c>
      <c r="R122" s="34" t="s">
        <v>50</v>
      </c>
      <c r="S122" s="36">
        <f>20342.63</f>
        <v>20342.63</v>
      </c>
      <c r="T122" s="33">
        <f>41364</f>
        <v>41364</v>
      </c>
      <c r="U122" s="33">
        <f>2508</f>
        <v>2508</v>
      </c>
      <c r="V122" s="33">
        <f>833888894</f>
        <v>833888894</v>
      </c>
      <c r="W122" s="33">
        <f>51500144</f>
        <v>51500144</v>
      </c>
      <c r="X122" s="35">
        <f>19</f>
        <v>19</v>
      </c>
    </row>
    <row r="123" spans="1:24">
      <c r="A123" s="29" t="s">
        <v>42</v>
      </c>
      <c r="B123" s="29" t="s">
        <v>411</v>
      </c>
      <c r="C123" s="29" t="s">
        <v>412</v>
      </c>
      <c r="D123" s="29" t="s">
        <v>413</v>
      </c>
      <c r="E123" s="30" t="s">
        <v>46</v>
      </c>
      <c r="F123" s="31" t="s">
        <v>46</v>
      </c>
      <c r="G123" s="32" t="s">
        <v>46</v>
      </c>
      <c r="H123" s="27"/>
      <c r="I123" s="27" t="s">
        <v>47</v>
      </c>
      <c r="J123" s="33">
        <v>1</v>
      </c>
      <c r="K123" s="37">
        <f>2213</f>
        <v>2213</v>
      </c>
      <c r="L123" s="34" t="s">
        <v>48</v>
      </c>
      <c r="M123" s="37">
        <f>2303</f>
        <v>2303</v>
      </c>
      <c r="N123" s="34" t="s">
        <v>49</v>
      </c>
      <c r="O123" s="37">
        <f>2165</f>
        <v>2165</v>
      </c>
      <c r="P123" s="34" t="s">
        <v>77</v>
      </c>
      <c r="Q123" s="37">
        <f>2244</f>
        <v>2244</v>
      </c>
      <c r="R123" s="34" t="s">
        <v>50</v>
      </c>
      <c r="S123" s="36">
        <f>2247.84</f>
        <v>2247.84</v>
      </c>
      <c r="T123" s="33">
        <f>40827</f>
        <v>40827</v>
      </c>
      <c r="U123" s="33">
        <f>1</f>
        <v>1</v>
      </c>
      <c r="V123" s="33">
        <f>91621875</f>
        <v>91621875</v>
      </c>
      <c r="W123" s="33">
        <f>2272</f>
        <v>2272</v>
      </c>
      <c r="X123" s="35">
        <f>19</f>
        <v>19</v>
      </c>
    </row>
    <row r="124" spans="1:24">
      <c r="A124" s="29" t="s">
        <v>42</v>
      </c>
      <c r="B124" s="29" t="s">
        <v>414</v>
      </c>
      <c r="C124" s="29" t="s">
        <v>415</v>
      </c>
      <c r="D124" s="29" t="s">
        <v>416</v>
      </c>
      <c r="E124" s="30" t="s">
        <v>46</v>
      </c>
      <c r="F124" s="31" t="s">
        <v>46</v>
      </c>
      <c r="G124" s="32" t="s">
        <v>46</v>
      </c>
      <c r="H124" s="27"/>
      <c r="I124" s="27" t="s">
        <v>47</v>
      </c>
      <c r="J124" s="33">
        <v>10</v>
      </c>
      <c r="K124" s="37">
        <f>31150</f>
        <v>31150</v>
      </c>
      <c r="L124" s="34" t="s">
        <v>48</v>
      </c>
      <c r="M124" s="37">
        <f>34250</f>
        <v>34250</v>
      </c>
      <c r="N124" s="34" t="s">
        <v>49</v>
      </c>
      <c r="O124" s="37">
        <f>29730</f>
        <v>29730</v>
      </c>
      <c r="P124" s="34" t="s">
        <v>77</v>
      </c>
      <c r="Q124" s="37">
        <f>31100</f>
        <v>31100</v>
      </c>
      <c r="R124" s="34" t="s">
        <v>50</v>
      </c>
      <c r="S124" s="36">
        <f>32368.42</f>
        <v>32368.42</v>
      </c>
      <c r="T124" s="33">
        <f>5795590</f>
        <v>5795590</v>
      </c>
      <c r="U124" s="33">
        <f>9820</f>
        <v>9820</v>
      </c>
      <c r="V124" s="33">
        <f>186599091627</f>
        <v>186599091627</v>
      </c>
      <c r="W124" s="33">
        <f>307827127</f>
        <v>307827127</v>
      </c>
      <c r="X124" s="35">
        <f>19</f>
        <v>19</v>
      </c>
    </row>
    <row r="125" spans="1:24">
      <c r="A125" s="29" t="s">
        <v>42</v>
      </c>
      <c r="B125" s="29" t="s">
        <v>417</v>
      </c>
      <c r="C125" s="29" t="s">
        <v>418</v>
      </c>
      <c r="D125" s="29" t="s">
        <v>419</v>
      </c>
      <c r="E125" s="30" t="s">
        <v>46</v>
      </c>
      <c r="F125" s="31" t="s">
        <v>46</v>
      </c>
      <c r="G125" s="32" t="s">
        <v>46</v>
      </c>
      <c r="H125" s="27"/>
      <c r="I125" s="27" t="s">
        <v>47</v>
      </c>
      <c r="J125" s="33">
        <v>10</v>
      </c>
      <c r="K125" s="37">
        <f>2902</f>
        <v>2902</v>
      </c>
      <c r="L125" s="34" t="s">
        <v>48</v>
      </c>
      <c r="M125" s="37">
        <f>2968</f>
        <v>2968</v>
      </c>
      <c r="N125" s="34" t="s">
        <v>77</v>
      </c>
      <c r="O125" s="37">
        <f>2760</f>
        <v>2760</v>
      </c>
      <c r="P125" s="34" t="s">
        <v>49</v>
      </c>
      <c r="Q125" s="37">
        <f>2889</f>
        <v>2889</v>
      </c>
      <c r="R125" s="34" t="s">
        <v>50</v>
      </c>
      <c r="S125" s="36">
        <f>2840.74</f>
        <v>2840.74</v>
      </c>
      <c r="T125" s="33">
        <f>1081600</f>
        <v>1081600</v>
      </c>
      <c r="U125" s="33">
        <f>30</f>
        <v>30</v>
      </c>
      <c r="V125" s="33">
        <f>3073419450</f>
        <v>3073419450</v>
      </c>
      <c r="W125" s="33">
        <f>87080</f>
        <v>87080</v>
      </c>
      <c r="X125" s="35">
        <f>19</f>
        <v>19</v>
      </c>
    </row>
    <row r="126" spans="1:24">
      <c r="A126" s="29" t="s">
        <v>42</v>
      </c>
      <c r="B126" s="29" t="s">
        <v>420</v>
      </c>
      <c r="C126" s="29" t="s">
        <v>421</v>
      </c>
      <c r="D126" s="29" t="s">
        <v>422</v>
      </c>
      <c r="E126" s="30" t="s">
        <v>46</v>
      </c>
      <c r="F126" s="31" t="s">
        <v>46</v>
      </c>
      <c r="G126" s="32" t="s">
        <v>46</v>
      </c>
      <c r="H126" s="27"/>
      <c r="I126" s="27" t="s">
        <v>47</v>
      </c>
      <c r="J126" s="33">
        <v>10</v>
      </c>
      <c r="K126" s="37">
        <f>903</f>
        <v>903</v>
      </c>
      <c r="L126" s="34" t="s">
        <v>48</v>
      </c>
      <c r="M126" s="37">
        <f>1169</f>
        <v>1169</v>
      </c>
      <c r="N126" s="34" t="s">
        <v>176</v>
      </c>
      <c r="O126" s="37">
        <f>903</f>
        <v>903</v>
      </c>
      <c r="P126" s="34" t="s">
        <v>48</v>
      </c>
      <c r="Q126" s="37">
        <f>947</f>
        <v>947</v>
      </c>
      <c r="R126" s="34" t="s">
        <v>50</v>
      </c>
      <c r="S126" s="36">
        <f>1011.11</f>
        <v>1011.11</v>
      </c>
      <c r="T126" s="33">
        <f>17930</f>
        <v>17930</v>
      </c>
      <c r="U126" s="33">
        <f>10</f>
        <v>10</v>
      </c>
      <c r="V126" s="33">
        <f>18499240</f>
        <v>18499240</v>
      </c>
      <c r="W126" s="33">
        <f>10000</f>
        <v>10000</v>
      </c>
      <c r="X126" s="35">
        <f>19</f>
        <v>19</v>
      </c>
    </row>
    <row r="127" spans="1:24">
      <c r="A127" s="29" t="s">
        <v>42</v>
      </c>
      <c r="B127" s="29" t="s">
        <v>423</v>
      </c>
      <c r="C127" s="29" t="s">
        <v>424</v>
      </c>
      <c r="D127" s="29" t="s">
        <v>425</v>
      </c>
      <c r="E127" s="30" t="s">
        <v>46</v>
      </c>
      <c r="F127" s="31" t="s">
        <v>46</v>
      </c>
      <c r="G127" s="32" t="s">
        <v>46</v>
      </c>
      <c r="H127" s="27"/>
      <c r="I127" s="27" t="s">
        <v>47</v>
      </c>
      <c r="J127" s="33">
        <v>10</v>
      </c>
      <c r="K127" s="37">
        <f>1450</f>
        <v>1450</v>
      </c>
      <c r="L127" s="34" t="s">
        <v>96</v>
      </c>
      <c r="M127" s="37">
        <f>1480</f>
        <v>1480</v>
      </c>
      <c r="N127" s="34" t="s">
        <v>49</v>
      </c>
      <c r="O127" s="37">
        <f>1441</f>
        <v>1441</v>
      </c>
      <c r="P127" s="34" t="s">
        <v>88</v>
      </c>
      <c r="Q127" s="37">
        <f>1441</f>
        <v>1441</v>
      </c>
      <c r="R127" s="34" t="s">
        <v>88</v>
      </c>
      <c r="S127" s="36">
        <f>1462.88</f>
        <v>1462.88</v>
      </c>
      <c r="T127" s="33">
        <f>78910</f>
        <v>78910</v>
      </c>
      <c r="U127" s="33">
        <f>78000</f>
        <v>78000</v>
      </c>
      <c r="V127" s="33">
        <f>114479490</f>
        <v>114479490</v>
      </c>
      <c r="W127" s="33">
        <f>113150630</f>
        <v>113150630</v>
      </c>
      <c r="X127" s="35">
        <f>8</f>
        <v>8</v>
      </c>
    </row>
    <row r="128" spans="1:24">
      <c r="A128" s="29" t="s">
        <v>42</v>
      </c>
      <c r="B128" s="29" t="s">
        <v>426</v>
      </c>
      <c r="C128" s="29" t="s">
        <v>427</v>
      </c>
      <c r="D128" s="29" t="s">
        <v>428</v>
      </c>
      <c r="E128" s="30" t="s">
        <v>46</v>
      </c>
      <c r="F128" s="31" t="s">
        <v>46</v>
      </c>
      <c r="G128" s="32" t="s">
        <v>46</v>
      </c>
      <c r="H128" s="27"/>
      <c r="I128" s="27" t="s">
        <v>47</v>
      </c>
      <c r="J128" s="33">
        <v>1</v>
      </c>
      <c r="K128" s="37">
        <f>1633</f>
        <v>1633</v>
      </c>
      <c r="L128" s="34" t="s">
        <v>48</v>
      </c>
      <c r="M128" s="37">
        <f>1756</f>
        <v>1756</v>
      </c>
      <c r="N128" s="34" t="s">
        <v>84</v>
      </c>
      <c r="O128" s="37">
        <f>1550</f>
        <v>1550</v>
      </c>
      <c r="P128" s="34" t="s">
        <v>131</v>
      </c>
      <c r="Q128" s="37">
        <f>1620</f>
        <v>1620</v>
      </c>
      <c r="R128" s="34" t="s">
        <v>50</v>
      </c>
      <c r="S128" s="36">
        <f>1623.71</f>
        <v>1623.71</v>
      </c>
      <c r="T128" s="33">
        <f>2039</f>
        <v>2039</v>
      </c>
      <c r="U128" s="33" t="str">
        <f>"－"</f>
        <v>－</v>
      </c>
      <c r="V128" s="33">
        <f>3309047</f>
        <v>3309047</v>
      </c>
      <c r="W128" s="33" t="str">
        <f>"－"</f>
        <v>－</v>
      </c>
      <c r="X128" s="35">
        <f>17</f>
        <v>17</v>
      </c>
    </row>
    <row r="129" spans="1:24">
      <c r="A129" s="29" t="s">
        <v>42</v>
      </c>
      <c r="B129" s="29" t="s">
        <v>429</v>
      </c>
      <c r="C129" s="29" t="s">
        <v>430</v>
      </c>
      <c r="D129" s="29" t="s">
        <v>431</v>
      </c>
      <c r="E129" s="30" t="s">
        <v>46</v>
      </c>
      <c r="F129" s="31" t="s">
        <v>46</v>
      </c>
      <c r="G129" s="32" t="s">
        <v>46</v>
      </c>
      <c r="H129" s="27"/>
      <c r="I129" s="27" t="s">
        <v>47</v>
      </c>
      <c r="J129" s="33">
        <v>1</v>
      </c>
      <c r="K129" s="37">
        <f>16440</f>
        <v>16440</v>
      </c>
      <c r="L129" s="34" t="s">
        <v>48</v>
      </c>
      <c r="M129" s="37">
        <f>17190</f>
        <v>17190</v>
      </c>
      <c r="N129" s="34" t="s">
        <v>49</v>
      </c>
      <c r="O129" s="37">
        <f>16140</f>
        <v>16140</v>
      </c>
      <c r="P129" s="34" t="s">
        <v>48</v>
      </c>
      <c r="Q129" s="37">
        <f>16480</f>
        <v>16480</v>
      </c>
      <c r="R129" s="34" t="s">
        <v>50</v>
      </c>
      <c r="S129" s="36">
        <f>16767.89</f>
        <v>16767.89</v>
      </c>
      <c r="T129" s="33">
        <f>88422</f>
        <v>88422</v>
      </c>
      <c r="U129" s="33">
        <f>3</f>
        <v>3</v>
      </c>
      <c r="V129" s="33">
        <f>1489071783</f>
        <v>1489071783</v>
      </c>
      <c r="W129" s="33">
        <f>50793</f>
        <v>50793</v>
      </c>
      <c r="X129" s="35">
        <f>19</f>
        <v>19</v>
      </c>
    </row>
    <row r="130" spans="1:24">
      <c r="A130" s="29" t="s">
        <v>42</v>
      </c>
      <c r="B130" s="29" t="s">
        <v>432</v>
      </c>
      <c r="C130" s="29" t="s">
        <v>433</v>
      </c>
      <c r="D130" s="29" t="s">
        <v>434</v>
      </c>
      <c r="E130" s="30" t="s">
        <v>46</v>
      </c>
      <c r="F130" s="31" t="s">
        <v>46</v>
      </c>
      <c r="G130" s="32" t="s">
        <v>46</v>
      </c>
      <c r="H130" s="27"/>
      <c r="I130" s="27" t="s">
        <v>47</v>
      </c>
      <c r="J130" s="33">
        <v>1</v>
      </c>
      <c r="K130" s="37">
        <f>1516</f>
        <v>1516</v>
      </c>
      <c r="L130" s="34" t="s">
        <v>48</v>
      </c>
      <c r="M130" s="37">
        <f>1568</f>
        <v>1568</v>
      </c>
      <c r="N130" s="34" t="s">
        <v>49</v>
      </c>
      <c r="O130" s="37">
        <f>1486</f>
        <v>1486</v>
      </c>
      <c r="P130" s="34" t="s">
        <v>48</v>
      </c>
      <c r="Q130" s="37">
        <f>1506</f>
        <v>1506</v>
      </c>
      <c r="R130" s="34" t="s">
        <v>50</v>
      </c>
      <c r="S130" s="36">
        <f>1532.26</f>
        <v>1532.26</v>
      </c>
      <c r="T130" s="33">
        <f>158627</f>
        <v>158627</v>
      </c>
      <c r="U130" s="33" t="str">
        <f>"－"</f>
        <v>－</v>
      </c>
      <c r="V130" s="33">
        <f>242173370</f>
        <v>242173370</v>
      </c>
      <c r="W130" s="33" t="str">
        <f>"－"</f>
        <v>－</v>
      </c>
      <c r="X130" s="35">
        <f>19</f>
        <v>19</v>
      </c>
    </row>
    <row r="131" spans="1:24">
      <c r="A131" s="29" t="s">
        <v>42</v>
      </c>
      <c r="B131" s="29" t="s">
        <v>435</v>
      </c>
      <c r="C131" s="29" t="s">
        <v>436</v>
      </c>
      <c r="D131" s="29" t="s">
        <v>437</v>
      </c>
      <c r="E131" s="30" t="s">
        <v>46</v>
      </c>
      <c r="F131" s="31" t="s">
        <v>46</v>
      </c>
      <c r="G131" s="32" t="s">
        <v>46</v>
      </c>
      <c r="H131" s="27"/>
      <c r="I131" s="27" t="s">
        <v>47</v>
      </c>
      <c r="J131" s="33">
        <v>1</v>
      </c>
      <c r="K131" s="37">
        <f>16940</f>
        <v>16940</v>
      </c>
      <c r="L131" s="34" t="s">
        <v>48</v>
      </c>
      <c r="M131" s="37">
        <f>17520</f>
        <v>17520</v>
      </c>
      <c r="N131" s="34" t="s">
        <v>49</v>
      </c>
      <c r="O131" s="37">
        <f>16590</f>
        <v>16590</v>
      </c>
      <c r="P131" s="34" t="s">
        <v>48</v>
      </c>
      <c r="Q131" s="37">
        <f>16790</f>
        <v>16790</v>
      </c>
      <c r="R131" s="34" t="s">
        <v>50</v>
      </c>
      <c r="S131" s="36">
        <f>17137.37</f>
        <v>17137.37</v>
      </c>
      <c r="T131" s="33">
        <f>35463</f>
        <v>35463</v>
      </c>
      <c r="U131" s="33">
        <f>6706</f>
        <v>6706</v>
      </c>
      <c r="V131" s="33">
        <f>608641600</f>
        <v>608641600</v>
      </c>
      <c r="W131" s="33">
        <f>115611340</f>
        <v>115611340</v>
      </c>
      <c r="X131" s="35">
        <f>19</f>
        <v>19</v>
      </c>
    </row>
    <row r="132" spans="1:24">
      <c r="A132" s="29" t="s">
        <v>42</v>
      </c>
      <c r="B132" s="29" t="s">
        <v>438</v>
      </c>
      <c r="C132" s="29" t="s">
        <v>439</v>
      </c>
      <c r="D132" s="29" t="s">
        <v>440</v>
      </c>
      <c r="E132" s="30" t="s">
        <v>46</v>
      </c>
      <c r="F132" s="31" t="s">
        <v>46</v>
      </c>
      <c r="G132" s="32" t="s">
        <v>46</v>
      </c>
      <c r="H132" s="27"/>
      <c r="I132" s="27" t="s">
        <v>47</v>
      </c>
      <c r="J132" s="33">
        <v>10</v>
      </c>
      <c r="K132" s="37">
        <f>1826</f>
        <v>1826</v>
      </c>
      <c r="L132" s="34" t="s">
        <v>48</v>
      </c>
      <c r="M132" s="37">
        <f>1880</f>
        <v>1880</v>
      </c>
      <c r="N132" s="34" t="s">
        <v>50</v>
      </c>
      <c r="O132" s="37">
        <f>1775</f>
        <v>1775</v>
      </c>
      <c r="P132" s="34" t="s">
        <v>69</v>
      </c>
      <c r="Q132" s="37">
        <f>1871</f>
        <v>1871</v>
      </c>
      <c r="R132" s="34" t="s">
        <v>50</v>
      </c>
      <c r="S132" s="36">
        <f>1814.79</f>
        <v>1814.79</v>
      </c>
      <c r="T132" s="33">
        <f>668000</f>
        <v>668000</v>
      </c>
      <c r="U132" s="33">
        <f>190020</f>
        <v>190020</v>
      </c>
      <c r="V132" s="33">
        <f>1206905920</f>
        <v>1206905920</v>
      </c>
      <c r="W132" s="33">
        <f>342098320</f>
        <v>342098320</v>
      </c>
      <c r="X132" s="35">
        <f>19</f>
        <v>19</v>
      </c>
    </row>
    <row r="133" spans="1:24">
      <c r="A133" s="29" t="s">
        <v>42</v>
      </c>
      <c r="B133" s="29" t="s">
        <v>441</v>
      </c>
      <c r="C133" s="29" t="s">
        <v>442</v>
      </c>
      <c r="D133" s="29" t="s">
        <v>443</v>
      </c>
      <c r="E133" s="30" t="s">
        <v>46</v>
      </c>
      <c r="F133" s="31" t="s">
        <v>46</v>
      </c>
      <c r="G133" s="32" t="s">
        <v>46</v>
      </c>
      <c r="H133" s="27"/>
      <c r="I133" s="27" t="s">
        <v>47</v>
      </c>
      <c r="J133" s="33">
        <v>10</v>
      </c>
      <c r="K133" s="37">
        <f>1654</f>
        <v>1654</v>
      </c>
      <c r="L133" s="34" t="s">
        <v>131</v>
      </c>
      <c r="M133" s="37">
        <f>1662</f>
        <v>1662</v>
      </c>
      <c r="N133" s="34" t="s">
        <v>92</v>
      </c>
      <c r="O133" s="37">
        <f>1620</f>
        <v>1620</v>
      </c>
      <c r="P133" s="34" t="s">
        <v>88</v>
      </c>
      <c r="Q133" s="37">
        <f>1631</f>
        <v>1631</v>
      </c>
      <c r="R133" s="34" t="s">
        <v>50</v>
      </c>
      <c r="S133" s="36">
        <f>1645.88</f>
        <v>1645.88</v>
      </c>
      <c r="T133" s="33">
        <f>140</f>
        <v>140</v>
      </c>
      <c r="U133" s="33" t="str">
        <f>"－"</f>
        <v>－</v>
      </c>
      <c r="V133" s="33">
        <f>230620</f>
        <v>230620</v>
      </c>
      <c r="W133" s="33" t="str">
        <f>"－"</f>
        <v>－</v>
      </c>
      <c r="X133" s="35">
        <f>8</f>
        <v>8</v>
      </c>
    </row>
    <row r="134" spans="1:24">
      <c r="A134" s="29" t="s">
        <v>42</v>
      </c>
      <c r="B134" s="29" t="s">
        <v>444</v>
      </c>
      <c r="C134" s="29" t="s">
        <v>445</v>
      </c>
      <c r="D134" s="29" t="s">
        <v>446</v>
      </c>
      <c r="E134" s="30" t="s">
        <v>46</v>
      </c>
      <c r="F134" s="31" t="s">
        <v>46</v>
      </c>
      <c r="G134" s="32" t="s">
        <v>46</v>
      </c>
      <c r="H134" s="27"/>
      <c r="I134" s="27" t="s">
        <v>47</v>
      </c>
      <c r="J134" s="33">
        <v>10</v>
      </c>
      <c r="K134" s="37">
        <f>1827</f>
        <v>1827</v>
      </c>
      <c r="L134" s="34" t="s">
        <v>48</v>
      </c>
      <c r="M134" s="37">
        <f>1902</f>
        <v>1902</v>
      </c>
      <c r="N134" s="34" t="s">
        <v>50</v>
      </c>
      <c r="O134" s="37">
        <f>1789</f>
        <v>1789</v>
      </c>
      <c r="P134" s="34" t="s">
        <v>48</v>
      </c>
      <c r="Q134" s="37">
        <f>1889</f>
        <v>1889</v>
      </c>
      <c r="R134" s="34" t="s">
        <v>50</v>
      </c>
      <c r="S134" s="36">
        <f>1824.63</f>
        <v>1824.63</v>
      </c>
      <c r="T134" s="33">
        <f>333030</f>
        <v>333030</v>
      </c>
      <c r="U134" s="33">
        <f>50</f>
        <v>50</v>
      </c>
      <c r="V134" s="33">
        <f>613864080</f>
        <v>613864080</v>
      </c>
      <c r="W134" s="33">
        <f>90400</f>
        <v>90400</v>
      </c>
      <c r="X134" s="35">
        <f>19</f>
        <v>19</v>
      </c>
    </row>
    <row r="135" spans="1:24">
      <c r="A135" s="29" t="s">
        <v>42</v>
      </c>
      <c r="B135" s="29" t="s">
        <v>447</v>
      </c>
      <c r="C135" s="29" t="s">
        <v>448</v>
      </c>
      <c r="D135" s="29" t="s">
        <v>449</v>
      </c>
      <c r="E135" s="30" t="s">
        <v>46</v>
      </c>
      <c r="F135" s="31" t="s">
        <v>46</v>
      </c>
      <c r="G135" s="32" t="s">
        <v>46</v>
      </c>
      <c r="H135" s="27"/>
      <c r="I135" s="27" t="s">
        <v>47</v>
      </c>
      <c r="J135" s="33">
        <v>1</v>
      </c>
      <c r="K135" s="37">
        <f>17350</f>
        <v>17350</v>
      </c>
      <c r="L135" s="34" t="s">
        <v>77</v>
      </c>
      <c r="M135" s="37">
        <f>18270</f>
        <v>18270</v>
      </c>
      <c r="N135" s="34" t="s">
        <v>268</v>
      </c>
      <c r="O135" s="37">
        <f>17350</f>
        <v>17350</v>
      </c>
      <c r="P135" s="34" t="s">
        <v>77</v>
      </c>
      <c r="Q135" s="37">
        <f>18270</f>
        <v>18270</v>
      </c>
      <c r="R135" s="34" t="s">
        <v>268</v>
      </c>
      <c r="S135" s="36">
        <f>17942.5</f>
        <v>17942.5</v>
      </c>
      <c r="T135" s="33">
        <f>19</f>
        <v>19</v>
      </c>
      <c r="U135" s="33" t="str">
        <f>"－"</f>
        <v>－</v>
      </c>
      <c r="V135" s="33">
        <f>343140</f>
        <v>343140</v>
      </c>
      <c r="W135" s="33" t="str">
        <f>"－"</f>
        <v>－</v>
      </c>
      <c r="X135" s="35">
        <f>4</f>
        <v>4</v>
      </c>
    </row>
    <row r="136" spans="1:24">
      <c r="A136" s="29" t="s">
        <v>42</v>
      </c>
      <c r="B136" s="29" t="s">
        <v>450</v>
      </c>
      <c r="C136" s="29" t="s">
        <v>451</v>
      </c>
      <c r="D136" s="29" t="s">
        <v>452</v>
      </c>
      <c r="E136" s="30" t="s">
        <v>46</v>
      </c>
      <c r="F136" s="31" t="s">
        <v>46</v>
      </c>
      <c r="G136" s="32" t="s">
        <v>46</v>
      </c>
      <c r="H136" s="27"/>
      <c r="I136" s="27" t="s">
        <v>47</v>
      </c>
      <c r="J136" s="33">
        <v>1</v>
      </c>
      <c r="K136" s="37">
        <f>16720</f>
        <v>16720</v>
      </c>
      <c r="L136" s="34" t="s">
        <v>48</v>
      </c>
      <c r="M136" s="37">
        <f>17300</f>
        <v>17300</v>
      </c>
      <c r="N136" s="34" t="s">
        <v>49</v>
      </c>
      <c r="O136" s="37">
        <f>16430</f>
        <v>16430</v>
      </c>
      <c r="P136" s="34" t="s">
        <v>48</v>
      </c>
      <c r="Q136" s="37">
        <f>16690</f>
        <v>16690</v>
      </c>
      <c r="R136" s="34" t="s">
        <v>50</v>
      </c>
      <c r="S136" s="36">
        <f>16945.79</f>
        <v>16945.79</v>
      </c>
      <c r="T136" s="33">
        <f>8350</f>
        <v>8350</v>
      </c>
      <c r="U136" s="33" t="str">
        <f>"－"</f>
        <v>－</v>
      </c>
      <c r="V136" s="33">
        <f>142129110</f>
        <v>142129110</v>
      </c>
      <c r="W136" s="33" t="str">
        <f>"－"</f>
        <v>－</v>
      </c>
      <c r="X136" s="35">
        <f>19</f>
        <v>19</v>
      </c>
    </row>
    <row r="137" spans="1:24">
      <c r="A137" s="29" t="s">
        <v>42</v>
      </c>
      <c r="B137" s="29" t="s">
        <v>453</v>
      </c>
      <c r="C137" s="29" t="s">
        <v>454</v>
      </c>
      <c r="D137" s="29" t="s">
        <v>455</v>
      </c>
      <c r="E137" s="30" t="s">
        <v>46</v>
      </c>
      <c r="F137" s="31" t="s">
        <v>46</v>
      </c>
      <c r="G137" s="32" t="s">
        <v>46</v>
      </c>
      <c r="H137" s="27"/>
      <c r="I137" s="27" t="s">
        <v>47</v>
      </c>
      <c r="J137" s="33">
        <v>100</v>
      </c>
      <c r="K137" s="37">
        <f>123</f>
        <v>123</v>
      </c>
      <c r="L137" s="34" t="s">
        <v>48</v>
      </c>
      <c r="M137" s="37">
        <f>136</f>
        <v>136</v>
      </c>
      <c r="N137" s="34" t="s">
        <v>49</v>
      </c>
      <c r="O137" s="37">
        <f>121</f>
        <v>121</v>
      </c>
      <c r="P137" s="34" t="s">
        <v>48</v>
      </c>
      <c r="Q137" s="37">
        <f>125</f>
        <v>125</v>
      </c>
      <c r="R137" s="34" t="s">
        <v>50</v>
      </c>
      <c r="S137" s="36">
        <f>129.16</f>
        <v>129.16</v>
      </c>
      <c r="T137" s="33">
        <f>74984200</f>
        <v>74984200</v>
      </c>
      <c r="U137" s="33">
        <f>5500</f>
        <v>5500</v>
      </c>
      <c r="V137" s="33">
        <f>9785032400</f>
        <v>9785032400</v>
      </c>
      <c r="W137" s="33">
        <f>727700</f>
        <v>727700</v>
      </c>
      <c r="X137" s="35">
        <f>19</f>
        <v>19</v>
      </c>
    </row>
    <row r="138" spans="1:24">
      <c r="A138" s="29" t="s">
        <v>42</v>
      </c>
      <c r="B138" s="29" t="s">
        <v>456</v>
      </c>
      <c r="C138" s="29" t="s">
        <v>457</v>
      </c>
      <c r="D138" s="29" t="s">
        <v>458</v>
      </c>
      <c r="E138" s="30" t="s">
        <v>46</v>
      </c>
      <c r="F138" s="31" t="s">
        <v>46</v>
      </c>
      <c r="G138" s="32" t="s">
        <v>46</v>
      </c>
      <c r="H138" s="27"/>
      <c r="I138" s="27" t="s">
        <v>47</v>
      </c>
      <c r="J138" s="33">
        <v>1</v>
      </c>
      <c r="K138" s="37">
        <f>26830</f>
        <v>26830</v>
      </c>
      <c r="L138" s="34" t="s">
        <v>48</v>
      </c>
      <c r="M138" s="37">
        <f>27890</f>
        <v>27890</v>
      </c>
      <c r="N138" s="34" t="s">
        <v>49</v>
      </c>
      <c r="O138" s="37">
        <f>26650</f>
        <v>26650</v>
      </c>
      <c r="P138" s="34" t="s">
        <v>77</v>
      </c>
      <c r="Q138" s="37">
        <f>27290</f>
        <v>27290</v>
      </c>
      <c r="R138" s="34" t="s">
        <v>50</v>
      </c>
      <c r="S138" s="36">
        <f>27304.12</f>
        <v>27304.12</v>
      </c>
      <c r="T138" s="33">
        <f>661</f>
        <v>661</v>
      </c>
      <c r="U138" s="33" t="str">
        <f>"－"</f>
        <v>－</v>
      </c>
      <c r="V138" s="33">
        <f>17971840</f>
        <v>17971840</v>
      </c>
      <c r="W138" s="33" t="str">
        <f>"－"</f>
        <v>－</v>
      </c>
      <c r="X138" s="35">
        <f>17</f>
        <v>17</v>
      </c>
    </row>
    <row r="139" spans="1:24">
      <c r="A139" s="29" t="s">
        <v>42</v>
      </c>
      <c r="B139" s="29" t="s">
        <v>459</v>
      </c>
      <c r="C139" s="29" t="s">
        <v>460</v>
      </c>
      <c r="D139" s="29" t="s">
        <v>461</v>
      </c>
      <c r="E139" s="30" t="s">
        <v>46</v>
      </c>
      <c r="F139" s="31" t="s">
        <v>46</v>
      </c>
      <c r="G139" s="32" t="s">
        <v>46</v>
      </c>
      <c r="H139" s="27"/>
      <c r="I139" s="27" t="s">
        <v>47</v>
      </c>
      <c r="J139" s="33">
        <v>1</v>
      </c>
      <c r="K139" s="37">
        <f>7890</f>
        <v>7890</v>
      </c>
      <c r="L139" s="34" t="s">
        <v>48</v>
      </c>
      <c r="M139" s="37">
        <f>9080</f>
        <v>9080</v>
      </c>
      <c r="N139" s="34" t="s">
        <v>69</v>
      </c>
      <c r="O139" s="37">
        <f>7670</f>
        <v>7670</v>
      </c>
      <c r="P139" s="34" t="s">
        <v>48</v>
      </c>
      <c r="Q139" s="37">
        <f>8710</f>
        <v>8710</v>
      </c>
      <c r="R139" s="34" t="s">
        <v>50</v>
      </c>
      <c r="S139" s="36">
        <f>8630</f>
        <v>8630</v>
      </c>
      <c r="T139" s="33">
        <f>24189</f>
        <v>24189</v>
      </c>
      <c r="U139" s="33" t="str">
        <f>"－"</f>
        <v>－</v>
      </c>
      <c r="V139" s="33">
        <f>208125570</f>
        <v>208125570</v>
      </c>
      <c r="W139" s="33" t="str">
        <f>"－"</f>
        <v>－</v>
      </c>
      <c r="X139" s="35">
        <f>19</f>
        <v>19</v>
      </c>
    </row>
    <row r="140" spans="1:24">
      <c r="A140" s="29" t="s">
        <v>42</v>
      </c>
      <c r="B140" s="29" t="s">
        <v>462</v>
      </c>
      <c r="C140" s="29" t="s">
        <v>463</v>
      </c>
      <c r="D140" s="29" t="s">
        <v>464</v>
      </c>
      <c r="E140" s="30" t="s">
        <v>46</v>
      </c>
      <c r="F140" s="31" t="s">
        <v>46</v>
      </c>
      <c r="G140" s="32" t="s">
        <v>46</v>
      </c>
      <c r="H140" s="27"/>
      <c r="I140" s="27" t="s">
        <v>47</v>
      </c>
      <c r="J140" s="33">
        <v>1</v>
      </c>
      <c r="K140" s="37">
        <f>20000</f>
        <v>20000</v>
      </c>
      <c r="L140" s="34" t="s">
        <v>48</v>
      </c>
      <c r="M140" s="37">
        <f>20850</f>
        <v>20850</v>
      </c>
      <c r="N140" s="34" t="s">
        <v>49</v>
      </c>
      <c r="O140" s="37">
        <f>19770</f>
        <v>19770</v>
      </c>
      <c r="P140" s="34" t="s">
        <v>84</v>
      </c>
      <c r="Q140" s="37">
        <f>20350</f>
        <v>20350</v>
      </c>
      <c r="R140" s="34" t="s">
        <v>88</v>
      </c>
      <c r="S140" s="36">
        <f>20402.22</f>
        <v>20402.22</v>
      </c>
      <c r="T140" s="33">
        <f>798</f>
        <v>798</v>
      </c>
      <c r="U140" s="33" t="str">
        <f>"－"</f>
        <v>－</v>
      </c>
      <c r="V140" s="33">
        <f>16211090</f>
        <v>16211090</v>
      </c>
      <c r="W140" s="33" t="str">
        <f>"－"</f>
        <v>－</v>
      </c>
      <c r="X140" s="35">
        <f>18</f>
        <v>18</v>
      </c>
    </row>
    <row r="141" spans="1:24">
      <c r="A141" s="29" t="s">
        <v>42</v>
      </c>
      <c r="B141" s="29" t="s">
        <v>465</v>
      </c>
      <c r="C141" s="29" t="s">
        <v>466</v>
      </c>
      <c r="D141" s="29" t="s">
        <v>467</v>
      </c>
      <c r="E141" s="30" t="s">
        <v>46</v>
      </c>
      <c r="F141" s="31" t="s">
        <v>46</v>
      </c>
      <c r="G141" s="32" t="s">
        <v>46</v>
      </c>
      <c r="H141" s="27"/>
      <c r="I141" s="27" t="s">
        <v>47</v>
      </c>
      <c r="J141" s="33">
        <v>1</v>
      </c>
      <c r="K141" s="37">
        <f>26610</f>
        <v>26610</v>
      </c>
      <c r="L141" s="34" t="s">
        <v>48</v>
      </c>
      <c r="M141" s="37">
        <f>27500</f>
        <v>27500</v>
      </c>
      <c r="N141" s="34" t="s">
        <v>69</v>
      </c>
      <c r="O141" s="37">
        <f>26130</f>
        <v>26130</v>
      </c>
      <c r="P141" s="34" t="s">
        <v>77</v>
      </c>
      <c r="Q141" s="37">
        <f>26770</f>
        <v>26770</v>
      </c>
      <c r="R141" s="34" t="s">
        <v>50</v>
      </c>
      <c r="S141" s="36">
        <f>26897.37</f>
        <v>26897.37</v>
      </c>
      <c r="T141" s="33">
        <f>2089</f>
        <v>2089</v>
      </c>
      <c r="U141" s="33" t="str">
        <f>"－"</f>
        <v>－</v>
      </c>
      <c r="V141" s="33">
        <f>56000330</f>
        <v>56000330</v>
      </c>
      <c r="W141" s="33" t="str">
        <f>"－"</f>
        <v>－</v>
      </c>
      <c r="X141" s="35">
        <f>19</f>
        <v>19</v>
      </c>
    </row>
    <row r="142" spans="1:24">
      <c r="A142" s="29" t="s">
        <v>42</v>
      </c>
      <c r="B142" s="29" t="s">
        <v>468</v>
      </c>
      <c r="C142" s="29" t="s">
        <v>469</v>
      </c>
      <c r="D142" s="29" t="s">
        <v>470</v>
      </c>
      <c r="E142" s="30" t="s">
        <v>46</v>
      </c>
      <c r="F142" s="31" t="s">
        <v>46</v>
      </c>
      <c r="G142" s="32" t="s">
        <v>46</v>
      </c>
      <c r="H142" s="27"/>
      <c r="I142" s="27" t="s">
        <v>47</v>
      </c>
      <c r="J142" s="33">
        <v>1</v>
      </c>
      <c r="K142" s="37">
        <f>24890</f>
        <v>24890</v>
      </c>
      <c r="L142" s="34" t="s">
        <v>48</v>
      </c>
      <c r="M142" s="37">
        <f>26000</f>
        <v>26000</v>
      </c>
      <c r="N142" s="34" t="s">
        <v>131</v>
      </c>
      <c r="O142" s="37">
        <f>24390</f>
        <v>24390</v>
      </c>
      <c r="P142" s="34" t="s">
        <v>77</v>
      </c>
      <c r="Q142" s="37">
        <f>25050</f>
        <v>25050</v>
      </c>
      <c r="R142" s="34" t="s">
        <v>50</v>
      </c>
      <c r="S142" s="36">
        <f>25188.42</f>
        <v>25188.42</v>
      </c>
      <c r="T142" s="33">
        <f>2966</f>
        <v>2966</v>
      </c>
      <c r="U142" s="33">
        <f>1</f>
        <v>1</v>
      </c>
      <c r="V142" s="33">
        <f>74837120</f>
        <v>74837120</v>
      </c>
      <c r="W142" s="33">
        <f>25420</f>
        <v>25420</v>
      </c>
      <c r="X142" s="35">
        <f>19</f>
        <v>19</v>
      </c>
    </row>
    <row r="143" spans="1:24">
      <c r="A143" s="29" t="s">
        <v>42</v>
      </c>
      <c r="B143" s="29" t="s">
        <v>471</v>
      </c>
      <c r="C143" s="29" t="s">
        <v>472</v>
      </c>
      <c r="D143" s="29" t="s">
        <v>473</v>
      </c>
      <c r="E143" s="30" t="s">
        <v>46</v>
      </c>
      <c r="F143" s="31" t="s">
        <v>46</v>
      </c>
      <c r="G143" s="32" t="s">
        <v>46</v>
      </c>
      <c r="H143" s="27"/>
      <c r="I143" s="27" t="s">
        <v>47</v>
      </c>
      <c r="J143" s="33">
        <v>1</v>
      </c>
      <c r="K143" s="37">
        <f>20190</f>
        <v>20190</v>
      </c>
      <c r="L143" s="34" t="s">
        <v>48</v>
      </c>
      <c r="M143" s="37">
        <f>20190</f>
        <v>20190</v>
      </c>
      <c r="N143" s="34" t="s">
        <v>48</v>
      </c>
      <c r="O143" s="37">
        <f>19040</f>
        <v>19040</v>
      </c>
      <c r="P143" s="34" t="s">
        <v>50</v>
      </c>
      <c r="Q143" s="37">
        <f>19040</f>
        <v>19040</v>
      </c>
      <c r="R143" s="34" t="s">
        <v>50</v>
      </c>
      <c r="S143" s="36">
        <f>19710.53</f>
        <v>19710.53</v>
      </c>
      <c r="T143" s="33">
        <f>2473</f>
        <v>2473</v>
      </c>
      <c r="U143" s="33" t="str">
        <f t="shared" ref="U143:U151" si="5">"－"</f>
        <v>－</v>
      </c>
      <c r="V143" s="33">
        <f>48701050</f>
        <v>48701050</v>
      </c>
      <c r="W143" s="33" t="str">
        <f t="shared" ref="W143:W151" si="6">"－"</f>
        <v>－</v>
      </c>
      <c r="X143" s="35">
        <f>19</f>
        <v>19</v>
      </c>
    </row>
    <row r="144" spans="1:24">
      <c r="A144" s="29" t="s">
        <v>42</v>
      </c>
      <c r="B144" s="29" t="s">
        <v>474</v>
      </c>
      <c r="C144" s="29" t="s">
        <v>475</v>
      </c>
      <c r="D144" s="29" t="s">
        <v>476</v>
      </c>
      <c r="E144" s="30" t="s">
        <v>46</v>
      </c>
      <c r="F144" s="31" t="s">
        <v>46</v>
      </c>
      <c r="G144" s="32" t="s">
        <v>46</v>
      </c>
      <c r="H144" s="27"/>
      <c r="I144" s="27" t="s">
        <v>47</v>
      </c>
      <c r="J144" s="33">
        <v>1</v>
      </c>
      <c r="K144" s="37">
        <f>13180</f>
        <v>13180</v>
      </c>
      <c r="L144" s="34" t="s">
        <v>48</v>
      </c>
      <c r="M144" s="37">
        <f>14320</f>
        <v>14320</v>
      </c>
      <c r="N144" s="34" t="s">
        <v>92</v>
      </c>
      <c r="O144" s="37">
        <f>12840</f>
        <v>12840</v>
      </c>
      <c r="P144" s="34" t="s">
        <v>48</v>
      </c>
      <c r="Q144" s="37">
        <f>12860</f>
        <v>12860</v>
      </c>
      <c r="R144" s="34" t="s">
        <v>50</v>
      </c>
      <c r="S144" s="36">
        <f>13620</f>
        <v>13620</v>
      </c>
      <c r="T144" s="33">
        <f>7465</f>
        <v>7465</v>
      </c>
      <c r="U144" s="33" t="str">
        <f t="shared" si="5"/>
        <v>－</v>
      </c>
      <c r="V144" s="33">
        <f>101895970</f>
        <v>101895970</v>
      </c>
      <c r="W144" s="33" t="str">
        <f t="shared" si="6"/>
        <v>－</v>
      </c>
      <c r="X144" s="35">
        <f>19</f>
        <v>19</v>
      </c>
    </row>
    <row r="145" spans="1:24">
      <c r="A145" s="29" t="s">
        <v>42</v>
      </c>
      <c r="B145" s="29" t="s">
        <v>477</v>
      </c>
      <c r="C145" s="29" t="s">
        <v>478</v>
      </c>
      <c r="D145" s="29" t="s">
        <v>479</v>
      </c>
      <c r="E145" s="30" t="s">
        <v>46</v>
      </c>
      <c r="F145" s="31" t="s">
        <v>46</v>
      </c>
      <c r="G145" s="32" t="s">
        <v>46</v>
      </c>
      <c r="H145" s="27"/>
      <c r="I145" s="27" t="s">
        <v>47</v>
      </c>
      <c r="J145" s="33">
        <v>1</v>
      </c>
      <c r="K145" s="37">
        <f>38650</f>
        <v>38650</v>
      </c>
      <c r="L145" s="34" t="s">
        <v>48</v>
      </c>
      <c r="M145" s="37">
        <f>41300</f>
        <v>41300</v>
      </c>
      <c r="N145" s="34" t="s">
        <v>49</v>
      </c>
      <c r="O145" s="37">
        <f>38200</f>
        <v>38200</v>
      </c>
      <c r="P145" s="34" t="s">
        <v>48</v>
      </c>
      <c r="Q145" s="37">
        <f>38850</f>
        <v>38850</v>
      </c>
      <c r="R145" s="34" t="s">
        <v>50</v>
      </c>
      <c r="S145" s="36">
        <f>39982.35</f>
        <v>39982.35</v>
      </c>
      <c r="T145" s="33">
        <f>607</f>
        <v>607</v>
      </c>
      <c r="U145" s="33" t="str">
        <f t="shared" si="5"/>
        <v>－</v>
      </c>
      <c r="V145" s="33">
        <f>24388300</f>
        <v>24388300</v>
      </c>
      <c r="W145" s="33" t="str">
        <f t="shared" si="6"/>
        <v>－</v>
      </c>
      <c r="X145" s="35">
        <f>17</f>
        <v>17</v>
      </c>
    </row>
    <row r="146" spans="1:24">
      <c r="A146" s="29" t="s">
        <v>42</v>
      </c>
      <c r="B146" s="29" t="s">
        <v>480</v>
      </c>
      <c r="C146" s="29" t="s">
        <v>481</v>
      </c>
      <c r="D146" s="29" t="s">
        <v>482</v>
      </c>
      <c r="E146" s="30" t="s">
        <v>46</v>
      </c>
      <c r="F146" s="31" t="s">
        <v>46</v>
      </c>
      <c r="G146" s="32" t="s">
        <v>46</v>
      </c>
      <c r="H146" s="27"/>
      <c r="I146" s="27" t="s">
        <v>47</v>
      </c>
      <c r="J146" s="33">
        <v>1</v>
      </c>
      <c r="K146" s="37">
        <f>26820</f>
        <v>26820</v>
      </c>
      <c r="L146" s="34" t="s">
        <v>48</v>
      </c>
      <c r="M146" s="37">
        <f>28350</f>
        <v>28350</v>
      </c>
      <c r="N146" s="34" t="s">
        <v>176</v>
      </c>
      <c r="O146" s="37">
        <f>25800</f>
        <v>25800</v>
      </c>
      <c r="P146" s="34" t="s">
        <v>48</v>
      </c>
      <c r="Q146" s="37">
        <f>26840</f>
        <v>26840</v>
      </c>
      <c r="R146" s="34" t="s">
        <v>50</v>
      </c>
      <c r="S146" s="36">
        <f>27286.84</f>
        <v>27286.84</v>
      </c>
      <c r="T146" s="33">
        <f>5908</f>
        <v>5908</v>
      </c>
      <c r="U146" s="33" t="str">
        <f t="shared" si="5"/>
        <v>－</v>
      </c>
      <c r="V146" s="33">
        <f>162498190</f>
        <v>162498190</v>
      </c>
      <c r="W146" s="33" t="str">
        <f t="shared" si="6"/>
        <v>－</v>
      </c>
      <c r="X146" s="35">
        <f>19</f>
        <v>19</v>
      </c>
    </row>
    <row r="147" spans="1:24">
      <c r="A147" s="29" t="s">
        <v>42</v>
      </c>
      <c r="B147" s="29" t="s">
        <v>483</v>
      </c>
      <c r="C147" s="29" t="s">
        <v>484</v>
      </c>
      <c r="D147" s="29" t="s">
        <v>485</v>
      </c>
      <c r="E147" s="30" t="s">
        <v>46</v>
      </c>
      <c r="F147" s="31" t="s">
        <v>46</v>
      </c>
      <c r="G147" s="32" t="s">
        <v>46</v>
      </c>
      <c r="H147" s="27"/>
      <c r="I147" s="27" t="s">
        <v>47</v>
      </c>
      <c r="J147" s="33">
        <v>1</v>
      </c>
      <c r="K147" s="37">
        <f>29000</f>
        <v>29000</v>
      </c>
      <c r="L147" s="34" t="s">
        <v>48</v>
      </c>
      <c r="M147" s="37">
        <f>29940</f>
        <v>29940</v>
      </c>
      <c r="N147" s="34" t="s">
        <v>371</v>
      </c>
      <c r="O147" s="37">
        <f>28400</f>
        <v>28400</v>
      </c>
      <c r="P147" s="34" t="s">
        <v>48</v>
      </c>
      <c r="Q147" s="37">
        <f>28430</f>
        <v>28430</v>
      </c>
      <c r="R147" s="34" t="s">
        <v>50</v>
      </c>
      <c r="S147" s="36">
        <f>29164.21</f>
        <v>29164.21</v>
      </c>
      <c r="T147" s="33">
        <f>4896</f>
        <v>4896</v>
      </c>
      <c r="U147" s="33" t="str">
        <f t="shared" si="5"/>
        <v>－</v>
      </c>
      <c r="V147" s="33">
        <f>143167860</f>
        <v>143167860</v>
      </c>
      <c r="W147" s="33" t="str">
        <f t="shared" si="6"/>
        <v>－</v>
      </c>
      <c r="X147" s="35">
        <f>19</f>
        <v>19</v>
      </c>
    </row>
    <row r="148" spans="1:24">
      <c r="A148" s="29" t="s">
        <v>42</v>
      </c>
      <c r="B148" s="29" t="s">
        <v>486</v>
      </c>
      <c r="C148" s="29" t="s">
        <v>487</v>
      </c>
      <c r="D148" s="29" t="s">
        <v>488</v>
      </c>
      <c r="E148" s="30" t="s">
        <v>46</v>
      </c>
      <c r="F148" s="31" t="s">
        <v>46</v>
      </c>
      <c r="G148" s="32" t="s">
        <v>46</v>
      </c>
      <c r="H148" s="27"/>
      <c r="I148" s="27" t="s">
        <v>47</v>
      </c>
      <c r="J148" s="33">
        <v>1</v>
      </c>
      <c r="K148" s="37">
        <f>6110</f>
        <v>6110</v>
      </c>
      <c r="L148" s="34" t="s">
        <v>48</v>
      </c>
      <c r="M148" s="37">
        <f>6650</f>
        <v>6650</v>
      </c>
      <c r="N148" s="34" t="s">
        <v>73</v>
      </c>
      <c r="O148" s="37">
        <f>6040</f>
        <v>6040</v>
      </c>
      <c r="P148" s="34" t="s">
        <v>48</v>
      </c>
      <c r="Q148" s="37">
        <f>6280</f>
        <v>6280</v>
      </c>
      <c r="R148" s="34" t="s">
        <v>50</v>
      </c>
      <c r="S148" s="36">
        <f>6336.84</f>
        <v>6336.84</v>
      </c>
      <c r="T148" s="33">
        <f>16405</f>
        <v>16405</v>
      </c>
      <c r="U148" s="33" t="str">
        <f t="shared" si="5"/>
        <v>－</v>
      </c>
      <c r="V148" s="33">
        <f>104352970</f>
        <v>104352970</v>
      </c>
      <c r="W148" s="33" t="str">
        <f t="shared" si="6"/>
        <v>－</v>
      </c>
      <c r="X148" s="35">
        <f>19</f>
        <v>19</v>
      </c>
    </row>
    <row r="149" spans="1:24">
      <c r="A149" s="29" t="s">
        <v>42</v>
      </c>
      <c r="B149" s="29" t="s">
        <v>489</v>
      </c>
      <c r="C149" s="29" t="s">
        <v>490</v>
      </c>
      <c r="D149" s="29" t="s">
        <v>491</v>
      </c>
      <c r="E149" s="30" t="s">
        <v>46</v>
      </c>
      <c r="F149" s="31" t="s">
        <v>46</v>
      </c>
      <c r="G149" s="32" t="s">
        <v>46</v>
      </c>
      <c r="H149" s="27"/>
      <c r="I149" s="27" t="s">
        <v>47</v>
      </c>
      <c r="J149" s="33">
        <v>1</v>
      </c>
      <c r="K149" s="37">
        <f>14110</f>
        <v>14110</v>
      </c>
      <c r="L149" s="34" t="s">
        <v>48</v>
      </c>
      <c r="M149" s="37">
        <f>14500</f>
        <v>14500</v>
      </c>
      <c r="N149" s="34" t="s">
        <v>100</v>
      </c>
      <c r="O149" s="37">
        <f>13570</f>
        <v>13570</v>
      </c>
      <c r="P149" s="34" t="s">
        <v>88</v>
      </c>
      <c r="Q149" s="37">
        <f>13780</f>
        <v>13780</v>
      </c>
      <c r="R149" s="34" t="s">
        <v>50</v>
      </c>
      <c r="S149" s="36">
        <f>13998.42</f>
        <v>13998.42</v>
      </c>
      <c r="T149" s="33">
        <f>19034</f>
        <v>19034</v>
      </c>
      <c r="U149" s="33" t="str">
        <f t="shared" si="5"/>
        <v>－</v>
      </c>
      <c r="V149" s="33">
        <f>265678410</f>
        <v>265678410</v>
      </c>
      <c r="W149" s="33" t="str">
        <f t="shared" si="6"/>
        <v>－</v>
      </c>
      <c r="X149" s="35">
        <f>19</f>
        <v>19</v>
      </c>
    </row>
    <row r="150" spans="1:24">
      <c r="A150" s="29" t="s">
        <v>42</v>
      </c>
      <c r="B150" s="29" t="s">
        <v>492</v>
      </c>
      <c r="C150" s="29" t="s">
        <v>493</v>
      </c>
      <c r="D150" s="29" t="s">
        <v>494</v>
      </c>
      <c r="E150" s="30" t="s">
        <v>46</v>
      </c>
      <c r="F150" s="31" t="s">
        <v>46</v>
      </c>
      <c r="G150" s="32" t="s">
        <v>46</v>
      </c>
      <c r="H150" s="27"/>
      <c r="I150" s="27" t="s">
        <v>47</v>
      </c>
      <c r="J150" s="33">
        <v>1</v>
      </c>
      <c r="K150" s="37">
        <f>34300</f>
        <v>34300</v>
      </c>
      <c r="L150" s="34" t="s">
        <v>48</v>
      </c>
      <c r="M150" s="37">
        <f>36700</f>
        <v>36700</v>
      </c>
      <c r="N150" s="34" t="s">
        <v>92</v>
      </c>
      <c r="O150" s="37">
        <f>33550</f>
        <v>33550</v>
      </c>
      <c r="P150" s="34" t="s">
        <v>48</v>
      </c>
      <c r="Q150" s="37">
        <f>34800</f>
        <v>34800</v>
      </c>
      <c r="R150" s="34" t="s">
        <v>50</v>
      </c>
      <c r="S150" s="36">
        <f>35152.63</f>
        <v>35152.629999999997</v>
      </c>
      <c r="T150" s="33">
        <f>3335</f>
        <v>3335</v>
      </c>
      <c r="U150" s="33" t="str">
        <f t="shared" si="5"/>
        <v>－</v>
      </c>
      <c r="V150" s="33">
        <f>117366500</f>
        <v>117366500</v>
      </c>
      <c r="W150" s="33" t="str">
        <f t="shared" si="6"/>
        <v>－</v>
      </c>
      <c r="X150" s="35">
        <f>19</f>
        <v>19</v>
      </c>
    </row>
    <row r="151" spans="1:24">
      <c r="A151" s="29" t="s">
        <v>42</v>
      </c>
      <c r="B151" s="29" t="s">
        <v>495</v>
      </c>
      <c r="C151" s="29" t="s">
        <v>496</v>
      </c>
      <c r="D151" s="29" t="s">
        <v>497</v>
      </c>
      <c r="E151" s="30" t="s">
        <v>46</v>
      </c>
      <c r="F151" s="31" t="s">
        <v>46</v>
      </c>
      <c r="G151" s="32" t="s">
        <v>46</v>
      </c>
      <c r="H151" s="27"/>
      <c r="I151" s="27" t="s">
        <v>47</v>
      </c>
      <c r="J151" s="33">
        <v>1</v>
      </c>
      <c r="K151" s="37">
        <f>22660</f>
        <v>22660</v>
      </c>
      <c r="L151" s="34" t="s">
        <v>48</v>
      </c>
      <c r="M151" s="37">
        <f>22940</f>
        <v>22940</v>
      </c>
      <c r="N151" s="34" t="s">
        <v>240</v>
      </c>
      <c r="O151" s="37">
        <f>22200</f>
        <v>22200</v>
      </c>
      <c r="P151" s="34" t="s">
        <v>77</v>
      </c>
      <c r="Q151" s="37">
        <f>22800</f>
        <v>22800</v>
      </c>
      <c r="R151" s="34" t="s">
        <v>240</v>
      </c>
      <c r="S151" s="36">
        <f>22586.67</f>
        <v>22586.67</v>
      </c>
      <c r="T151" s="33">
        <f>132</f>
        <v>132</v>
      </c>
      <c r="U151" s="33" t="str">
        <f t="shared" si="5"/>
        <v>－</v>
      </c>
      <c r="V151" s="33">
        <f>2992970</f>
        <v>2992970</v>
      </c>
      <c r="W151" s="33" t="str">
        <f t="shared" si="6"/>
        <v>－</v>
      </c>
      <c r="X151" s="35">
        <f>12</f>
        <v>12</v>
      </c>
    </row>
    <row r="152" spans="1:24">
      <c r="A152" s="29" t="s">
        <v>42</v>
      </c>
      <c r="B152" s="29" t="s">
        <v>498</v>
      </c>
      <c r="C152" s="29" t="s">
        <v>499</v>
      </c>
      <c r="D152" s="29" t="s">
        <v>500</v>
      </c>
      <c r="E152" s="30" t="s">
        <v>46</v>
      </c>
      <c r="F152" s="31" t="s">
        <v>46</v>
      </c>
      <c r="G152" s="32" t="s">
        <v>46</v>
      </c>
      <c r="H152" s="27"/>
      <c r="I152" s="27" t="s">
        <v>47</v>
      </c>
      <c r="J152" s="33">
        <v>1</v>
      </c>
      <c r="K152" s="37">
        <f>6430</f>
        <v>6430</v>
      </c>
      <c r="L152" s="34" t="s">
        <v>48</v>
      </c>
      <c r="M152" s="37">
        <f>7050</f>
        <v>7050</v>
      </c>
      <c r="N152" s="34" t="s">
        <v>69</v>
      </c>
      <c r="O152" s="37">
        <f>6310</f>
        <v>6310</v>
      </c>
      <c r="P152" s="34" t="s">
        <v>48</v>
      </c>
      <c r="Q152" s="37">
        <f>6540</f>
        <v>6540</v>
      </c>
      <c r="R152" s="34" t="s">
        <v>50</v>
      </c>
      <c r="S152" s="36">
        <f>6695.79</f>
        <v>6695.79</v>
      </c>
      <c r="T152" s="33">
        <f>37762</f>
        <v>37762</v>
      </c>
      <c r="U152" s="33">
        <f>1</f>
        <v>1</v>
      </c>
      <c r="V152" s="33">
        <f>253861130</f>
        <v>253861130</v>
      </c>
      <c r="W152" s="33">
        <f>6900</f>
        <v>6900</v>
      </c>
      <c r="X152" s="35">
        <f>19</f>
        <v>19</v>
      </c>
    </row>
    <row r="153" spans="1:24">
      <c r="A153" s="29" t="s">
        <v>42</v>
      </c>
      <c r="B153" s="29" t="s">
        <v>501</v>
      </c>
      <c r="C153" s="29" t="s">
        <v>502</v>
      </c>
      <c r="D153" s="29" t="s">
        <v>503</v>
      </c>
      <c r="E153" s="30" t="s">
        <v>46</v>
      </c>
      <c r="F153" s="31" t="s">
        <v>46</v>
      </c>
      <c r="G153" s="32" t="s">
        <v>46</v>
      </c>
      <c r="H153" s="27"/>
      <c r="I153" s="27" t="s">
        <v>47</v>
      </c>
      <c r="J153" s="33">
        <v>1</v>
      </c>
      <c r="K153" s="37">
        <f>11720</f>
        <v>11720</v>
      </c>
      <c r="L153" s="34" t="s">
        <v>48</v>
      </c>
      <c r="M153" s="37">
        <f>12820</f>
        <v>12820</v>
      </c>
      <c r="N153" s="34" t="s">
        <v>49</v>
      </c>
      <c r="O153" s="37">
        <f>11640</f>
        <v>11640</v>
      </c>
      <c r="P153" s="34" t="s">
        <v>48</v>
      </c>
      <c r="Q153" s="37">
        <f>11850</f>
        <v>11850</v>
      </c>
      <c r="R153" s="34" t="s">
        <v>50</v>
      </c>
      <c r="S153" s="36">
        <f>12301.05</f>
        <v>12301.05</v>
      </c>
      <c r="T153" s="33">
        <f>3989</f>
        <v>3989</v>
      </c>
      <c r="U153" s="33" t="str">
        <f>"－"</f>
        <v>－</v>
      </c>
      <c r="V153" s="33">
        <f>49645310</f>
        <v>49645310</v>
      </c>
      <c r="W153" s="33" t="str">
        <f>"－"</f>
        <v>－</v>
      </c>
      <c r="X153" s="35">
        <f>19</f>
        <v>19</v>
      </c>
    </row>
    <row r="154" spans="1:24">
      <c r="A154" s="29" t="s">
        <v>42</v>
      </c>
      <c r="B154" s="29" t="s">
        <v>504</v>
      </c>
      <c r="C154" s="29" t="s">
        <v>505</v>
      </c>
      <c r="D154" s="29" t="s">
        <v>506</v>
      </c>
      <c r="E154" s="30" t="s">
        <v>46</v>
      </c>
      <c r="F154" s="31" t="s">
        <v>46</v>
      </c>
      <c r="G154" s="32" t="s">
        <v>46</v>
      </c>
      <c r="H154" s="27"/>
      <c r="I154" s="27" t="s">
        <v>47</v>
      </c>
      <c r="J154" s="33">
        <v>1</v>
      </c>
      <c r="K154" s="37">
        <f>25970</f>
        <v>25970</v>
      </c>
      <c r="L154" s="34" t="s">
        <v>48</v>
      </c>
      <c r="M154" s="37">
        <f>26690</f>
        <v>26690</v>
      </c>
      <c r="N154" s="34" t="s">
        <v>172</v>
      </c>
      <c r="O154" s="37">
        <f>25310</f>
        <v>25310</v>
      </c>
      <c r="P154" s="34" t="s">
        <v>84</v>
      </c>
      <c r="Q154" s="37">
        <f>25940</f>
        <v>25940</v>
      </c>
      <c r="R154" s="34" t="s">
        <v>50</v>
      </c>
      <c r="S154" s="36">
        <f>25802.63</f>
        <v>25802.63</v>
      </c>
      <c r="T154" s="33">
        <f>2390</f>
        <v>2390</v>
      </c>
      <c r="U154" s="33" t="str">
        <f>"－"</f>
        <v>－</v>
      </c>
      <c r="V154" s="33">
        <f>61649740</f>
        <v>61649740</v>
      </c>
      <c r="W154" s="33" t="str">
        <f>"－"</f>
        <v>－</v>
      </c>
      <c r="X154" s="35">
        <f>19</f>
        <v>19</v>
      </c>
    </row>
    <row r="155" spans="1:24">
      <c r="A155" s="29" t="s">
        <v>42</v>
      </c>
      <c r="B155" s="29" t="s">
        <v>507</v>
      </c>
      <c r="C155" s="29" t="s">
        <v>508</v>
      </c>
      <c r="D155" s="29" t="s">
        <v>509</v>
      </c>
      <c r="E155" s="30" t="s">
        <v>46</v>
      </c>
      <c r="F155" s="31" t="s">
        <v>46</v>
      </c>
      <c r="G155" s="32" t="s">
        <v>46</v>
      </c>
      <c r="H155" s="27"/>
      <c r="I155" s="27" t="s">
        <v>47</v>
      </c>
      <c r="J155" s="33">
        <v>10</v>
      </c>
      <c r="K155" s="37">
        <f>917</f>
        <v>917</v>
      </c>
      <c r="L155" s="34" t="s">
        <v>48</v>
      </c>
      <c r="M155" s="37">
        <f>974</f>
        <v>974</v>
      </c>
      <c r="N155" s="34" t="s">
        <v>49</v>
      </c>
      <c r="O155" s="37">
        <f>899</f>
        <v>899</v>
      </c>
      <c r="P155" s="34" t="s">
        <v>48</v>
      </c>
      <c r="Q155" s="37">
        <f>925</f>
        <v>925</v>
      </c>
      <c r="R155" s="34" t="s">
        <v>50</v>
      </c>
      <c r="S155" s="36">
        <f>945.95</f>
        <v>945.95</v>
      </c>
      <c r="T155" s="33">
        <f>67700</f>
        <v>67700</v>
      </c>
      <c r="U155" s="33" t="str">
        <f>"－"</f>
        <v>－</v>
      </c>
      <c r="V155" s="33">
        <f>64285930</f>
        <v>64285930</v>
      </c>
      <c r="W155" s="33" t="str">
        <f>"－"</f>
        <v>－</v>
      </c>
      <c r="X155" s="35">
        <f>19</f>
        <v>19</v>
      </c>
    </row>
    <row r="156" spans="1:24">
      <c r="A156" s="29" t="s">
        <v>42</v>
      </c>
      <c r="B156" s="29" t="s">
        <v>510</v>
      </c>
      <c r="C156" s="29" t="s">
        <v>511</v>
      </c>
      <c r="D156" s="29" t="s">
        <v>512</v>
      </c>
      <c r="E156" s="30" t="s">
        <v>46</v>
      </c>
      <c r="F156" s="31" t="s">
        <v>46</v>
      </c>
      <c r="G156" s="32" t="s">
        <v>46</v>
      </c>
      <c r="H156" s="27"/>
      <c r="I156" s="27" t="s">
        <v>47</v>
      </c>
      <c r="J156" s="33">
        <v>10</v>
      </c>
      <c r="K156" s="37">
        <f>2250</f>
        <v>2250</v>
      </c>
      <c r="L156" s="34" t="s">
        <v>48</v>
      </c>
      <c r="M156" s="37">
        <f>2374</f>
        <v>2374</v>
      </c>
      <c r="N156" s="34" t="s">
        <v>49</v>
      </c>
      <c r="O156" s="37">
        <f>2250</f>
        <v>2250</v>
      </c>
      <c r="P156" s="34" t="s">
        <v>48</v>
      </c>
      <c r="Q156" s="37">
        <f>2284</f>
        <v>2284</v>
      </c>
      <c r="R156" s="34" t="s">
        <v>50</v>
      </c>
      <c r="S156" s="36">
        <f>2313.88</f>
        <v>2313.88</v>
      </c>
      <c r="T156" s="33">
        <f>67230</f>
        <v>67230</v>
      </c>
      <c r="U156" s="33" t="str">
        <f>"－"</f>
        <v>－</v>
      </c>
      <c r="V156" s="33">
        <f>156217830</f>
        <v>156217830</v>
      </c>
      <c r="W156" s="33" t="str">
        <f>"－"</f>
        <v>－</v>
      </c>
      <c r="X156" s="35">
        <f>16</f>
        <v>16</v>
      </c>
    </row>
    <row r="157" spans="1:24">
      <c r="A157" s="29" t="s">
        <v>42</v>
      </c>
      <c r="B157" s="29" t="s">
        <v>513</v>
      </c>
      <c r="C157" s="29" t="s">
        <v>514</v>
      </c>
      <c r="D157" s="29" t="s">
        <v>515</v>
      </c>
      <c r="E157" s="30" t="s">
        <v>46</v>
      </c>
      <c r="F157" s="31" t="s">
        <v>46</v>
      </c>
      <c r="G157" s="32" t="s">
        <v>46</v>
      </c>
      <c r="H157" s="27"/>
      <c r="I157" s="27" t="s">
        <v>47</v>
      </c>
      <c r="J157" s="33">
        <v>10</v>
      </c>
      <c r="K157" s="37">
        <f>2353</f>
        <v>2353</v>
      </c>
      <c r="L157" s="34" t="s">
        <v>48</v>
      </c>
      <c r="M157" s="37">
        <f>2405</f>
        <v>2405</v>
      </c>
      <c r="N157" s="34" t="s">
        <v>49</v>
      </c>
      <c r="O157" s="37">
        <f>2310</f>
        <v>2310</v>
      </c>
      <c r="P157" s="34" t="s">
        <v>50</v>
      </c>
      <c r="Q157" s="37">
        <f>2318</f>
        <v>2318</v>
      </c>
      <c r="R157" s="34" t="s">
        <v>50</v>
      </c>
      <c r="S157" s="36">
        <f>2365.32</f>
        <v>2365.3200000000002</v>
      </c>
      <c r="T157" s="33">
        <f>58850</f>
        <v>58850</v>
      </c>
      <c r="U157" s="33">
        <f>42000</f>
        <v>42000</v>
      </c>
      <c r="V157" s="33">
        <f>140020790</f>
        <v>140020790</v>
      </c>
      <c r="W157" s="33">
        <f>100351020</f>
        <v>100351020</v>
      </c>
      <c r="X157" s="35">
        <f>19</f>
        <v>19</v>
      </c>
    </row>
    <row r="158" spans="1:24">
      <c r="A158" s="29" t="s">
        <v>42</v>
      </c>
      <c r="B158" s="29" t="s">
        <v>516</v>
      </c>
      <c r="C158" s="29" t="s">
        <v>517</v>
      </c>
      <c r="D158" s="29" t="s">
        <v>518</v>
      </c>
      <c r="E158" s="30" t="s">
        <v>46</v>
      </c>
      <c r="F158" s="31" t="s">
        <v>46</v>
      </c>
      <c r="G158" s="32" t="s">
        <v>46</v>
      </c>
      <c r="H158" s="27"/>
      <c r="I158" s="27" t="s">
        <v>47</v>
      </c>
      <c r="J158" s="33">
        <v>10</v>
      </c>
      <c r="K158" s="37">
        <f>1351</f>
        <v>1351</v>
      </c>
      <c r="L158" s="34" t="s">
        <v>48</v>
      </c>
      <c r="M158" s="37">
        <f>1420</f>
        <v>1420</v>
      </c>
      <c r="N158" s="34" t="s">
        <v>49</v>
      </c>
      <c r="O158" s="37">
        <f>1351</f>
        <v>1351</v>
      </c>
      <c r="P158" s="34" t="s">
        <v>48</v>
      </c>
      <c r="Q158" s="37">
        <f>1390</f>
        <v>1390</v>
      </c>
      <c r="R158" s="34" t="s">
        <v>50</v>
      </c>
      <c r="S158" s="36">
        <f>1388.46</f>
        <v>1388.46</v>
      </c>
      <c r="T158" s="33">
        <f>14730</f>
        <v>14730</v>
      </c>
      <c r="U158" s="33" t="str">
        <f>"－"</f>
        <v>－</v>
      </c>
      <c r="V158" s="33">
        <f>20148680</f>
        <v>20148680</v>
      </c>
      <c r="W158" s="33" t="str">
        <f>"－"</f>
        <v>－</v>
      </c>
      <c r="X158" s="35">
        <f>13</f>
        <v>13</v>
      </c>
    </row>
    <row r="159" spans="1:24">
      <c r="A159" s="29" t="s">
        <v>42</v>
      </c>
      <c r="B159" s="29" t="s">
        <v>519</v>
      </c>
      <c r="C159" s="29" t="s">
        <v>520</v>
      </c>
      <c r="D159" s="29" t="s">
        <v>521</v>
      </c>
      <c r="E159" s="30" t="s">
        <v>46</v>
      </c>
      <c r="F159" s="31" t="s">
        <v>46</v>
      </c>
      <c r="G159" s="32" t="s">
        <v>46</v>
      </c>
      <c r="H159" s="27"/>
      <c r="I159" s="27" t="s">
        <v>47</v>
      </c>
      <c r="J159" s="33">
        <v>1</v>
      </c>
      <c r="K159" s="37">
        <f>2781</f>
        <v>2781</v>
      </c>
      <c r="L159" s="34" t="s">
        <v>48</v>
      </c>
      <c r="M159" s="37">
        <f>2872</f>
        <v>2872</v>
      </c>
      <c r="N159" s="34" t="s">
        <v>176</v>
      </c>
      <c r="O159" s="37">
        <f>2724</f>
        <v>2724</v>
      </c>
      <c r="P159" s="34" t="s">
        <v>77</v>
      </c>
      <c r="Q159" s="37">
        <f>2802</f>
        <v>2802</v>
      </c>
      <c r="R159" s="34" t="s">
        <v>50</v>
      </c>
      <c r="S159" s="36">
        <f>2819.16</f>
        <v>2819.16</v>
      </c>
      <c r="T159" s="33">
        <f>2616407</f>
        <v>2616407</v>
      </c>
      <c r="U159" s="33">
        <f>544707</f>
        <v>544707</v>
      </c>
      <c r="V159" s="33">
        <f>7358499686</f>
        <v>7358499686</v>
      </c>
      <c r="W159" s="33">
        <f>1546664291</f>
        <v>1546664291</v>
      </c>
      <c r="X159" s="35">
        <f>19</f>
        <v>19</v>
      </c>
    </row>
    <row r="160" spans="1:24">
      <c r="A160" s="29" t="s">
        <v>42</v>
      </c>
      <c r="B160" s="29" t="s">
        <v>522</v>
      </c>
      <c r="C160" s="29" t="s">
        <v>523</v>
      </c>
      <c r="D160" s="29" t="s">
        <v>524</v>
      </c>
      <c r="E160" s="30" t="s">
        <v>46</v>
      </c>
      <c r="F160" s="31" t="s">
        <v>46</v>
      </c>
      <c r="G160" s="32" t="s">
        <v>46</v>
      </c>
      <c r="H160" s="27"/>
      <c r="I160" s="27" t="s">
        <v>47</v>
      </c>
      <c r="J160" s="33">
        <v>1</v>
      </c>
      <c r="K160" s="37">
        <f>2566</f>
        <v>2566</v>
      </c>
      <c r="L160" s="34" t="s">
        <v>48</v>
      </c>
      <c r="M160" s="37">
        <f>2572</f>
        <v>2572</v>
      </c>
      <c r="N160" s="34" t="s">
        <v>88</v>
      </c>
      <c r="O160" s="37">
        <f>2527</f>
        <v>2527</v>
      </c>
      <c r="P160" s="34" t="s">
        <v>92</v>
      </c>
      <c r="Q160" s="37">
        <f>2570</f>
        <v>2570</v>
      </c>
      <c r="R160" s="34" t="s">
        <v>50</v>
      </c>
      <c r="S160" s="36">
        <f>2545.74</f>
        <v>2545.7399999999998</v>
      </c>
      <c r="T160" s="33">
        <f>860718</f>
        <v>860718</v>
      </c>
      <c r="U160" s="33" t="str">
        <f>"－"</f>
        <v>－</v>
      </c>
      <c r="V160" s="33">
        <f>2187019640</f>
        <v>2187019640</v>
      </c>
      <c r="W160" s="33" t="str">
        <f>"－"</f>
        <v>－</v>
      </c>
      <c r="X160" s="35">
        <f>19</f>
        <v>19</v>
      </c>
    </row>
    <row r="161" spans="1:24">
      <c r="A161" s="29" t="s">
        <v>42</v>
      </c>
      <c r="B161" s="29" t="s">
        <v>525</v>
      </c>
      <c r="C161" s="29" t="s">
        <v>526</v>
      </c>
      <c r="D161" s="29" t="s">
        <v>527</v>
      </c>
      <c r="E161" s="30" t="s">
        <v>46</v>
      </c>
      <c r="F161" s="31" t="s">
        <v>46</v>
      </c>
      <c r="G161" s="32" t="s">
        <v>46</v>
      </c>
      <c r="H161" s="27"/>
      <c r="I161" s="27" t="s">
        <v>47</v>
      </c>
      <c r="J161" s="33">
        <v>1</v>
      </c>
      <c r="K161" s="37">
        <f>2504</f>
        <v>2504</v>
      </c>
      <c r="L161" s="34" t="s">
        <v>48</v>
      </c>
      <c r="M161" s="37">
        <f>2585</f>
        <v>2585</v>
      </c>
      <c r="N161" s="34" t="s">
        <v>268</v>
      </c>
      <c r="O161" s="37">
        <f>2470</f>
        <v>2470</v>
      </c>
      <c r="P161" s="34" t="s">
        <v>77</v>
      </c>
      <c r="Q161" s="37">
        <f>2520</f>
        <v>2520</v>
      </c>
      <c r="R161" s="34" t="s">
        <v>50</v>
      </c>
      <c r="S161" s="36">
        <f>2542.26</f>
        <v>2542.2600000000002</v>
      </c>
      <c r="T161" s="33">
        <f>85968</f>
        <v>85968</v>
      </c>
      <c r="U161" s="33" t="str">
        <f>"－"</f>
        <v>－</v>
      </c>
      <c r="V161" s="33">
        <f>219028077</f>
        <v>219028077</v>
      </c>
      <c r="W161" s="33" t="str">
        <f>"－"</f>
        <v>－</v>
      </c>
      <c r="X161" s="35">
        <f>19</f>
        <v>19</v>
      </c>
    </row>
    <row r="162" spans="1:24">
      <c r="A162" s="29" t="s">
        <v>42</v>
      </c>
      <c r="B162" s="29" t="s">
        <v>528</v>
      </c>
      <c r="C162" s="29" t="s">
        <v>529</v>
      </c>
      <c r="D162" s="29" t="s">
        <v>530</v>
      </c>
      <c r="E162" s="30" t="s">
        <v>46</v>
      </c>
      <c r="F162" s="31" t="s">
        <v>46</v>
      </c>
      <c r="G162" s="32" t="s">
        <v>46</v>
      </c>
      <c r="H162" s="27"/>
      <c r="I162" s="27" t="s">
        <v>47</v>
      </c>
      <c r="J162" s="33">
        <v>1</v>
      </c>
      <c r="K162" s="37">
        <f>2174</f>
        <v>2174</v>
      </c>
      <c r="L162" s="34" t="s">
        <v>48</v>
      </c>
      <c r="M162" s="37">
        <f>2375</f>
        <v>2375</v>
      </c>
      <c r="N162" s="34" t="s">
        <v>176</v>
      </c>
      <c r="O162" s="37">
        <f>2155</f>
        <v>2155</v>
      </c>
      <c r="P162" s="34" t="s">
        <v>48</v>
      </c>
      <c r="Q162" s="37">
        <f>2264</f>
        <v>2264</v>
      </c>
      <c r="R162" s="34" t="s">
        <v>50</v>
      </c>
      <c r="S162" s="36">
        <f>2287</f>
        <v>2287</v>
      </c>
      <c r="T162" s="33">
        <f>251878</f>
        <v>251878</v>
      </c>
      <c r="U162" s="33">
        <f>6</f>
        <v>6</v>
      </c>
      <c r="V162" s="33">
        <f>575385831</f>
        <v>575385831</v>
      </c>
      <c r="W162" s="33">
        <f>13488</f>
        <v>13488</v>
      </c>
      <c r="X162" s="35">
        <f>19</f>
        <v>19</v>
      </c>
    </row>
    <row r="163" spans="1:24">
      <c r="A163" s="29" t="s">
        <v>42</v>
      </c>
      <c r="B163" s="29" t="s">
        <v>531</v>
      </c>
      <c r="C163" s="29" t="s">
        <v>532</v>
      </c>
      <c r="D163" s="29" t="s">
        <v>533</v>
      </c>
      <c r="E163" s="30" t="s">
        <v>46</v>
      </c>
      <c r="F163" s="31" t="s">
        <v>46</v>
      </c>
      <c r="G163" s="32" t="s">
        <v>46</v>
      </c>
      <c r="H163" s="27"/>
      <c r="I163" s="27" t="s">
        <v>47</v>
      </c>
      <c r="J163" s="33">
        <v>1</v>
      </c>
      <c r="K163" s="37">
        <f>1877</f>
        <v>1877</v>
      </c>
      <c r="L163" s="34" t="s">
        <v>48</v>
      </c>
      <c r="M163" s="37">
        <f>1921</f>
        <v>1921</v>
      </c>
      <c r="N163" s="34" t="s">
        <v>50</v>
      </c>
      <c r="O163" s="37">
        <f>1793</f>
        <v>1793</v>
      </c>
      <c r="P163" s="34" t="s">
        <v>77</v>
      </c>
      <c r="Q163" s="37">
        <f>1902</f>
        <v>1902</v>
      </c>
      <c r="R163" s="34" t="s">
        <v>50</v>
      </c>
      <c r="S163" s="36">
        <f>1865.53</f>
        <v>1865.53</v>
      </c>
      <c r="T163" s="33">
        <f>828090</f>
        <v>828090</v>
      </c>
      <c r="U163" s="33">
        <f>1</f>
        <v>1</v>
      </c>
      <c r="V163" s="33">
        <f>1544761879</f>
        <v>1544761879</v>
      </c>
      <c r="W163" s="33">
        <f>1894</f>
        <v>1894</v>
      </c>
      <c r="X163" s="35">
        <f>19</f>
        <v>19</v>
      </c>
    </row>
    <row r="164" spans="1:24">
      <c r="A164" s="29" t="s">
        <v>42</v>
      </c>
      <c r="B164" s="29" t="s">
        <v>534</v>
      </c>
      <c r="C164" s="29" t="s">
        <v>535</v>
      </c>
      <c r="D164" s="29" t="s">
        <v>536</v>
      </c>
      <c r="E164" s="30" t="s">
        <v>46</v>
      </c>
      <c r="F164" s="31" t="s">
        <v>46</v>
      </c>
      <c r="G164" s="32" t="s">
        <v>46</v>
      </c>
      <c r="H164" s="27"/>
      <c r="I164" s="27" t="s">
        <v>47</v>
      </c>
      <c r="J164" s="33">
        <v>1</v>
      </c>
      <c r="K164" s="37">
        <f>10050</f>
        <v>10050</v>
      </c>
      <c r="L164" s="34" t="s">
        <v>48</v>
      </c>
      <c r="M164" s="37">
        <f>10360</f>
        <v>10360</v>
      </c>
      <c r="N164" s="34" t="s">
        <v>77</v>
      </c>
      <c r="O164" s="37">
        <f>9710</f>
        <v>9710</v>
      </c>
      <c r="P164" s="34" t="s">
        <v>100</v>
      </c>
      <c r="Q164" s="37">
        <f>10260</f>
        <v>10260</v>
      </c>
      <c r="R164" s="34" t="s">
        <v>50</v>
      </c>
      <c r="S164" s="36">
        <f>9997.89</f>
        <v>9997.89</v>
      </c>
      <c r="T164" s="33">
        <f>61433</f>
        <v>61433</v>
      </c>
      <c r="U164" s="33">
        <f>5</f>
        <v>5</v>
      </c>
      <c r="V164" s="33">
        <f>610687160</f>
        <v>610687160</v>
      </c>
      <c r="W164" s="33">
        <f>49650</f>
        <v>49650</v>
      </c>
      <c r="X164" s="35">
        <f>19</f>
        <v>19</v>
      </c>
    </row>
    <row r="165" spans="1:24">
      <c r="A165" s="29" t="s">
        <v>42</v>
      </c>
      <c r="B165" s="29" t="s">
        <v>537</v>
      </c>
      <c r="C165" s="29" t="s">
        <v>538</v>
      </c>
      <c r="D165" s="29" t="s">
        <v>539</v>
      </c>
      <c r="E165" s="30" t="s">
        <v>46</v>
      </c>
      <c r="F165" s="31" t="s">
        <v>46</v>
      </c>
      <c r="G165" s="32" t="s">
        <v>46</v>
      </c>
      <c r="H165" s="27" t="s">
        <v>540</v>
      </c>
      <c r="I165" s="27" t="s">
        <v>47</v>
      </c>
      <c r="J165" s="33">
        <v>100</v>
      </c>
      <c r="K165" s="37">
        <f>123</f>
        <v>123</v>
      </c>
      <c r="L165" s="34" t="s">
        <v>48</v>
      </c>
      <c r="M165" s="37">
        <f>126</f>
        <v>126</v>
      </c>
      <c r="N165" s="34" t="s">
        <v>92</v>
      </c>
      <c r="O165" s="37">
        <f>120</f>
        <v>120</v>
      </c>
      <c r="P165" s="34" t="s">
        <v>48</v>
      </c>
      <c r="Q165" s="37">
        <f>122</f>
        <v>122</v>
      </c>
      <c r="R165" s="34" t="s">
        <v>50</v>
      </c>
      <c r="S165" s="36">
        <f>123.21</f>
        <v>123.21</v>
      </c>
      <c r="T165" s="33">
        <f>105900</f>
        <v>105900</v>
      </c>
      <c r="U165" s="33" t="str">
        <f>"－"</f>
        <v>－</v>
      </c>
      <c r="V165" s="33">
        <f>13083300</f>
        <v>13083300</v>
      </c>
      <c r="W165" s="33" t="str">
        <f>"－"</f>
        <v>－</v>
      </c>
      <c r="X165" s="35">
        <f>19</f>
        <v>19</v>
      </c>
    </row>
    <row r="166" spans="1:24">
      <c r="A166" s="29" t="s">
        <v>42</v>
      </c>
      <c r="B166" s="29" t="s">
        <v>541</v>
      </c>
      <c r="C166" s="29" t="s">
        <v>542</v>
      </c>
      <c r="D166" s="29" t="s">
        <v>543</v>
      </c>
      <c r="E166" s="30" t="s">
        <v>46</v>
      </c>
      <c r="F166" s="31" t="s">
        <v>46</v>
      </c>
      <c r="G166" s="32" t="s">
        <v>46</v>
      </c>
      <c r="H166" s="27"/>
      <c r="I166" s="27" t="s">
        <v>47</v>
      </c>
      <c r="J166" s="33">
        <v>1</v>
      </c>
      <c r="K166" s="37">
        <f>961</f>
        <v>961</v>
      </c>
      <c r="L166" s="34" t="s">
        <v>48</v>
      </c>
      <c r="M166" s="37">
        <f>1066</f>
        <v>1066</v>
      </c>
      <c r="N166" s="34" t="s">
        <v>69</v>
      </c>
      <c r="O166" s="37">
        <f>940</f>
        <v>940</v>
      </c>
      <c r="P166" s="34" t="s">
        <v>84</v>
      </c>
      <c r="Q166" s="37">
        <f>1038</f>
        <v>1038</v>
      </c>
      <c r="R166" s="34" t="s">
        <v>50</v>
      </c>
      <c r="S166" s="36">
        <f>1027.32</f>
        <v>1027.32</v>
      </c>
      <c r="T166" s="33">
        <f>26592150</f>
        <v>26592150</v>
      </c>
      <c r="U166" s="33">
        <f>68858</f>
        <v>68858</v>
      </c>
      <c r="V166" s="33">
        <f>27074859233</f>
        <v>27074859233</v>
      </c>
      <c r="W166" s="33">
        <f>66891993</f>
        <v>66891993</v>
      </c>
      <c r="X166" s="35">
        <f>19</f>
        <v>19</v>
      </c>
    </row>
    <row r="167" spans="1:24">
      <c r="A167" s="29" t="s">
        <v>42</v>
      </c>
      <c r="B167" s="29" t="s">
        <v>544</v>
      </c>
      <c r="C167" s="29" t="s">
        <v>545</v>
      </c>
      <c r="D167" s="29" t="s">
        <v>546</v>
      </c>
      <c r="E167" s="30" t="s">
        <v>46</v>
      </c>
      <c r="F167" s="31" t="s">
        <v>46</v>
      </c>
      <c r="G167" s="32" t="s">
        <v>46</v>
      </c>
      <c r="H167" s="27"/>
      <c r="I167" s="27" t="s">
        <v>47</v>
      </c>
      <c r="J167" s="33">
        <v>1</v>
      </c>
      <c r="K167" s="37">
        <f>18870</f>
        <v>18870</v>
      </c>
      <c r="L167" s="34" t="s">
        <v>48</v>
      </c>
      <c r="M167" s="37">
        <f>19100</f>
        <v>19100</v>
      </c>
      <c r="N167" s="34" t="s">
        <v>77</v>
      </c>
      <c r="O167" s="37">
        <f>17900</f>
        <v>17900</v>
      </c>
      <c r="P167" s="34" t="s">
        <v>100</v>
      </c>
      <c r="Q167" s="37">
        <f>18260</f>
        <v>18260</v>
      </c>
      <c r="R167" s="34" t="s">
        <v>50</v>
      </c>
      <c r="S167" s="36">
        <f>18428.42</f>
        <v>18428.419999999998</v>
      </c>
      <c r="T167" s="33">
        <f>7405</f>
        <v>7405</v>
      </c>
      <c r="U167" s="33" t="str">
        <f>"－"</f>
        <v>－</v>
      </c>
      <c r="V167" s="33">
        <f>136819540</f>
        <v>136819540</v>
      </c>
      <c r="W167" s="33" t="str">
        <f>"－"</f>
        <v>－</v>
      </c>
      <c r="X167" s="35">
        <f>19</f>
        <v>19</v>
      </c>
    </row>
    <row r="168" spans="1:24">
      <c r="A168" s="29" t="s">
        <v>42</v>
      </c>
      <c r="B168" s="29" t="s">
        <v>547</v>
      </c>
      <c r="C168" s="29" t="s">
        <v>548</v>
      </c>
      <c r="D168" s="29" t="s">
        <v>549</v>
      </c>
      <c r="E168" s="30" t="s">
        <v>46</v>
      </c>
      <c r="F168" s="31" t="s">
        <v>46</v>
      </c>
      <c r="G168" s="32" t="s">
        <v>46</v>
      </c>
      <c r="H168" s="27"/>
      <c r="I168" s="27" t="s">
        <v>47</v>
      </c>
      <c r="J168" s="33">
        <v>10</v>
      </c>
      <c r="K168" s="37">
        <f>2631</f>
        <v>2631</v>
      </c>
      <c r="L168" s="34" t="s">
        <v>48</v>
      </c>
      <c r="M168" s="37">
        <f>2685</f>
        <v>2685</v>
      </c>
      <c r="N168" s="34" t="s">
        <v>77</v>
      </c>
      <c r="O168" s="37">
        <f>2380</f>
        <v>2380</v>
      </c>
      <c r="P168" s="34" t="s">
        <v>100</v>
      </c>
      <c r="Q168" s="37">
        <f>2568</f>
        <v>2568</v>
      </c>
      <c r="R168" s="34" t="s">
        <v>50</v>
      </c>
      <c r="S168" s="36">
        <f>2518.32</f>
        <v>2518.3200000000002</v>
      </c>
      <c r="T168" s="33">
        <f>62670</f>
        <v>62670</v>
      </c>
      <c r="U168" s="33" t="str">
        <f>"－"</f>
        <v>－</v>
      </c>
      <c r="V168" s="33">
        <f>158672360</f>
        <v>158672360</v>
      </c>
      <c r="W168" s="33" t="str">
        <f>"－"</f>
        <v>－</v>
      </c>
      <c r="X168" s="35">
        <f>19</f>
        <v>19</v>
      </c>
    </row>
    <row r="169" spans="1:24">
      <c r="A169" s="29" t="s">
        <v>42</v>
      </c>
      <c r="B169" s="29" t="s">
        <v>550</v>
      </c>
      <c r="C169" s="29" t="s">
        <v>551</v>
      </c>
      <c r="D169" s="29" t="s">
        <v>552</v>
      </c>
      <c r="E169" s="30" t="s">
        <v>46</v>
      </c>
      <c r="F169" s="31" t="s">
        <v>46</v>
      </c>
      <c r="G169" s="32" t="s">
        <v>46</v>
      </c>
      <c r="H169" s="27"/>
      <c r="I169" s="27" t="s">
        <v>47</v>
      </c>
      <c r="J169" s="33">
        <v>1</v>
      </c>
      <c r="K169" s="37">
        <f>10480</f>
        <v>10480</v>
      </c>
      <c r="L169" s="34" t="s">
        <v>48</v>
      </c>
      <c r="M169" s="37">
        <f>11030</f>
        <v>11030</v>
      </c>
      <c r="N169" s="34" t="s">
        <v>132</v>
      </c>
      <c r="O169" s="37">
        <f>10040</f>
        <v>10040</v>
      </c>
      <c r="P169" s="34" t="s">
        <v>88</v>
      </c>
      <c r="Q169" s="37">
        <f>10550</f>
        <v>10550</v>
      </c>
      <c r="R169" s="34" t="s">
        <v>50</v>
      </c>
      <c r="S169" s="36">
        <f>10603.68</f>
        <v>10603.68</v>
      </c>
      <c r="T169" s="33">
        <f>9259</f>
        <v>9259</v>
      </c>
      <c r="U169" s="33" t="str">
        <f>"－"</f>
        <v>－</v>
      </c>
      <c r="V169" s="33">
        <f>98389000</f>
        <v>98389000</v>
      </c>
      <c r="W169" s="33" t="str">
        <f>"－"</f>
        <v>－</v>
      </c>
      <c r="X169" s="35">
        <f>19</f>
        <v>19</v>
      </c>
    </row>
    <row r="170" spans="1:24">
      <c r="A170" s="29" t="s">
        <v>42</v>
      </c>
      <c r="B170" s="29" t="s">
        <v>553</v>
      </c>
      <c r="C170" s="29" t="s">
        <v>554</v>
      </c>
      <c r="D170" s="29" t="s">
        <v>555</v>
      </c>
      <c r="E170" s="30" t="s">
        <v>46</v>
      </c>
      <c r="F170" s="31" t="s">
        <v>46</v>
      </c>
      <c r="G170" s="32" t="s">
        <v>46</v>
      </c>
      <c r="H170" s="27"/>
      <c r="I170" s="27" t="s">
        <v>47</v>
      </c>
      <c r="J170" s="33">
        <v>1</v>
      </c>
      <c r="K170" s="37">
        <f>23760</f>
        <v>23760</v>
      </c>
      <c r="L170" s="34" t="s">
        <v>48</v>
      </c>
      <c r="M170" s="37">
        <f>24490</f>
        <v>24490</v>
      </c>
      <c r="N170" s="34" t="s">
        <v>69</v>
      </c>
      <c r="O170" s="37">
        <f>22600</f>
        <v>22600</v>
      </c>
      <c r="P170" s="34" t="s">
        <v>88</v>
      </c>
      <c r="Q170" s="37">
        <f>23390</f>
        <v>23390</v>
      </c>
      <c r="R170" s="34" t="s">
        <v>50</v>
      </c>
      <c r="S170" s="36">
        <f>23360</f>
        <v>23360</v>
      </c>
      <c r="T170" s="33">
        <f>449</f>
        <v>449</v>
      </c>
      <c r="U170" s="33" t="str">
        <f>"－"</f>
        <v>－</v>
      </c>
      <c r="V170" s="33">
        <f>10618780</f>
        <v>10618780</v>
      </c>
      <c r="W170" s="33" t="str">
        <f>"－"</f>
        <v>－</v>
      </c>
      <c r="X170" s="35">
        <f>17</f>
        <v>17</v>
      </c>
    </row>
    <row r="171" spans="1:24">
      <c r="A171" s="29" t="s">
        <v>42</v>
      </c>
      <c r="B171" s="29" t="s">
        <v>556</v>
      </c>
      <c r="C171" s="29" t="s">
        <v>557</v>
      </c>
      <c r="D171" s="29" t="s">
        <v>558</v>
      </c>
      <c r="E171" s="30" t="s">
        <v>46</v>
      </c>
      <c r="F171" s="31" t="s">
        <v>46</v>
      </c>
      <c r="G171" s="32" t="s">
        <v>46</v>
      </c>
      <c r="H171" s="27"/>
      <c r="I171" s="27" t="s">
        <v>47</v>
      </c>
      <c r="J171" s="33">
        <v>1</v>
      </c>
      <c r="K171" s="37">
        <f>15620</f>
        <v>15620</v>
      </c>
      <c r="L171" s="34" t="s">
        <v>88</v>
      </c>
      <c r="M171" s="37">
        <f>16030</f>
        <v>16030</v>
      </c>
      <c r="N171" s="34" t="s">
        <v>50</v>
      </c>
      <c r="O171" s="37">
        <f>15620</f>
        <v>15620</v>
      </c>
      <c r="P171" s="34" t="s">
        <v>88</v>
      </c>
      <c r="Q171" s="37">
        <f>16030</f>
        <v>16030</v>
      </c>
      <c r="R171" s="34" t="s">
        <v>50</v>
      </c>
      <c r="S171" s="36">
        <f>15825</f>
        <v>15825</v>
      </c>
      <c r="T171" s="33">
        <f>60</f>
        <v>60</v>
      </c>
      <c r="U171" s="33" t="str">
        <f>"－"</f>
        <v>－</v>
      </c>
      <c r="V171" s="33">
        <f>961390</f>
        <v>961390</v>
      </c>
      <c r="W171" s="33" t="str">
        <f>"－"</f>
        <v>－</v>
      </c>
      <c r="X171" s="35">
        <f>2</f>
        <v>2</v>
      </c>
    </row>
    <row r="172" spans="1:24">
      <c r="A172" s="29" t="s">
        <v>42</v>
      </c>
      <c r="B172" s="29" t="s">
        <v>559</v>
      </c>
      <c r="C172" s="29" t="s">
        <v>560</v>
      </c>
      <c r="D172" s="29" t="s">
        <v>561</v>
      </c>
      <c r="E172" s="30" t="s">
        <v>46</v>
      </c>
      <c r="F172" s="31" t="s">
        <v>46</v>
      </c>
      <c r="G172" s="32" t="s">
        <v>46</v>
      </c>
      <c r="H172" s="27"/>
      <c r="I172" s="27" t="s">
        <v>47</v>
      </c>
      <c r="J172" s="33">
        <v>10</v>
      </c>
      <c r="K172" s="37">
        <f>51400</f>
        <v>51400</v>
      </c>
      <c r="L172" s="34" t="s">
        <v>48</v>
      </c>
      <c r="M172" s="37">
        <f>51400</f>
        <v>51400</v>
      </c>
      <c r="N172" s="34" t="s">
        <v>48</v>
      </c>
      <c r="O172" s="37">
        <f>50700</f>
        <v>50700</v>
      </c>
      <c r="P172" s="34" t="s">
        <v>132</v>
      </c>
      <c r="Q172" s="37">
        <f>51200</f>
        <v>51200</v>
      </c>
      <c r="R172" s="34" t="s">
        <v>50</v>
      </c>
      <c r="S172" s="36">
        <f>51042.11</f>
        <v>51042.11</v>
      </c>
      <c r="T172" s="33">
        <f>13330</f>
        <v>13330</v>
      </c>
      <c r="U172" s="33">
        <f>9000</f>
        <v>9000</v>
      </c>
      <c r="V172" s="33">
        <f>679738300</f>
        <v>679738300</v>
      </c>
      <c r="W172" s="33">
        <f>458817300</f>
        <v>458817300</v>
      </c>
      <c r="X172" s="35">
        <f>19</f>
        <v>19</v>
      </c>
    </row>
    <row r="173" spans="1:24">
      <c r="A173" s="29" t="s">
        <v>42</v>
      </c>
      <c r="B173" s="29" t="s">
        <v>562</v>
      </c>
      <c r="C173" s="29" t="s">
        <v>563</v>
      </c>
      <c r="D173" s="29" t="s">
        <v>564</v>
      </c>
      <c r="E173" s="30" t="s">
        <v>46</v>
      </c>
      <c r="F173" s="31" t="s">
        <v>46</v>
      </c>
      <c r="G173" s="32" t="s">
        <v>46</v>
      </c>
      <c r="H173" s="27"/>
      <c r="I173" s="27" t="s">
        <v>47</v>
      </c>
      <c r="J173" s="33">
        <v>100</v>
      </c>
      <c r="K173" s="37">
        <f>177</f>
        <v>177</v>
      </c>
      <c r="L173" s="34" t="s">
        <v>48</v>
      </c>
      <c r="M173" s="37">
        <f>191</f>
        <v>191</v>
      </c>
      <c r="N173" s="34" t="s">
        <v>92</v>
      </c>
      <c r="O173" s="37">
        <f>175</f>
        <v>175</v>
      </c>
      <c r="P173" s="34" t="s">
        <v>88</v>
      </c>
      <c r="Q173" s="37">
        <f>177</f>
        <v>177</v>
      </c>
      <c r="R173" s="34" t="s">
        <v>50</v>
      </c>
      <c r="S173" s="36">
        <f>182.32</f>
        <v>182.32</v>
      </c>
      <c r="T173" s="33">
        <f>9857400</f>
        <v>9857400</v>
      </c>
      <c r="U173" s="33">
        <f>24300</f>
        <v>24300</v>
      </c>
      <c r="V173" s="33">
        <f>1797296500</f>
        <v>1797296500</v>
      </c>
      <c r="W173" s="33">
        <f>4450400</f>
        <v>4450400</v>
      </c>
      <c r="X173" s="35">
        <f>19</f>
        <v>19</v>
      </c>
    </row>
    <row r="174" spans="1:24">
      <c r="A174" s="29" t="s">
        <v>42</v>
      </c>
      <c r="B174" s="29" t="s">
        <v>565</v>
      </c>
      <c r="C174" s="29" t="s">
        <v>566</v>
      </c>
      <c r="D174" s="29" t="s">
        <v>567</v>
      </c>
      <c r="E174" s="30" t="s">
        <v>46</v>
      </c>
      <c r="F174" s="31" t="s">
        <v>46</v>
      </c>
      <c r="G174" s="32" t="s">
        <v>46</v>
      </c>
      <c r="H174" s="27"/>
      <c r="I174" s="27" t="s">
        <v>47</v>
      </c>
      <c r="J174" s="33">
        <v>10</v>
      </c>
      <c r="K174" s="37">
        <f>27760</f>
        <v>27760</v>
      </c>
      <c r="L174" s="34" t="s">
        <v>48</v>
      </c>
      <c r="M174" s="37">
        <f>28630</f>
        <v>28630</v>
      </c>
      <c r="N174" s="34" t="s">
        <v>49</v>
      </c>
      <c r="O174" s="37">
        <f>27360</f>
        <v>27360</v>
      </c>
      <c r="P174" s="34" t="s">
        <v>84</v>
      </c>
      <c r="Q174" s="37">
        <f>27850</f>
        <v>27850</v>
      </c>
      <c r="R174" s="34" t="s">
        <v>50</v>
      </c>
      <c r="S174" s="36">
        <f>28146.84</f>
        <v>28146.84</v>
      </c>
      <c r="T174" s="33">
        <f>9800</f>
        <v>9800</v>
      </c>
      <c r="U174" s="33" t="str">
        <f>"－"</f>
        <v>－</v>
      </c>
      <c r="V174" s="33">
        <f>274459300</f>
        <v>274459300</v>
      </c>
      <c r="W174" s="33" t="str">
        <f>"－"</f>
        <v>－</v>
      </c>
      <c r="X174" s="35">
        <f>19</f>
        <v>19</v>
      </c>
    </row>
    <row r="175" spans="1:24">
      <c r="A175" s="29" t="s">
        <v>42</v>
      </c>
      <c r="B175" s="29" t="s">
        <v>568</v>
      </c>
      <c r="C175" s="29" t="s">
        <v>569</v>
      </c>
      <c r="D175" s="29" t="s">
        <v>570</v>
      </c>
      <c r="E175" s="30" t="s">
        <v>46</v>
      </c>
      <c r="F175" s="31" t="s">
        <v>46</v>
      </c>
      <c r="G175" s="32" t="s">
        <v>46</v>
      </c>
      <c r="H175" s="27"/>
      <c r="I175" s="27" t="s">
        <v>47</v>
      </c>
      <c r="J175" s="33">
        <v>10</v>
      </c>
      <c r="K175" s="37">
        <f>2915</f>
        <v>2915</v>
      </c>
      <c r="L175" s="34" t="s">
        <v>48</v>
      </c>
      <c r="M175" s="37">
        <f>2994</f>
        <v>2994</v>
      </c>
      <c r="N175" s="34" t="s">
        <v>49</v>
      </c>
      <c r="O175" s="37">
        <f>2857</f>
        <v>2857</v>
      </c>
      <c r="P175" s="34" t="s">
        <v>88</v>
      </c>
      <c r="Q175" s="37">
        <f>2885</f>
        <v>2885</v>
      </c>
      <c r="R175" s="34" t="s">
        <v>50</v>
      </c>
      <c r="S175" s="36">
        <f>2936.63</f>
        <v>2936.63</v>
      </c>
      <c r="T175" s="33">
        <f>99400</f>
        <v>99400</v>
      </c>
      <c r="U175" s="33" t="str">
        <f>"－"</f>
        <v>－</v>
      </c>
      <c r="V175" s="33">
        <f>292090040</f>
        <v>292090040</v>
      </c>
      <c r="W175" s="33" t="str">
        <f>"－"</f>
        <v>－</v>
      </c>
      <c r="X175" s="35">
        <f>19</f>
        <v>19</v>
      </c>
    </row>
    <row r="176" spans="1:24">
      <c r="A176" s="29" t="s">
        <v>42</v>
      </c>
      <c r="B176" s="29" t="s">
        <v>571</v>
      </c>
      <c r="C176" s="29" t="s">
        <v>572</v>
      </c>
      <c r="D176" s="29" t="s">
        <v>573</v>
      </c>
      <c r="E176" s="30" t="s">
        <v>46</v>
      </c>
      <c r="F176" s="31" t="s">
        <v>46</v>
      </c>
      <c r="G176" s="32" t="s">
        <v>46</v>
      </c>
      <c r="H176" s="27"/>
      <c r="I176" s="27" t="s">
        <v>47</v>
      </c>
      <c r="J176" s="33">
        <v>10</v>
      </c>
      <c r="K176" s="37">
        <f>1683</f>
        <v>1683</v>
      </c>
      <c r="L176" s="34" t="s">
        <v>48</v>
      </c>
      <c r="M176" s="37">
        <f>1830</f>
        <v>1830</v>
      </c>
      <c r="N176" s="34" t="s">
        <v>176</v>
      </c>
      <c r="O176" s="37">
        <f>1682</f>
        <v>1682</v>
      </c>
      <c r="P176" s="34" t="s">
        <v>48</v>
      </c>
      <c r="Q176" s="37">
        <f>1734</f>
        <v>1734</v>
      </c>
      <c r="R176" s="34" t="s">
        <v>50</v>
      </c>
      <c r="S176" s="36">
        <f>1773</f>
        <v>1773</v>
      </c>
      <c r="T176" s="33">
        <f>162130</f>
        <v>162130</v>
      </c>
      <c r="U176" s="33">
        <f>50</f>
        <v>50</v>
      </c>
      <c r="V176" s="33">
        <f>284988360</f>
        <v>284988360</v>
      </c>
      <c r="W176" s="33">
        <f>87920</f>
        <v>87920</v>
      </c>
      <c r="X176" s="35">
        <f>19</f>
        <v>19</v>
      </c>
    </row>
    <row r="177" spans="1:24">
      <c r="A177" s="29" t="s">
        <v>42</v>
      </c>
      <c r="B177" s="29" t="s">
        <v>574</v>
      </c>
      <c r="C177" s="29" t="s">
        <v>575</v>
      </c>
      <c r="D177" s="29" t="s">
        <v>576</v>
      </c>
      <c r="E177" s="30" t="s">
        <v>46</v>
      </c>
      <c r="F177" s="31" t="s">
        <v>46</v>
      </c>
      <c r="G177" s="32" t="s">
        <v>46</v>
      </c>
      <c r="H177" s="27"/>
      <c r="I177" s="27" t="s">
        <v>47</v>
      </c>
      <c r="J177" s="33">
        <v>100</v>
      </c>
      <c r="K177" s="37">
        <f>189</f>
        <v>189</v>
      </c>
      <c r="L177" s="34" t="s">
        <v>48</v>
      </c>
      <c r="M177" s="37">
        <f>200</f>
        <v>200</v>
      </c>
      <c r="N177" s="34" t="s">
        <v>96</v>
      </c>
      <c r="O177" s="37">
        <f>187</f>
        <v>187</v>
      </c>
      <c r="P177" s="34" t="s">
        <v>84</v>
      </c>
      <c r="Q177" s="37">
        <f>190</f>
        <v>190</v>
      </c>
      <c r="R177" s="34" t="s">
        <v>50</v>
      </c>
      <c r="S177" s="36">
        <f>193.11</f>
        <v>193.11</v>
      </c>
      <c r="T177" s="33">
        <f>575000</f>
        <v>575000</v>
      </c>
      <c r="U177" s="33" t="str">
        <f>"－"</f>
        <v>－</v>
      </c>
      <c r="V177" s="33">
        <f>110761200</f>
        <v>110761200</v>
      </c>
      <c r="W177" s="33" t="str">
        <f>"－"</f>
        <v>－</v>
      </c>
      <c r="X177" s="35">
        <f>19</f>
        <v>19</v>
      </c>
    </row>
    <row r="178" spans="1:24">
      <c r="A178" s="29" t="s">
        <v>42</v>
      </c>
      <c r="B178" s="29" t="s">
        <v>577</v>
      </c>
      <c r="C178" s="29" t="s">
        <v>578</v>
      </c>
      <c r="D178" s="29" t="s">
        <v>579</v>
      </c>
      <c r="E178" s="30" t="s">
        <v>46</v>
      </c>
      <c r="F178" s="31" t="s">
        <v>46</v>
      </c>
      <c r="G178" s="32" t="s">
        <v>46</v>
      </c>
      <c r="H178" s="27"/>
      <c r="I178" s="27" t="s">
        <v>47</v>
      </c>
      <c r="J178" s="33">
        <v>10</v>
      </c>
      <c r="K178" s="37">
        <f>822</f>
        <v>822</v>
      </c>
      <c r="L178" s="34" t="s">
        <v>48</v>
      </c>
      <c r="M178" s="37">
        <f>892</f>
        <v>892</v>
      </c>
      <c r="N178" s="34" t="s">
        <v>96</v>
      </c>
      <c r="O178" s="37">
        <f>822</f>
        <v>822</v>
      </c>
      <c r="P178" s="34" t="s">
        <v>48</v>
      </c>
      <c r="Q178" s="37">
        <f>871</f>
        <v>871</v>
      </c>
      <c r="R178" s="34" t="s">
        <v>50</v>
      </c>
      <c r="S178" s="36">
        <f>848</f>
        <v>848</v>
      </c>
      <c r="T178" s="33">
        <f>2940</f>
        <v>2940</v>
      </c>
      <c r="U178" s="33">
        <f>820</f>
        <v>820</v>
      </c>
      <c r="V178" s="33">
        <f>2511710</f>
        <v>2511710</v>
      </c>
      <c r="W178" s="33">
        <f>683880</f>
        <v>683880</v>
      </c>
      <c r="X178" s="35">
        <f>6</f>
        <v>6</v>
      </c>
    </row>
    <row r="179" spans="1:24">
      <c r="A179" s="29" t="s">
        <v>42</v>
      </c>
      <c r="B179" s="29" t="s">
        <v>580</v>
      </c>
      <c r="C179" s="29" t="s">
        <v>581</v>
      </c>
      <c r="D179" s="29" t="s">
        <v>582</v>
      </c>
      <c r="E179" s="30" t="s">
        <v>46</v>
      </c>
      <c r="F179" s="31" t="s">
        <v>46</v>
      </c>
      <c r="G179" s="32" t="s">
        <v>46</v>
      </c>
      <c r="H179" s="27"/>
      <c r="I179" s="27" t="s">
        <v>47</v>
      </c>
      <c r="J179" s="33">
        <v>10</v>
      </c>
      <c r="K179" s="37">
        <f>227</f>
        <v>227</v>
      </c>
      <c r="L179" s="34" t="s">
        <v>48</v>
      </c>
      <c r="M179" s="37">
        <f>247</f>
        <v>247</v>
      </c>
      <c r="N179" s="34" t="s">
        <v>49</v>
      </c>
      <c r="O179" s="37">
        <f>225</f>
        <v>225</v>
      </c>
      <c r="P179" s="34" t="s">
        <v>48</v>
      </c>
      <c r="Q179" s="37">
        <f>240</f>
        <v>240</v>
      </c>
      <c r="R179" s="34" t="s">
        <v>50</v>
      </c>
      <c r="S179" s="36">
        <f>237.89</f>
        <v>237.89</v>
      </c>
      <c r="T179" s="33">
        <f>42100</f>
        <v>42100</v>
      </c>
      <c r="U179" s="33" t="str">
        <f t="shared" ref="U179:U187" si="7">"－"</f>
        <v>－</v>
      </c>
      <c r="V179" s="33">
        <f>10051890</f>
        <v>10051890</v>
      </c>
      <c r="W179" s="33" t="str">
        <f t="shared" ref="W179:W187" si="8">"－"</f>
        <v>－</v>
      </c>
      <c r="X179" s="35">
        <f>19</f>
        <v>19</v>
      </c>
    </row>
    <row r="180" spans="1:24">
      <c r="A180" s="29" t="s">
        <v>42</v>
      </c>
      <c r="B180" s="29" t="s">
        <v>583</v>
      </c>
      <c r="C180" s="29" t="s">
        <v>584</v>
      </c>
      <c r="D180" s="29" t="s">
        <v>585</v>
      </c>
      <c r="E180" s="30" t="s">
        <v>46</v>
      </c>
      <c r="F180" s="31" t="s">
        <v>46</v>
      </c>
      <c r="G180" s="32" t="s">
        <v>46</v>
      </c>
      <c r="H180" s="27"/>
      <c r="I180" s="27" t="s">
        <v>47</v>
      </c>
      <c r="J180" s="33">
        <v>10</v>
      </c>
      <c r="K180" s="37">
        <f>1430</f>
        <v>1430</v>
      </c>
      <c r="L180" s="34" t="s">
        <v>48</v>
      </c>
      <c r="M180" s="37">
        <f>1676</f>
        <v>1676</v>
      </c>
      <c r="N180" s="34" t="s">
        <v>69</v>
      </c>
      <c r="O180" s="37">
        <f>1389</f>
        <v>1389</v>
      </c>
      <c r="P180" s="34" t="s">
        <v>96</v>
      </c>
      <c r="Q180" s="37">
        <f>1398</f>
        <v>1398</v>
      </c>
      <c r="R180" s="34" t="s">
        <v>50</v>
      </c>
      <c r="S180" s="36">
        <f>1428.83</f>
        <v>1428.83</v>
      </c>
      <c r="T180" s="33">
        <f>1110</f>
        <v>1110</v>
      </c>
      <c r="U180" s="33" t="str">
        <f t="shared" si="7"/>
        <v>－</v>
      </c>
      <c r="V180" s="33">
        <f>1726160</f>
        <v>1726160</v>
      </c>
      <c r="W180" s="33" t="str">
        <f t="shared" si="8"/>
        <v>－</v>
      </c>
      <c r="X180" s="35">
        <f>12</f>
        <v>12</v>
      </c>
    </row>
    <row r="181" spans="1:24">
      <c r="A181" s="29" t="s">
        <v>42</v>
      </c>
      <c r="B181" s="29" t="s">
        <v>586</v>
      </c>
      <c r="C181" s="29" t="s">
        <v>587</v>
      </c>
      <c r="D181" s="29" t="s">
        <v>588</v>
      </c>
      <c r="E181" s="30" t="s">
        <v>46</v>
      </c>
      <c r="F181" s="31" t="s">
        <v>46</v>
      </c>
      <c r="G181" s="32" t="s">
        <v>46</v>
      </c>
      <c r="H181" s="27"/>
      <c r="I181" s="27" t="s">
        <v>47</v>
      </c>
      <c r="J181" s="33">
        <v>10</v>
      </c>
      <c r="K181" s="37">
        <f>491</f>
        <v>491</v>
      </c>
      <c r="L181" s="34" t="s">
        <v>48</v>
      </c>
      <c r="M181" s="37">
        <f>592</f>
        <v>592</v>
      </c>
      <c r="N181" s="34" t="s">
        <v>131</v>
      </c>
      <c r="O181" s="37">
        <f>483</f>
        <v>483</v>
      </c>
      <c r="P181" s="34" t="s">
        <v>176</v>
      </c>
      <c r="Q181" s="37">
        <f>512</f>
        <v>512</v>
      </c>
      <c r="R181" s="34" t="s">
        <v>50</v>
      </c>
      <c r="S181" s="36">
        <f>518.32</f>
        <v>518.32000000000005</v>
      </c>
      <c r="T181" s="33">
        <f>113570</f>
        <v>113570</v>
      </c>
      <c r="U181" s="33" t="str">
        <f t="shared" si="7"/>
        <v>－</v>
      </c>
      <c r="V181" s="33">
        <f>59843530</f>
        <v>59843530</v>
      </c>
      <c r="W181" s="33" t="str">
        <f t="shared" si="8"/>
        <v>－</v>
      </c>
      <c r="X181" s="35">
        <f>19</f>
        <v>19</v>
      </c>
    </row>
    <row r="182" spans="1:24">
      <c r="A182" s="29" t="s">
        <v>42</v>
      </c>
      <c r="B182" s="29" t="s">
        <v>589</v>
      </c>
      <c r="C182" s="29" t="s">
        <v>590</v>
      </c>
      <c r="D182" s="29" t="s">
        <v>591</v>
      </c>
      <c r="E182" s="30" t="s">
        <v>46</v>
      </c>
      <c r="F182" s="31" t="s">
        <v>46</v>
      </c>
      <c r="G182" s="32" t="s">
        <v>46</v>
      </c>
      <c r="H182" s="27"/>
      <c r="I182" s="27" t="s">
        <v>47</v>
      </c>
      <c r="J182" s="33">
        <v>10</v>
      </c>
      <c r="K182" s="37">
        <f>369</f>
        <v>369</v>
      </c>
      <c r="L182" s="34" t="s">
        <v>48</v>
      </c>
      <c r="M182" s="37">
        <f>400</f>
        <v>400</v>
      </c>
      <c r="N182" s="34" t="s">
        <v>69</v>
      </c>
      <c r="O182" s="37">
        <f>358</f>
        <v>358</v>
      </c>
      <c r="P182" s="34" t="s">
        <v>48</v>
      </c>
      <c r="Q182" s="37">
        <f>388</f>
        <v>388</v>
      </c>
      <c r="R182" s="34" t="s">
        <v>50</v>
      </c>
      <c r="S182" s="36">
        <f>384</f>
        <v>384</v>
      </c>
      <c r="T182" s="33">
        <f>490720</f>
        <v>490720</v>
      </c>
      <c r="U182" s="33" t="str">
        <f t="shared" si="7"/>
        <v>－</v>
      </c>
      <c r="V182" s="33">
        <f>188036420</f>
        <v>188036420</v>
      </c>
      <c r="W182" s="33" t="str">
        <f t="shared" si="8"/>
        <v>－</v>
      </c>
      <c r="X182" s="35">
        <f>19</f>
        <v>19</v>
      </c>
    </row>
    <row r="183" spans="1:24">
      <c r="A183" s="29" t="s">
        <v>42</v>
      </c>
      <c r="B183" s="29" t="s">
        <v>592</v>
      </c>
      <c r="C183" s="29" t="s">
        <v>593</v>
      </c>
      <c r="D183" s="29" t="s">
        <v>594</v>
      </c>
      <c r="E183" s="30" t="s">
        <v>46</v>
      </c>
      <c r="F183" s="31" t="s">
        <v>46</v>
      </c>
      <c r="G183" s="32" t="s">
        <v>46</v>
      </c>
      <c r="H183" s="27"/>
      <c r="I183" s="27" t="s">
        <v>47</v>
      </c>
      <c r="J183" s="33">
        <v>100</v>
      </c>
      <c r="K183" s="37">
        <f>2</f>
        <v>2</v>
      </c>
      <c r="L183" s="34" t="s">
        <v>48</v>
      </c>
      <c r="M183" s="37">
        <f>2</f>
        <v>2</v>
      </c>
      <c r="N183" s="34" t="s">
        <v>48</v>
      </c>
      <c r="O183" s="37">
        <f>1</f>
        <v>1</v>
      </c>
      <c r="P183" s="34" t="s">
        <v>48</v>
      </c>
      <c r="Q183" s="37">
        <f>2</f>
        <v>2</v>
      </c>
      <c r="R183" s="34" t="s">
        <v>50</v>
      </c>
      <c r="S183" s="36">
        <f>1.74</f>
        <v>1.74</v>
      </c>
      <c r="T183" s="33">
        <f>135000100</f>
        <v>135000100</v>
      </c>
      <c r="U183" s="33" t="str">
        <f t="shared" si="7"/>
        <v>－</v>
      </c>
      <c r="V183" s="33">
        <f>217640500</f>
        <v>217640500</v>
      </c>
      <c r="W183" s="33" t="str">
        <f t="shared" si="8"/>
        <v>－</v>
      </c>
      <c r="X183" s="35">
        <f>19</f>
        <v>19</v>
      </c>
    </row>
    <row r="184" spans="1:24">
      <c r="A184" s="29" t="s">
        <v>42</v>
      </c>
      <c r="B184" s="29" t="s">
        <v>595</v>
      </c>
      <c r="C184" s="29" t="s">
        <v>596</v>
      </c>
      <c r="D184" s="29" t="s">
        <v>597</v>
      </c>
      <c r="E184" s="30" t="s">
        <v>46</v>
      </c>
      <c r="F184" s="31" t="s">
        <v>46</v>
      </c>
      <c r="G184" s="32" t="s">
        <v>46</v>
      </c>
      <c r="H184" s="27"/>
      <c r="I184" s="27" t="s">
        <v>47</v>
      </c>
      <c r="J184" s="33">
        <v>10</v>
      </c>
      <c r="K184" s="37">
        <f>446</f>
        <v>446</v>
      </c>
      <c r="L184" s="34" t="s">
        <v>48</v>
      </c>
      <c r="M184" s="37">
        <f>498</f>
        <v>498</v>
      </c>
      <c r="N184" s="34" t="s">
        <v>92</v>
      </c>
      <c r="O184" s="37">
        <f>437</f>
        <v>437</v>
      </c>
      <c r="P184" s="34" t="s">
        <v>84</v>
      </c>
      <c r="Q184" s="37">
        <f>482</f>
        <v>482</v>
      </c>
      <c r="R184" s="34" t="s">
        <v>50</v>
      </c>
      <c r="S184" s="36">
        <f>478.37</f>
        <v>478.37</v>
      </c>
      <c r="T184" s="33">
        <f>663260</f>
        <v>663260</v>
      </c>
      <c r="U184" s="33" t="str">
        <f t="shared" si="7"/>
        <v>－</v>
      </c>
      <c r="V184" s="33">
        <f>312343690</f>
        <v>312343690</v>
      </c>
      <c r="W184" s="33" t="str">
        <f t="shared" si="8"/>
        <v>－</v>
      </c>
      <c r="X184" s="35">
        <f>19</f>
        <v>19</v>
      </c>
    </row>
    <row r="185" spans="1:24">
      <c r="A185" s="29" t="s">
        <v>42</v>
      </c>
      <c r="B185" s="29" t="s">
        <v>598</v>
      </c>
      <c r="C185" s="29" t="s">
        <v>599</v>
      </c>
      <c r="D185" s="29" t="s">
        <v>600</v>
      </c>
      <c r="E185" s="30" t="s">
        <v>46</v>
      </c>
      <c r="F185" s="31" t="s">
        <v>46</v>
      </c>
      <c r="G185" s="32" t="s">
        <v>46</v>
      </c>
      <c r="H185" s="27"/>
      <c r="I185" s="27" t="s">
        <v>47</v>
      </c>
      <c r="J185" s="33">
        <v>1</v>
      </c>
      <c r="K185" s="37">
        <f>1917</f>
        <v>1917</v>
      </c>
      <c r="L185" s="34" t="s">
        <v>48</v>
      </c>
      <c r="M185" s="37">
        <f>2222</f>
        <v>2222</v>
      </c>
      <c r="N185" s="34" t="s">
        <v>50</v>
      </c>
      <c r="O185" s="37">
        <f>1916</f>
        <v>1916</v>
      </c>
      <c r="P185" s="34" t="s">
        <v>84</v>
      </c>
      <c r="Q185" s="37">
        <f>2157</f>
        <v>2157</v>
      </c>
      <c r="R185" s="34" t="s">
        <v>50</v>
      </c>
      <c r="S185" s="36">
        <f>2074.71</f>
        <v>2074.71</v>
      </c>
      <c r="T185" s="33">
        <f>956</f>
        <v>956</v>
      </c>
      <c r="U185" s="33" t="str">
        <f t="shared" si="7"/>
        <v>－</v>
      </c>
      <c r="V185" s="33">
        <f>1976983</f>
        <v>1976983</v>
      </c>
      <c r="W185" s="33" t="str">
        <f t="shared" si="8"/>
        <v>－</v>
      </c>
      <c r="X185" s="35">
        <f>14</f>
        <v>14</v>
      </c>
    </row>
    <row r="186" spans="1:24">
      <c r="A186" s="29" t="s">
        <v>42</v>
      </c>
      <c r="B186" s="29" t="s">
        <v>601</v>
      </c>
      <c r="C186" s="29" t="s">
        <v>602</v>
      </c>
      <c r="D186" s="29" t="s">
        <v>603</v>
      </c>
      <c r="E186" s="30" t="s">
        <v>46</v>
      </c>
      <c r="F186" s="31" t="s">
        <v>46</v>
      </c>
      <c r="G186" s="32" t="s">
        <v>46</v>
      </c>
      <c r="H186" s="27"/>
      <c r="I186" s="27" t="s">
        <v>47</v>
      </c>
      <c r="J186" s="33">
        <v>100</v>
      </c>
      <c r="K186" s="37">
        <f>312</f>
        <v>312</v>
      </c>
      <c r="L186" s="34" t="s">
        <v>48</v>
      </c>
      <c r="M186" s="37">
        <f>323</f>
        <v>323</v>
      </c>
      <c r="N186" s="34" t="s">
        <v>69</v>
      </c>
      <c r="O186" s="37">
        <f>298</f>
        <v>298</v>
      </c>
      <c r="P186" s="34" t="s">
        <v>132</v>
      </c>
      <c r="Q186" s="37">
        <f>305</f>
        <v>305</v>
      </c>
      <c r="R186" s="34" t="s">
        <v>88</v>
      </c>
      <c r="S186" s="36">
        <f>312</f>
        <v>312</v>
      </c>
      <c r="T186" s="33">
        <f>9100</f>
        <v>9100</v>
      </c>
      <c r="U186" s="33" t="str">
        <f t="shared" si="7"/>
        <v>－</v>
      </c>
      <c r="V186" s="33">
        <f>2838400</f>
        <v>2838400</v>
      </c>
      <c r="W186" s="33" t="str">
        <f t="shared" si="8"/>
        <v>－</v>
      </c>
      <c r="X186" s="35">
        <f>15</f>
        <v>15</v>
      </c>
    </row>
    <row r="187" spans="1:24">
      <c r="A187" s="29" t="s">
        <v>42</v>
      </c>
      <c r="B187" s="29" t="s">
        <v>604</v>
      </c>
      <c r="C187" s="29" t="s">
        <v>605</v>
      </c>
      <c r="D187" s="29" t="s">
        <v>606</v>
      </c>
      <c r="E187" s="30" t="s">
        <v>46</v>
      </c>
      <c r="F187" s="31" t="s">
        <v>46</v>
      </c>
      <c r="G187" s="32" t="s">
        <v>46</v>
      </c>
      <c r="H187" s="27"/>
      <c r="I187" s="27" t="s">
        <v>47</v>
      </c>
      <c r="J187" s="33">
        <v>10</v>
      </c>
      <c r="K187" s="37">
        <f>3335</f>
        <v>3335</v>
      </c>
      <c r="L187" s="34" t="s">
        <v>48</v>
      </c>
      <c r="M187" s="37">
        <f>3475</f>
        <v>3475</v>
      </c>
      <c r="N187" s="34" t="s">
        <v>96</v>
      </c>
      <c r="O187" s="37">
        <f>3270</f>
        <v>3270</v>
      </c>
      <c r="P187" s="34" t="s">
        <v>88</v>
      </c>
      <c r="Q187" s="37">
        <f>3295</f>
        <v>3295</v>
      </c>
      <c r="R187" s="34" t="s">
        <v>50</v>
      </c>
      <c r="S187" s="36">
        <f>3378.16</f>
        <v>3378.16</v>
      </c>
      <c r="T187" s="33">
        <f>33810</f>
        <v>33810</v>
      </c>
      <c r="U187" s="33" t="str">
        <f t="shared" si="7"/>
        <v>－</v>
      </c>
      <c r="V187" s="33">
        <f>114145800</f>
        <v>114145800</v>
      </c>
      <c r="W187" s="33" t="str">
        <f t="shared" si="8"/>
        <v>－</v>
      </c>
      <c r="X187" s="35">
        <f>19</f>
        <v>19</v>
      </c>
    </row>
    <row r="188" spans="1:24">
      <c r="A188" s="29" t="s">
        <v>42</v>
      </c>
      <c r="B188" s="29" t="s">
        <v>607</v>
      </c>
      <c r="C188" s="29" t="s">
        <v>608</v>
      </c>
      <c r="D188" s="29" t="s">
        <v>609</v>
      </c>
      <c r="E188" s="30" t="s">
        <v>46</v>
      </c>
      <c r="F188" s="31" t="s">
        <v>46</v>
      </c>
      <c r="G188" s="32" t="s">
        <v>46</v>
      </c>
      <c r="H188" s="27"/>
      <c r="I188" s="27" t="s">
        <v>47</v>
      </c>
      <c r="J188" s="33">
        <v>10</v>
      </c>
      <c r="K188" s="37">
        <f>2024</f>
        <v>2024</v>
      </c>
      <c r="L188" s="34" t="s">
        <v>48</v>
      </c>
      <c r="M188" s="37">
        <f>2500</f>
        <v>2500</v>
      </c>
      <c r="N188" s="34" t="s">
        <v>84</v>
      </c>
      <c r="O188" s="37">
        <f>1726</f>
        <v>1726</v>
      </c>
      <c r="P188" s="34" t="s">
        <v>88</v>
      </c>
      <c r="Q188" s="37">
        <f>1749</f>
        <v>1749</v>
      </c>
      <c r="R188" s="34" t="s">
        <v>50</v>
      </c>
      <c r="S188" s="36">
        <f>1841.95</f>
        <v>1841.95</v>
      </c>
      <c r="T188" s="33">
        <f>25450</f>
        <v>25450</v>
      </c>
      <c r="U188" s="33">
        <f>10</f>
        <v>10</v>
      </c>
      <c r="V188" s="33">
        <f>48007610</f>
        <v>48007610</v>
      </c>
      <c r="W188" s="33">
        <f>17820</f>
        <v>17820</v>
      </c>
      <c r="X188" s="35">
        <f>19</f>
        <v>19</v>
      </c>
    </row>
    <row r="189" spans="1:24">
      <c r="A189" s="29" t="s">
        <v>42</v>
      </c>
      <c r="B189" s="29" t="s">
        <v>610</v>
      </c>
      <c r="C189" s="29" t="s">
        <v>611</v>
      </c>
      <c r="D189" s="29" t="s">
        <v>612</v>
      </c>
      <c r="E189" s="30" t="s">
        <v>46</v>
      </c>
      <c r="F189" s="31" t="s">
        <v>46</v>
      </c>
      <c r="G189" s="32" t="s">
        <v>46</v>
      </c>
      <c r="H189" s="27"/>
      <c r="I189" s="27" t="s">
        <v>47</v>
      </c>
      <c r="J189" s="33">
        <v>100</v>
      </c>
      <c r="K189" s="37">
        <f>74</f>
        <v>74</v>
      </c>
      <c r="L189" s="34" t="s">
        <v>48</v>
      </c>
      <c r="M189" s="37">
        <f>81</f>
        <v>81</v>
      </c>
      <c r="N189" s="34" t="s">
        <v>613</v>
      </c>
      <c r="O189" s="37">
        <f>73</f>
        <v>73</v>
      </c>
      <c r="P189" s="34" t="s">
        <v>176</v>
      </c>
      <c r="Q189" s="37">
        <f>75</f>
        <v>75</v>
      </c>
      <c r="R189" s="34" t="s">
        <v>50</v>
      </c>
      <c r="S189" s="36">
        <f>76.16</f>
        <v>76.16</v>
      </c>
      <c r="T189" s="33">
        <f>7609800</f>
        <v>7609800</v>
      </c>
      <c r="U189" s="33" t="str">
        <f>"－"</f>
        <v>－</v>
      </c>
      <c r="V189" s="33">
        <f>584422500</f>
        <v>584422500</v>
      </c>
      <c r="W189" s="33" t="str">
        <f>"－"</f>
        <v>－</v>
      </c>
      <c r="X189" s="35">
        <f>19</f>
        <v>19</v>
      </c>
    </row>
    <row r="190" spans="1:24">
      <c r="A190" s="29" t="s">
        <v>42</v>
      </c>
      <c r="B190" s="29" t="s">
        <v>614</v>
      </c>
      <c r="C190" s="29" t="s">
        <v>615</v>
      </c>
      <c r="D190" s="29" t="s">
        <v>616</v>
      </c>
      <c r="E190" s="30" t="s">
        <v>46</v>
      </c>
      <c r="F190" s="31" t="s">
        <v>46</v>
      </c>
      <c r="G190" s="32" t="s">
        <v>46</v>
      </c>
      <c r="H190" s="27"/>
      <c r="I190" s="27" t="s">
        <v>47</v>
      </c>
      <c r="J190" s="33">
        <v>100</v>
      </c>
      <c r="K190" s="37">
        <f>86</f>
        <v>86</v>
      </c>
      <c r="L190" s="34" t="s">
        <v>48</v>
      </c>
      <c r="M190" s="37">
        <f>98</f>
        <v>98</v>
      </c>
      <c r="N190" s="34" t="s">
        <v>50</v>
      </c>
      <c r="O190" s="37">
        <f>85</f>
        <v>85</v>
      </c>
      <c r="P190" s="34" t="s">
        <v>84</v>
      </c>
      <c r="Q190" s="37">
        <f>97</f>
        <v>97</v>
      </c>
      <c r="R190" s="34" t="s">
        <v>50</v>
      </c>
      <c r="S190" s="36">
        <f>92.16</f>
        <v>92.16</v>
      </c>
      <c r="T190" s="33">
        <f>4121200</f>
        <v>4121200</v>
      </c>
      <c r="U190" s="33" t="str">
        <f>"－"</f>
        <v>－</v>
      </c>
      <c r="V190" s="33">
        <f>379775700</f>
        <v>379775700</v>
      </c>
      <c r="W190" s="33" t="str">
        <f>"－"</f>
        <v>－</v>
      </c>
      <c r="X190" s="35">
        <f>19</f>
        <v>19</v>
      </c>
    </row>
    <row r="191" spans="1:24">
      <c r="A191" s="29" t="s">
        <v>42</v>
      </c>
      <c r="B191" s="29" t="s">
        <v>617</v>
      </c>
      <c r="C191" s="29" t="s">
        <v>618</v>
      </c>
      <c r="D191" s="29" t="s">
        <v>619</v>
      </c>
      <c r="E191" s="30" t="s">
        <v>46</v>
      </c>
      <c r="F191" s="31" t="s">
        <v>46</v>
      </c>
      <c r="G191" s="32" t="s">
        <v>46</v>
      </c>
      <c r="H191" s="27"/>
      <c r="I191" s="27" t="s">
        <v>47</v>
      </c>
      <c r="J191" s="33">
        <v>10</v>
      </c>
      <c r="K191" s="37">
        <f>2383</f>
        <v>2383</v>
      </c>
      <c r="L191" s="34" t="s">
        <v>48</v>
      </c>
      <c r="M191" s="37">
        <f>2598</f>
        <v>2598</v>
      </c>
      <c r="N191" s="34" t="s">
        <v>69</v>
      </c>
      <c r="O191" s="37">
        <f>2327</f>
        <v>2327</v>
      </c>
      <c r="P191" s="34" t="s">
        <v>176</v>
      </c>
      <c r="Q191" s="37">
        <f>2449</f>
        <v>2449</v>
      </c>
      <c r="R191" s="34" t="s">
        <v>50</v>
      </c>
      <c r="S191" s="36">
        <f>2468.42</f>
        <v>2468.42</v>
      </c>
      <c r="T191" s="33">
        <f>36020</f>
        <v>36020</v>
      </c>
      <c r="U191" s="33" t="str">
        <f>"－"</f>
        <v>－</v>
      </c>
      <c r="V191" s="33">
        <f>89231500</f>
        <v>89231500</v>
      </c>
      <c r="W191" s="33" t="str">
        <f>"－"</f>
        <v>－</v>
      </c>
      <c r="X191" s="35">
        <f>19</f>
        <v>19</v>
      </c>
    </row>
    <row r="192" spans="1:24">
      <c r="A192" s="29" t="s">
        <v>42</v>
      </c>
      <c r="B192" s="29" t="s">
        <v>620</v>
      </c>
      <c r="C192" s="29" t="s">
        <v>621</v>
      </c>
      <c r="D192" s="29" t="s">
        <v>622</v>
      </c>
      <c r="E192" s="30" t="s">
        <v>46</v>
      </c>
      <c r="F192" s="31" t="s">
        <v>46</v>
      </c>
      <c r="G192" s="32" t="s">
        <v>46</v>
      </c>
      <c r="H192" s="27"/>
      <c r="I192" s="27" t="s">
        <v>47</v>
      </c>
      <c r="J192" s="33">
        <v>10</v>
      </c>
      <c r="K192" s="37">
        <f>1581</f>
        <v>1581</v>
      </c>
      <c r="L192" s="34" t="s">
        <v>48</v>
      </c>
      <c r="M192" s="37">
        <f>1629</f>
        <v>1629</v>
      </c>
      <c r="N192" s="34" t="s">
        <v>268</v>
      </c>
      <c r="O192" s="37">
        <f>1548</f>
        <v>1548</v>
      </c>
      <c r="P192" s="34" t="s">
        <v>84</v>
      </c>
      <c r="Q192" s="37">
        <f>1599</f>
        <v>1599</v>
      </c>
      <c r="R192" s="34" t="s">
        <v>50</v>
      </c>
      <c r="S192" s="36">
        <f>1598.68</f>
        <v>1598.68</v>
      </c>
      <c r="T192" s="33">
        <f>22010</f>
        <v>22010</v>
      </c>
      <c r="U192" s="33">
        <f>10</f>
        <v>10</v>
      </c>
      <c r="V192" s="33">
        <f>34934630</f>
        <v>34934630</v>
      </c>
      <c r="W192" s="33">
        <f>16140</f>
        <v>16140</v>
      </c>
      <c r="X192" s="35">
        <f>19</f>
        <v>19</v>
      </c>
    </row>
    <row r="193" spans="1:24">
      <c r="A193" s="29" t="s">
        <v>42</v>
      </c>
      <c r="B193" s="29" t="s">
        <v>623</v>
      </c>
      <c r="C193" s="29" t="s">
        <v>624</v>
      </c>
      <c r="D193" s="29" t="s">
        <v>625</v>
      </c>
      <c r="E193" s="30" t="s">
        <v>46</v>
      </c>
      <c r="F193" s="31" t="s">
        <v>46</v>
      </c>
      <c r="G193" s="32" t="s">
        <v>46</v>
      </c>
      <c r="H193" s="27"/>
      <c r="I193" s="27" t="s">
        <v>47</v>
      </c>
      <c r="J193" s="33">
        <v>10</v>
      </c>
      <c r="K193" s="37">
        <f>117</f>
        <v>117</v>
      </c>
      <c r="L193" s="34" t="s">
        <v>48</v>
      </c>
      <c r="M193" s="37">
        <f>131</f>
        <v>131</v>
      </c>
      <c r="N193" s="34" t="s">
        <v>92</v>
      </c>
      <c r="O193" s="37">
        <f>115</f>
        <v>115</v>
      </c>
      <c r="P193" s="34" t="s">
        <v>84</v>
      </c>
      <c r="Q193" s="37">
        <f>127</f>
        <v>127</v>
      </c>
      <c r="R193" s="34" t="s">
        <v>50</v>
      </c>
      <c r="S193" s="36">
        <f>125.53</f>
        <v>125.53</v>
      </c>
      <c r="T193" s="33">
        <f>152401560</f>
        <v>152401560</v>
      </c>
      <c r="U193" s="33">
        <f>81610</f>
        <v>81610</v>
      </c>
      <c r="V193" s="33">
        <f>18999971320</f>
        <v>18999971320</v>
      </c>
      <c r="W193" s="33">
        <f>10344030</f>
        <v>10344030</v>
      </c>
      <c r="X193" s="35">
        <f>19</f>
        <v>19</v>
      </c>
    </row>
    <row r="194" spans="1:24">
      <c r="A194" s="29" t="s">
        <v>42</v>
      </c>
      <c r="B194" s="29" t="s">
        <v>626</v>
      </c>
      <c r="C194" s="29" t="s">
        <v>627</v>
      </c>
      <c r="D194" s="29" t="s">
        <v>628</v>
      </c>
      <c r="E194" s="30" t="s">
        <v>46</v>
      </c>
      <c r="F194" s="31" t="s">
        <v>46</v>
      </c>
      <c r="G194" s="32" t="s">
        <v>46</v>
      </c>
      <c r="H194" s="27"/>
      <c r="I194" s="27" t="s">
        <v>629</v>
      </c>
      <c r="J194" s="33">
        <v>1</v>
      </c>
      <c r="K194" s="37">
        <f>10590</f>
        <v>10590</v>
      </c>
      <c r="L194" s="34" t="s">
        <v>48</v>
      </c>
      <c r="M194" s="37">
        <f>12750</f>
        <v>12750</v>
      </c>
      <c r="N194" s="34" t="s">
        <v>268</v>
      </c>
      <c r="O194" s="37">
        <f>10060</f>
        <v>10060</v>
      </c>
      <c r="P194" s="34" t="s">
        <v>48</v>
      </c>
      <c r="Q194" s="37">
        <f>11260</f>
        <v>11260</v>
      </c>
      <c r="R194" s="34" t="s">
        <v>50</v>
      </c>
      <c r="S194" s="36">
        <f>11434.74</f>
        <v>11434.74</v>
      </c>
      <c r="T194" s="33">
        <f>11611</f>
        <v>11611</v>
      </c>
      <c r="U194" s="33">
        <f>5</f>
        <v>5</v>
      </c>
      <c r="V194" s="33">
        <f>135130740</f>
        <v>135130740</v>
      </c>
      <c r="W194" s="33">
        <f>53160</f>
        <v>53160</v>
      </c>
      <c r="X194" s="35">
        <f>19</f>
        <v>19</v>
      </c>
    </row>
    <row r="195" spans="1:24">
      <c r="A195" s="29" t="s">
        <v>42</v>
      </c>
      <c r="B195" s="29" t="s">
        <v>630</v>
      </c>
      <c r="C195" s="29" t="s">
        <v>631</v>
      </c>
      <c r="D195" s="29" t="s">
        <v>632</v>
      </c>
      <c r="E195" s="30" t="s">
        <v>46</v>
      </c>
      <c r="F195" s="31" t="s">
        <v>46</v>
      </c>
      <c r="G195" s="32" t="s">
        <v>46</v>
      </c>
      <c r="H195" s="27"/>
      <c r="I195" s="27" t="s">
        <v>629</v>
      </c>
      <c r="J195" s="33">
        <v>1</v>
      </c>
      <c r="K195" s="37">
        <f>5390</f>
        <v>5390</v>
      </c>
      <c r="L195" s="34" t="s">
        <v>48</v>
      </c>
      <c r="M195" s="37">
        <f>5420</f>
        <v>5420</v>
      </c>
      <c r="N195" s="34" t="s">
        <v>84</v>
      </c>
      <c r="O195" s="37">
        <f>4845</f>
        <v>4845</v>
      </c>
      <c r="P195" s="34" t="s">
        <v>176</v>
      </c>
      <c r="Q195" s="37">
        <f>5200</f>
        <v>5200</v>
      </c>
      <c r="R195" s="34" t="s">
        <v>50</v>
      </c>
      <c r="S195" s="36">
        <f>5125.79</f>
        <v>5125.79</v>
      </c>
      <c r="T195" s="33">
        <f>2035</f>
        <v>2035</v>
      </c>
      <c r="U195" s="33" t="str">
        <f>"－"</f>
        <v>－</v>
      </c>
      <c r="V195" s="33">
        <f>10220480</f>
        <v>10220480</v>
      </c>
      <c r="W195" s="33" t="str">
        <f>"－"</f>
        <v>－</v>
      </c>
      <c r="X195" s="35">
        <f>19</f>
        <v>19</v>
      </c>
    </row>
    <row r="196" spans="1:24">
      <c r="A196" s="29" t="s">
        <v>42</v>
      </c>
      <c r="B196" s="29" t="s">
        <v>633</v>
      </c>
      <c r="C196" s="29" t="s">
        <v>634</v>
      </c>
      <c r="D196" s="29" t="s">
        <v>635</v>
      </c>
      <c r="E196" s="30" t="s">
        <v>46</v>
      </c>
      <c r="F196" s="31" t="s">
        <v>46</v>
      </c>
      <c r="G196" s="32" t="s">
        <v>46</v>
      </c>
      <c r="H196" s="27"/>
      <c r="I196" s="27" t="s">
        <v>629</v>
      </c>
      <c r="J196" s="33">
        <v>1</v>
      </c>
      <c r="K196" s="37">
        <f>15780</f>
        <v>15780</v>
      </c>
      <c r="L196" s="34" t="s">
        <v>48</v>
      </c>
      <c r="M196" s="37">
        <f>20530</f>
        <v>20530</v>
      </c>
      <c r="N196" s="34" t="s">
        <v>240</v>
      </c>
      <c r="O196" s="37">
        <f>15780</f>
        <v>15780</v>
      </c>
      <c r="P196" s="34" t="s">
        <v>48</v>
      </c>
      <c r="Q196" s="37">
        <f>17470</f>
        <v>17470</v>
      </c>
      <c r="R196" s="34" t="s">
        <v>50</v>
      </c>
      <c r="S196" s="36">
        <f>18837.89</f>
        <v>18837.89</v>
      </c>
      <c r="T196" s="33">
        <f>2913</f>
        <v>2913</v>
      </c>
      <c r="U196" s="33" t="str">
        <f>"－"</f>
        <v>－</v>
      </c>
      <c r="V196" s="33">
        <f>54016920</f>
        <v>54016920</v>
      </c>
      <c r="W196" s="33" t="str">
        <f>"－"</f>
        <v>－</v>
      </c>
      <c r="X196" s="35">
        <f>19</f>
        <v>19</v>
      </c>
    </row>
    <row r="197" spans="1:24">
      <c r="A197" s="29" t="s">
        <v>42</v>
      </c>
      <c r="B197" s="29" t="s">
        <v>636</v>
      </c>
      <c r="C197" s="29" t="s">
        <v>637</v>
      </c>
      <c r="D197" s="29" t="s">
        <v>638</v>
      </c>
      <c r="E197" s="30" t="s">
        <v>46</v>
      </c>
      <c r="F197" s="31" t="s">
        <v>46</v>
      </c>
      <c r="G197" s="32" t="s">
        <v>46</v>
      </c>
      <c r="H197" s="27"/>
      <c r="I197" s="27" t="s">
        <v>629</v>
      </c>
      <c r="J197" s="33">
        <v>1</v>
      </c>
      <c r="K197" s="37">
        <f>6430</f>
        <v>6430</v>
      </c>
      <c r="L197" s="34" t="s">
        <v>48</v>
      </c>
      <c r="M197" s="37">
        <f>6490</f>
        <v>6490</v>
      </c>
      <c r="N197" s="34" t="s">
        <v>48</v>
      </c>
      <c r="O197" s="37">
        <f>5670</f>
        <v>5670</v>
      </c>
      <c r="P197" s="34" t="s">
        <v>176</v>
      </c>
      <c r="Q197" s="37">
        <f>5970</f>
        <v>5970</v>
      </c>
      <c r="R197" s="34" t="s">
        <v>50</v>
      </c>
      <c r="S197" s="36">
        <f>5920.53</f>
        <v>5920.53</v>
      </c>
      <c r="T197" s="33">
        <f>32718</f>
        <v>32718</v>
      </c>
      <c r="U197" s="33" t="str">
        <f>"－"</f>
        <v>－</v>
      </c>
      <c r="V197" s="33">
        <f>193008860</f>
        <v>193008860</v>
      </c>
      <c r="W197" s="33" t="str">
        <f>"－"</f>
        <v>－</v>
      </c>
      <c r="X197" s="35">
        <f>19</f>
        <v>19</v>
      </c>
    </row>
    <row r="198" spans="1:24">
      <c r="A198" s="29" t="s">
        <v>42</v>
      </c>
      <c r="B198" s="29" t="s">
        <v>639</v>
      </c>
      <c r="C198" s="29" t="s">
        <v>640</v>
      </c>
      <c r="D198" s="29" t="s">
        <v>641</v>
      </c>
      <c r="E198" s="30" t="s">
        <v>46</v>
      </c>
      <c r="F198" s="31" t="s">
        <v>46</v>
      </c>
      <c r="G198" s="32" t="s">
        <v>46</v>
      </c>
      <c r="H198" s="27"/>
      <c r="I198" s="27" t="s">
        <v>629</v>
      </c>
      <c r="J198" s="33">
        <v>1</v>
      </c>
      <c r="K198" s="37">
        <f>340</f>
        <v>340</v>
      </c>
      <c r="L198" s="34" t="s">
        <v>48</v>
      </c>
      <c r="M198" s="37">
        <f>413</f>
        <v>413</v>
      </c>
      <c r="N198" s="34" t="s">
        <v>50</v>
      </c>
      <c r="O198" s="37">
        <f>339</f>
        <v>339</v>
      </c>
      <c r="P198" s="34" t="s">
        <v>240</v>
      </c>
      <c r="Q198" s="37">
        <f>409</f>
        <v>409</v>
      </c>
      <c r="R198" s="34" t="s">
        <v>50</v>
      </c>
      <c r="S198" s="36">
        <f>363.05</f>
        <v>363.05</v>
      </c>
      <c r="T198" s="33">
        <f>25513178</f>
        <v>25513178</v>
      </c>
      <c r="U198" s="33">
        <f>8</f>
        <v>8</v>
      </c>
      <c r="V198" s="33">
        <f>9395157005</f>
        <v>9395157005</v>
      </c>
      <c r="W198" s="33">
        <f>2888</f>
        <v>2888</v>
      </c>
      <c r="X198" s="35">
        <f>19</f>
        <v>19</v>
      </c>
    </row>
    <row r="199" spans="1:24">
      <c r="A199" s="29" t="s">
        <v>42</v>
      </c>
      <c r="B199" s="29" t="s">
        <v>642</v>
      </c>
      <c r="C199" s="29" t="s">
        <v>643</v>
      </c>
      <c r="D199" s="29" t="s">
        <v>644</v>
      </c>
      <c r="E199" s="30" t="s">
        <v>46</v>
      </c>
      <c r="F199" s="31" t="s">
        <v>46</v>
      </c>
      <c r="G199" s="32" t="s">
        <v>46</v>
      </c>
      <c r="H199" s="27"/>
      <c r="I199" s="27" t="s">
        <v>629</v>
      </c>
      <c r="J199" s="33">
        <v>1</v>
      </c>
      <c r="K199" s="37">
        <f>18060</f>
        <v>18060</v>
      </c>
      <c r="L199" s="34" t="s">
        <v>48</v>
      </c>
      <c r="M199" s="37">
        <f>18680</f>
        <v>18680</v>
      </c>
      <c r="N199" s="34" t="s">
        <v>77</v>
      </c>
      <c r="O199" s="37">
        <f>16320</f>
        <v>16320</v>
      </c>
      <c r="P199" s="34" t="s">
        <v>100</v>
      </c>
      <c r="Q199" s="37">
        <f>17140</f>
        <v>17140</v>
      </c>
      <c r="R199" s="34" t="s">
        <v>50</v>
      </c>
      <c r="S199" s="36">
        <f>17388.42</f>
        <v>17388.419999999998</v>
      </c>
      <c r="T199" s="33">
        <f>52429</f>
        <v>52429</v>
      </c>
      <c r="U199" s="33" t="str">
        <f>"－"</f>
        <v>－</v>
      </c>
      <c r="V199" s="33">
        <f>911792000</f>
        <v>911792000</v>
      </c>
      <c r="W199" s="33" t="str">
        <f>"－"</f>
        <v>－</v>
      </c>
      <c r="X199" s="35">
        <f>19</f>
        <v>19</v>
      </c>
    </row>
    <row r="200" spans="1:24">
      <c r="A200" s="29" t="s">
        <v>42</v>
      </c>
      <c r="B200" s="29" t="s">
        <v>645</v>
      </c>
      <c r="C200" s="29" t="s">
        <v>646</v>
      </c>
      <c r="D200" s="29" t="s">
        <v>647</v>
      </c>
      <c r="E200" s="30" t="s">
        <v>46</v>
      </c>
      <c r="F200" s="31" t="s">
        <v>46</v>
      </c>
      <c r="G200" s="32" t="s">
        <v>46</v>
      </c>
      <c r="H200" s="27"/>
      <c r="I200" s="27" t="s">
        <v>629</v>
      </c>
      <c r="J200" s="33">
        <v>1</v>
      </c>
      <c r="K200" s="37">
        <f>5620</f>
        <v>5620</v>
      </c>
      <c r="L200" s="34" t="s">
        <v>48</v>
      </c>
      <c r="M200" s="37">
        <f>5850</f>
        <v>5850</v>
      </c>
      <c r="N200" s="34" t="s">
        <v>100</v>
      </c>
      <c r="O200" s="37">
        <f>5480</f>
        <v>5480</v>
      </c>
      <c r="P200" s="34" t="s">
        <v>84</v>
      </c>
      <c r="Q200" s="37">
        <f>5720</f>
        <v>5720</v>
      </c>
      <c r="R200" s="34" t="s">
        <v>50</v>
      </c>
      <c r="S200" s="36">
        <f>5687.89</f>
        <v>5687.89</v>
      </c>
      <c r="T200" s="33">
        <f>6216</f>
        <v>6216</v>
      </c>
      <c r="U200" s="33" t="str">
        <f>"－"</f>
        <v>－</v>
      </c>
      <c r="V200" s="33">
        <f>35257340</f>
        <v>35257340</v>
      </c>
      <c r="W200" s="33" t="str">
        <f>"－"</f>
        <v>－</v>
      </c>
      <c r="X200" s="35">
        <f>19</f>
        <v>19</v>
      </c>
    </row>
    <row r="201" spans="1:24">
      <c r="A201" s="29" t="s">
        <v>42</v>
      </c>
      <c r="B201" s="29" t="s">
        <v>648</v>
      </c>
      <c r="C201" s="29" t="s">
        <v>649</v>
      </c>
      <c r="D201" s="29" t="s">
        <v>650</v>
      </c>
      <c r="E201" s="30" t="s">
        <v>46</v>
      </c>
      <c r="F201" s="31" t="s">
        <v>46</v>
      </c>
      <c r="G201" s="32" t="s">
        <v>46</v>
      </c>
      <c r="H201" s="27"/>
      <c r="I201" s="27" t="s">
        <v>629</v>
      </c>
      <c r="J201" s="33">
        <v>1</v>
      </c>
      <c r="K201" s="37">
        <f>290</f>
        <v>290</v>
      </c>
      <c r="L201" s="34" t="s">
        <v>48</v>
      </c>
      <c r="M201" s="37">
        <f>360</f>
        <v>360</v>
      </c>
      <c r="N201" s="34" t="s">
        <v>92</v>
      </c>
      <c r="O201" s="37">
        <f>279</f>
        <v>279</v>
      </c>
      <c r="P201" s="34" t="s">
        <v>84</v>
      </c>
      <c r="Q201" s="37">
        <f>331</f>
        <v>331</v>
      </c>
      <c r="R201" s="34" t="s">
        <v>50</v>
      </c>
      <c r="S201" s="36">
        <f>327.79</f>
        <v>327.79</v>
      </c>
      <c r="T201" s="33">
        <f>186866438</f>
        <v>186866438</v>
      </c>
      <c r="U201" s="33">
        <f>261981</f>
        <v>261981</v>
      </c>
      <c r="V201" s="33">
        <f>60727672526</f>
        <v>60727672526</v>
      </c>
      <c r="W201" s="33">
        <f>85773913</f>
        <v>85773913</v>
      </c>
      <c r="X201" s="35">
        <f>19</f>
        <v>19</v>
      </c>
    </row>
    <row r="202" spans="1:24">
      <c r="A202" s="29" t="s">
        <v>42</v>
      </c>
      <c r="B202" s="29" t="s">
        <v>651</v>
      </c>
      <c r="C202" s="29" t="s">
        <v>652</v>
      </c>
      <c r="D202" s="29" t="s">
        <v>653</v>
      </c>
      <c r="E202" s="30" t="s">
        <v>46</v>
      </c>
      <c r="F202" s="31" t="s">
        <v>46</v>
      </c>
      <c r="G202" s="32" t="s">
        <v>46</v>
      </c>
      <c r="H202" s="27"/>
      <c r="I202" s="27" t="s">
        <v>629</v>
      </c>
      <c r="J202" s="33">
        <v>1</v>
      </c>
      <c r="K202" s="37">
        <f>5280</f>
        <v>5280</v>
      </c>
      <c r="L202" s="34" t="s">
        <v>48</v>
      </c>
      <c r="M202" s="37">
        <f>5320</f>
        <v>5320</v>
      </c>
      <c r="N202" s="34" t="s">
        <v>84</v>
      </c>
      <c r="O202" s="37">
        <f>4715</f>
        <v>4715</v>
      </c>
      <c r="P202" s="34" t="s">
        <v>92</v>
      </c>
      <c r="Q202" s="37">
        <f>4870</f>
        <v>4870</v>
      </c>
      <c r="R202" s="34" t="s">
        <v>50</v>
      </c>
      <c r="S202" s="36">
        <f>4913.95</f>
        <v>4913.95</v>
      </c>
      <c r="T202" s="33">
        <f>151029</f>
        <v>151029</v>
      </c>
      <c r="U202" s="33">
        <f>1</f>
        <v>1</v>
      </c>
      <c r="V202" s="33">
        <f>748377035</f>
        <v>748377035</v>
      </c>
      <c r="W202" s="33">
        <f>4810</f>
        <v>4810</v>
      </c>
      <c r="X202" s="35">
        <f>19</f>
        <v>19</v>
      </c>
    </row>
    <row r="203" spans="1:24">
      <c r="A203" s="29" t="s">
        <v>42</v>
      </c>
      <c r="B203" s="29" t="s">
        <v>654</v>
      </c>
      <c r="C203" s="29" t="s">
        <v>655</v>
      </c>
      <c r="D203" s="29" t="s">
        <v>656</v>
      </c>
      <c r="E203" s="30" t="s">
        <v>46</v>
      </c>
      <c r="F203" s="31" t="s">
        <v>46</v>
      </c>
      <c r="G203" s="32" t="s">
        <v>46</v>
      </c>
      <c r="H203" s="27"/>
      <c r="I203" s="27" t="s">
        <v>629</v>
      </c>
      <c r="J203" s="33">
        <v>1</v>
      </c>
      <c r="K203" s="37">
        <f>24430</f>
        <v>24430</v>
      </c>
      <c r="L203" s="34" t="s">
        <v>48</v>
      </c>
      <c r="M203" s="37">
        <f>25490</f>
        <v>25490</v>
      </c>
      <c r="N203" s="34" t="s">
        <v>96</v>
      </c>
      <c r="O203" s="37">
        <f>23700</f>
        <v>23700</v>
      </c>
      <c r="P203" s="34" t="s">
        <v>88</v>
      </c>
      <c r="Q203" s="37">
        <f>23920</f>
        <v>23920</v>
      </c>
      <c r="R203" s="34" t="s">
        <v>50</v>
      </c>
      <c r="S203" s="36">
        <f>24812.11</f>
        <v>24812.11</v>
      </c>
      <c r="T203" s="33">
        <f>170990</f>
        <v>170990</v>
      </c>
      <c r="U203" s="33">
        <f>7195</f>
        <v>7195</v>
      </c>
      <c r="V203" s="33">
        <f>4236557900</f>
        <v>4236557900</v>
      </c>
      <c r="W203" s="33">
        <f>179294700</f>
        <v>179294700</v>
      </c>
      <c r="X203" s="35">
        <f>19</f>
        <v>19</v>
      </c>
    </row>
    <row r="204" spans="1:24">
      <c r="A204" s="29" t="s">
        <v>42</v>
      </c>
      <c r="B204" s="29" t="s">
        <v>657</v>
      </c>
      <c r="C204" s="29" t="s">
        <v>658</v>
      </c>
      <c r="D204" s="29" t="s">
        <v>659</v>
      </c>
      <c r="E204" s="30" t="s">
        <v>46</v>
      </c>
      <c r="F204" s="31" t="s">
        <v>46</v>
      </c>
      <c r="G204" s="32" t="s">
        <v>46</v>
      </c>
      <c r="H204" s="27"/>
      <c r="I204" s="27" t="s">
        <v>629</v>
      </c>
      <c r="J204" s="33">
        <v>1</v>
      </c>
      <c r="K204" s="37">
        <f>3445</f>
        <v>3445</v>
      </c>
      <c r="L204" s="34" t="s">
        <v>48</v>
      </c>
      <c r="M204" s="37">
        <f>3500</f>
        <v>3500</v>
      </c>
      <c r="N204" s="34" t="s">
        <v>84</v>
      </c>
      <c r="O204" s="37">
        <f>3370</f>
        <v>3370</v>
      </c>
      <c r="P204" s="34" t="s">
        <v>268</v>
      </c>
      <c r="Q204" s="37">
        <f>3480</f>
        <v>3480</v>
      </c>
      <c r="R204" s="34" t="s">
        <v>50</v>
      </c>
      <c r="S204" s="36">
        <f>3425.79</f>
        <v>3425.79</v>
      </c>
      <c r="T204" s="33">
        <f>353112</f>
        <v>353112</v>
      </c>
      <c r="U204" s="33">
        <f>18003</f>
        <v>18003</v>
      </c>
      <c r="V204" s="33">
        <f>1210650605</f>
        <v>1210650605</v>
      </c>
      <c r="W204" s="33">
        <f>60942345</f>
        <v>60942345</v>
      </c>
      <c r="X204" s="35">
        <f>19</f>
        <v>19</v>
      </c>
    </row>
    <row r="205" spans="1:24">
      <c r="A205" s="29" t="s">
        <v>42</v>
      </c>
      <c r="B205" s="29" t="s">
        <v>660</v>
      </c>
      <c r="C205" s="29" t="s">
        <v>661</v>
      </c>
      <c r="D205" s="29" t="s">
        <v>662</v>
      </c>
      <c r="E205" s="30" t="s">
        <v>46</v>
      </c>
      <c r="F205" s="31" t="s">
        <v>46</v>
      </c>
      <c r="G205" s="32" t="s">
        <v>46</v>
      </c>
      <c r="H205" s="27"/>
      <c r="I205" s="27" t="s">
        <v>629</v>
      </c>
      <c r="J205" s="33">
        <v>1</v>
      </c>
      <c r="K205" s="37">
        <f>13000</f>
        <v>13000</v>
      </c>
      <c r="L205" s="34" t="s">
        <v>48</v>
      </c>
      <c r="M205" s="37">
        <f>13900</f>
        <v>13900</v>
      </c>
      <c r="N205" s="34" t="s">
        <v>176</v>
      </c>
      <c r="O205" s="37">
        <f>12740</f>
        <v>12740</v>
      </c>
      <c r="P205" s="34" t="s">
        <v>48</v>
      </c>
      <c r="Q205" s="37">
        <f>12820</f>
        <v>12820</v>
      </c>
      <c r="R205" s="34" t="s">
        <v>50</v>
      </c>
      <c r="S205" s="36">
        <f>13190</f>
        <v>13190</v>
      </c>
      <c r="T205" s="33">
        <f>121890</f>
        <v>121890</v>
      </c>
      <c r="U205" s="33">
        <f>2500</f>
        <v>2500</v>
      </c>
      <c r="V205" s="33">
        <f>1625911530</f>
        <v>1625911530</v>
      </c>
      <c r="W205" s="33">
        <f>34195000</f>
        <v>34195000</v>
      </c>
      <c r="X205" s="35">
        <f>19</f>
        <v>19</v>
      </c>
    </row>
    <row r="206" spans="1:24">
      <c r="A206" s="29" t="s">
        <v>42</v>
      </c>
      <c r="B206" s="29" t="s">
        <v>663</v>
      </c>
      <c r="C206" s="29" t="s">
        <v>664</v>
      </c>
      <c r="D206" s="29" t="s">
        <v>665</v>
      </c>
      <c r="E206" s="30" t="s">
        <v>46</v>
      </c>
      <c r="F206" s="31" t="s">
        <v>46</v>
      </c>
      <c r="G206" s="32" t="s">
        <v>46</v>
      </c>
      <c r="H206" s="27"/>
      <c r="I206" s="27" t="s">
        <v>629</v>
      </c>
      <c r="J206" s="33">
        <v>1</v>
      </c>
      <c r="K206" s="37">
        <f>12050</f>
        <v>12050</v>
      </c>
      <c r="L206" s="34" t="s">
        <v>48</v>
      </c>
      <c r="M206" s="37">
        <f>12680</f>
        <v>12680</v>
      </c>
      <c r="N206" s="34" t="s">
        <v>69</v>
      </c>
      <c r="O206" s="37">
        <f>11710</f>
        <v>11710</v>
      </c>
      <c r="P206" s="34" t="s">
        <v>77</v>
      </c>
      <c r="Q206" s="37">
        <f>11860</f>
        <v>11860</v>
      </c>
      <c r="R206" s="34" t="s">
        <v>50</v>
      </c>
      <c r="S206" s="36">
        <f>12193.33</f>
        <v>12193.33</v>
      </c>
      <c r="T206" s="33">
        <f>6310</f>
        <v>6310</v>
      </c>
      <c r="U206" s="33">
        <f>1800</f>
        <v>1800</v>
      </c>
      <c r="V206" s="33">
        <f>78194080</f>
        <v>78194080</v>
      </c>
      <c r="W206" s="33">
        <f>23002200</f>
        <v>23002200</v>
      </c>
      <c r="X206" s="35">
        <f>18</f>
        <v>18</v>
      </c>
    </row>
    <row r="207" spans="1:24">
      <c r="A207" s="29" t="s">
        <v>42</v>
      </c>
      <c r="B207" s="29" t="s">
        <v>666</v>
      </c>
      <c r="C207" s="29" t="s">
        <v>667</v>
      </c>
      <c r="D207" s="29" t="s">
        <v>668</v>
      </c>
      <c r="E207" s="30" t="s">
        <v>46</v>
      </c>
      <c r="F207" s="31" t="s">
        <v>46</v>
      </c>
      <c r="G207" s="32" t="s">
        <v>46</v>
      </c>
      <c r="H207" s="27"/>
      <c r="I207" s="27" t="s">
        <v>629</v>
      </c>
      <c r="J207" s="33">
        <v>1</v>
      </c>
      <c r="K207" s="37">
        <f>15300</f>
        <v>15300</v>
      </c>
      <c r="L207" s="34" t="s">
        <v>48</v>
      </c>
      <c r="M207" s="37">
        <f>15780</f>
        <v>15780</v>
      </c>
      <c r="N207" s="34" t="s">
        <v>49</v>
      </c>
      <c r="O207" s="37">
        <f>14970</f>
        <v>14970</v>
      </c>
      <c r="P207" s="34" t="s">
        <v>77</v>
      </c>
      <c r="Q207" s="37">
        <f>15270</f>
        <v>15270</v>
      </c>
      <c r="R207" s="34" t="s">
        <v>50</v>
      </c>
      <c r="S207" s="36">
        <f>15463.16</f>
        <v>15463.16</v>
      </c>
      <c r="T207" s="33">
        <f>22025</f>
        <v>22025</v>
      </c>
      <c r="U207" s="33">
        <f>4000</f>
        <v>4000</v>
      </c>
      <c r="V207" s="33">
        <f>341980220</f>
        <v>341980220</v>
      </c>
      <c r="W207" s="33">
        <f>62684000</f>
        <v>62684000</v>
      </c>
      <c r="X207" s="35">
        <f>19</f>
        <v>19</v>
      </c>
    </row>
    <row r="208" spans="1:24">
      <c r="A208" s="29" t="s">
        <v>42</v>
      </c>
      <c r="B208" s="29" t="s">
        <v>669</v>
      </c>
      <c r="C208" s="29" t="s">
        <v>670</v>
      </c>
      <c r="D208" s="29" t="s">
        <v>671</v>
      </c>
      <c r="E208" s="30" t="s">
        <v>46</v>
      </c>
      <c r="F208" s="31" t="s">
        <v>46</v>
      </c>
      <c r="G208" s="32" t="s">
        <v>46</v>
      </c>
      <c r="H208" s="27"/>
      <c r="I208" s="27" t="s">
        <v>629</v>
      </c>
      <c r="J208" s="33">
        <v>1</v>
      </c>
      <c r="K208" s="37">
        <f>12500</f>
        <v>12500</v>
      </c>
      <c r="L208" s="34" t="s">
        <v>48</v>
      </c>
      <c r="M208" s="37">
        <f>13360</f>
        <v>13360</v>
      </c>
      <c r="N208" s="34" t="s">
        <v>371</v>
      </c>
      <c r="O208" s="37">
        <f>12500</f>
        <v>12500</v>
      </c>
      <c r="P208" s="34" t="s">
        <v>48</v>
      </c>
      <c r="Q208" s="37">
        <f>12970</f>
        <v>12970</v>
      </c>
      <c r="R208" s="34" t="s">
        <v>50</v>
      </c>
      <c r="S208" s="36">
        <f>12910.59</f>
        <v>12910.59</v>
      </c>
      <c r="T208" s="33">
        <f>626</f>
        <v>626</v>
      </c>
      <c r="U208" s="33" t="str">
        <f>"－"</f>
        <v>－</v>
      </c>
      <c r="V208" s="33">
        <f>8085450</f>
        <v>8085450</v>
      </c>
      <c r="W208" s="33" t="str">
        <f>"－"</f>
        <v>－</v>
      </c>
      <c r="X208" s="35">
        <f>17</f>
        <v>17</v>
      </c>
    </row>
    <row r="209" spans="1:24">
      <c r="A209" s="29" t="s">
        <v>42</v>
      </c>
      <c r="B209" s="29" t="s">
        <v>672</v>
      </c>
      <c r="C209" s="29" t="s">
        <v>673</v>
      </c>
      <c r="D209" s="29" t="s">
        <v>674</v>
      </c>
      <c r="E209" s="30" t="s">
        <v>46</v>
      </c>
      <c r="F209" s="31" t="s">
        <v>46</v>
      </c>
      <c r="G209" s="32" t="s">
        <v>46</v>
      </c>
      <c r="H209" s="27"/>
      <c r="I209" s="27" t="s">
        <v>629</v>
      </c>
      <c r="J209" s="33">
        <v>1</v>
      </c>
      <c r="K209" s="37">
        <f>11330</f>
        <v>11330</v>
      </c>
      <c r="L209" s="34" t="s">
        <v>48</v>
      </c>
      <c r="M209" s="37">
        <f>12740</f>
        <v>12740</v>
      </c>
      <c r="N209" s="34" t="s">
        <v>268</v>
      </c>
      <c r="O209" s="37">
        <f>11120</f>
        <v>11120</v>
      </c>
      <c r="P209" s="34" t="s">
        <v>50</v>
      </c>
      <c r="Q209" s="37">
        <f>11310</f>
        <v>11310</v>
      </c>
      <c r="R209" s="34" t="s">
        <v>50</v>
      </c>
      <c r="S209" s="36">
        <f>11929.47</f>
        <v>11929.47</v>
      </c>
      <c r="T209" s="33">
        <f>55308</f>
        <v>55308</v>
      </c>
      <c r="U209" s="33" t="str">
        <f>"－"</f>
        <v>－</v>
      </c>
      <c r="V209" s="33">
        <f>657676900</f>
        <v>657676900</v>
      </c>
      <c r="W209" s="33" t="str">
        <f>"－"</f>
        <v>－</v>
      </c>
      <c r="X209" s="35">
        <f>19</f>
        <v>19</v>
      </c>
    </row>
    <row r="210" spans="1:24">
      <c r="A210" s="29" t="s">
        <v>42</v>
      </c>
      <c r="B210" s="29" t="s">
        <v>675</v>
      </c>
      <c r="C210" s="29" t="s">
        <v>676</v>
      </c>
      <c r="D210" s="29" t="s">
        <v>677</v>
      </c>
      <c r="E210" s="30" t="s">
        <v>46</v>
      </c>
      <c r="F210" s="31" t="s">
        <v>46</v>
      </c>
      <c r="G210" s="32" t="s">
        <v>46</v>
      </c>
      <c r="H210" s="27"/>
      <c r="I210" s="27" t="s">
        <v>629</v>
      </c>
      <c r="J210" s="33">
        <v>1</v>
      </c>
      <c r="K210" s="37">
        <f>4665</f>
        <v>4665</v>
      </c>
      <c r="L210" s="34" t="s">
        <v>48</v>
      </c>
      <c r="M210" s="37">
        <f>4870</f>
        <v>4870</v>
      </c>
      <c r="N210" s="34" t="s">
        <v>88</v>
      </c>
      <c r="O210" s="37">
        <f>4465</f>
        <v>4465</v>
      </c>
      <c r="P210" s="34" t="s">
        <v>268</v>
      </c>
      <c r="Q210" s="37">
        <f>4815</f>
        <v>4815</v>
      </c>
      <c r="R210" s="34" t="s">
        <v>50</v>
      </c>
      <c r="S210" s="36">
        <f>4612.63</f>
        <v>4612.63</v>
      </c>
      <c r="T210" s="33">
        <f>4276</f>
        <v>4276</v>
      </c>
      <c r="U210" s="33" t="str">
        <f>"－"</f>
        <v>－</v>
      </c>
      <c r="V210" s="33">
        <f>19640655</f>
        <v>19640655</v>
      </c>
      <c r="W210" s="33" t="str">
        <f>"－"</f>
        <v>－</v>
      </c>
      <c r="X210" s="35">
        <f>19</f>
        <v>19</v>
      </c>
    </row>
    <row r="211" spans="1:24">
      <c r="A211" s="29" t="s">
        <v>42</v>
      </c>
      <c r="B211" s="29" t="s">
        <v>678</v>
      </c>
      <c r="C211" s="29" t="s">
        <v>679</v>
      </c>
      <c r="D211" s="29" t="s">
        <v>680</v>
      </c>
      <c r="E211" s="30" t="s">
        <v>46</v>
      </c>
      <c r="F211" s="31" t="s">
        <v>46</v>
      </c>
      <c r="G211" s="32" t="s">
        <v>46</v>
      </c>
      <c r="H211" s="27"/>
      <c r="I211" s="27" t="s">
        <v>629</v>
      </c>
      <c r="J211" s="33">
        <v>1</v>
      </c>
      <c r="K211" s="37">
        <f>8800</f>
        <v>8800</v>
      </c>
      <c r="L211" s="34" t="s">
        <v>77</v>
      </c>
      <c r="M211" s="37">
        <f>9510</f>
        <v>9510</v>
      </c>
      <c r="N211" s="34" t="s">
        <v>69</v>
      </c>
      <c r="O211" s="37">
        <f>8740</f>
        <v>8740</v>
      </c>
      <c r="P211" s="34" t="s">
        <v>77</v>
      </c>
      <c r="Q211" s="37">
        <f>9240</f>
        <v>9240</v>
      </c>
      <c r="R211" s="34" t="s">
        <v>88</v>
      </c>
      <c r="S211" s="36">
        <f>9245.38</f>
        <v>9245.3799999999992</v>
      </c>
      <c r="T211" s="33">
        <f>3447</f>
        <v>3447</v>
      </c>
      <c r="U211" s="33">
        <f>1</f>
        <v>1</v>
      </c>
      <c r="V211" s="33">
        <f>31821940</f>
        <v>31821940</v>
      </c>
      <c r="W211" s="33">
        <f>9190</f>
        <v>9190</v>
      </c>
      <c r="X211" s="35">
        <f>13</f>
        <v>13</v>
      </c>
    </row>
    <row r="212" spans="1:24">
      <c r="A212" s="29" t="s">
        <v>42</v>
      </c>
      <c r="B212" s="29" t="s">
        <v>681</v>
      </c>
      <c r="C212" s="29" t="s">
        <v>682</v>
      </c>
      <c r="D212" s="29" t="s">
        <v>683</v>
      </c>
      <c r="E212" s="30" t="s">
        <v>46</v>
      </c>
      <c r="F212" s="31" t="s">
        <v>46</v>
      </c>
      <c r="G212" s="32" t="s">
        <v>46</v>
      </c>
      <c r="H212" s="27"/>
      <c r="I212" s="27" t="s">
        <v>629</v>
      </c>
      <c r="J212" s="33">
        <v>1</v>
      </c>
      <c r="K212" s="37">
        <f>11000</f>
        <v>11000</v>
      </c>
      <c r="L212" s="34" t="s">
        <v>172</v>
      </c>
      <c r="M212" s="37">
        <f>11410</f>
        <v>11410</v>
      </c>
      <c r="N212" s="34" t="s">
        <v>49</v>
      </c>
      <c r="O212" s="37">
        <f>10990</f>
        <v>10990</v>
      </c>
      <c r="P212" s="34" t="s">
        <v>371</v>
      </c>
      <c r="Q212" s="37">
        <f>10990</f>
        <v>10990</v>
      </c>
      <c r="R212" s="34" t="s">
        <v>50</v>
      </c>
      <c r="S212" s="36">
        <f>11148.57</f>
        <v>11148.57</v>
      </c>
      <c r="T212" s="33">
        <f>702</f>
        <v>702</v>
      </c>
      <c r="U212" s="33" t="str">
        <f>"－"</f>
        <v>－</v>
      </c>
      <c r="V212" s="33">
        <f>7815660</f>
        <v>7815660</v>
      </c>
      <c r="W212" s="33" t="str">
        <f>"－"</f>
        <v>－</v>
      </c>
      <c r="X212" s="35">
        <f>14</f>
        <v>14</v>
      </c>
    </row>
    <row r="213" spans="1:24">
      <c r="A213" s="29" t="s">
        <v>42</v>
      </c>
      <c r="B213" s="29" t="s">
        <v>684</v>
      </c>
      <c r="C213" s="29" t="s">
        <v>685</v>
      </c>
      <c r="D213" s="29" t="s">
        <v>686</v>
      </c>
      <c r="E213" s="30" t="s">
        <v>46</v>
      </c>
      <c r="F213" s="31" t="s">
        <v>46</v>
      </c>
      <c r="G213" s="32" t="s">
        <v>46</v>
      </c>
      <c r="H213" s="27"/>
      <c r="I213" s="27" t="s">
        <v>629</v>
      </c>
      <c r="J213" s="33">
        <v>1</v>
      </c>
      <c r="K213" s="37">
        <f>10660</f>
        <v>10660</v>
      </c>
      <c r="L213" s="34" t="s">
        <v>77</v>
      </c>
      <c r="M213" s="37">
        <f>11570</f>
        <v>11570</v>
      </c>
      <c r="N213" s="34" t="s">
        <v>49</v>
      </c>
      <c r="O213" s="37">
        <f>10660</f>
        <v>10660</v>
      </c>
      <c r="P213" s="34" t="s">
        <v>77</v>
      </c>
      <c r="Q213" s="37">
        <f>11270</f>
        <v>11270</v>
      </c>
      <c r="R213" s="34" t="s">
        <v>50</v>
      </c>
      <c r="S213" s="36">
        <f>11226.25</f>
        <v>11226.25</v>
      </c>
      <c r="T213" s="33">
        <f>213</f>
        <v>213</v>
      </c>
      <c r="U213" s="33" t="str">
        <f>"－"</f>
        <v>－</v>
      </c>
      <c r="V213" s="33">
        <f>2338670</f>
        <v>2338670</v>
      </c>
      <c r="W213" s="33" t="str">
        <f>"－"</f>
        <v>－</v>
      </c>
      <c r="X213" s="35">
        <f>8</f>
        <v>8</v>
      </c>
    </row>
    <row r="214" spans="1:24">
      <c r="A214" s="29" t="s">
        <v>42</v>
      </c>
      <c r="B214" s="29" t="s">
        <v>687</v>
      </c>
      <c r="C214" s="29" t="s">
        <v>688</v>
      </c>
      <c r="D214" s="29" t="s">
        <v>689</v>
      </c>
      <c r="E214" s="30" t="s">
        <v>46</v>
      </c>
      <c r="F214" s="31" t="s">
        <v>46</v>
      </c>
      <c r="G214" s="32" t="s">
        <v>46</v>
      </c>
      <c r="H214" s="27"/>
      <c r="I214" s="27" t="s">
        <v>629</v>
      </c>
      <c r="J214" s="33">
        <v>1</v>
      </c>
      <c r="K214" s="37">
        <f>11080</f>
        <v>11080</v>
      </c>
      <c r="L214" s="34" t="s">
        <v>48</v>
      </c>
      <c r="M214" s="37">
        <f>11420</f>
        <v>11420</v>
      </c>
      <c r="N214" s="34" t="s">
        <v>50</v>
      </c>
      <c r="O214" s="37">
        <f>10850</f>
        <v>10850</v>
      </c>
      <c r="P214" s="34" t="s">
        <v>69</v>
      </c>
      <c r="Q214" s="37">
        <f>11420</f>
        <v>11420</v>
      </c>
      <c r="R214" s="34" t="s">
        <v>50</v>
      </c>
      <c r="S214" s="36">
        <f>11100</f>
        <v>11100</v>
      </c>
      <c r="T214" s="33">
        <f>10549</f>
        <v>10549</v>
      </c>
      <c r="U214" s="33">
        <f>4000</f>
        <v>4000</v>
      </c>
      <c r="V214" s="33">
        <f>115660890</f>
        <v>115660890</v>
      </c>
      <c r="W214" s="33">
        <f>43700000</f>
        <v>43700000</v>
      </c>
      <c r="X214" s="35">
        <f>10</f>
        <v>10</v>
      </c>
    </row>
    <row r="215" spans="1:24">
      <c r="A215" s="29" t="s">
        <v>42</v>
      </c>
      <c r="B215" s="29" t="s">
        <v>690</v>
      </c>
      <c r="C215" s="29" t="s">
        <v>691</v>
      </c>
      <c r="D215" s="29" t="s">
        <v>692</v>
      </c>
      <c r="E215" s="30" t="s">
        <v>46</v>
      </c>
      <c r="F215" s="31" t="s">
        <v>46</v>
      </c>
      <c r="G215" s="32" t="s">
        <v>46</v>
      </c>
      <c r="H215" s="27"/>
      <c r="I215" s="27" t="s">
        <v>629</v>
      </c>
      <c r="J215" s="33">
        <v>1</v>
      </c>
      <c r="K215" s="37">
        <f>11000</f>
        <v>11000</v>
      </c>
      <c r="L215" s="34" t="s">
        <v>48</v>
      </c>
      <c r="M215" s="37">
        <f>11600</f>
        <v>11600</v>
      </c>
      <c r="N215" s="34" t="s">
        <v>268</v>
      </c>
      <c r="O215" s="37">
        <f>10680</f>
        <v>10680</v>
      </c>
      <c r="P215" s="34" t="s">
        <v>48</v>
      </c>
      <c r="Q215" s="37">
        <f>11290</f>
        <v>11290</v>
      </c>
      <c r="R215" s="34" t="s">
        <v>50</v>
      </c>
      <c r="S215" s="36">
        <f>11288.89</f>
        <v>11288.89</v>
      </c>
      <c r="T215" s="33">
        <f>7971</f>
        <v>7971</v>
      </c>
      <c r="U215" s="33" t="str">
        <f>"－"</f>
        <v>－</v>
      </c>
      <c r="V215" s="33">
        <f>89900010</f>
        <v>89900010</v>
      </c>
      <c r="W215" s="33" t="str">
        <f>"－"</f>
        <v>－</v>
      </c>
      <c r="X215" s="35">
        <f>18</f>
        <v>18</v>
      </c>
    </row>
    <row r="216" spans="1:24">
      <c r="A216" s="29" t="s">
        <v>42</v>
      </c>
      <c r="B216" s="29" t="s">
        <v>693</v>
      </c>
      <c r="C216" s="29" t="s">
        <v>694</v>
      </c>
      <c r="D216" s="29" t="s">
        <v>695</v>
      </c>
      <c r="E216" s="30" t="s">
        <v>46</v>
      </c>
      <c r="F216" s="31" t="s">
        <v>46</v>
      </c>
      <c r="G216" s="32" t="s">
        <v>46</v>
      </c>
      <c r="H216" s="27"/>
      <c r="I216" s="27" t="s">
        <v>629</v>
      </c>
      <c r="J216" s="33">
        <v>1</v>
      </c>
      <c r="K216" s="37">
        <f>12060</f>
        <v>12060</v>
      </c>
      <c r="L216" s="34" t="s">
        <v>48</v>
      </c>
      <c r="M216" s="37">
        <f>13020</f>
        <v>13020</v>
      </c>
      <c r="N216" s="34" t="s">
        <v>69</v>
      </c>
      <c r="O216" s="37">
        <f>12060</f>
        <v>12060</v>
      </c>
      <c r="P216" s="34" t="s">
        <v>48</v>
      </c>
      <c r="Q216" s="37">
        <f>12960</f>
        <v>12960</v>
      </c>
      <c r="R216" s="34" t="s">
        <v>132</v>
      </c>
      <c r="S216" s="36">
        <f>12621.67</f>
        <v>12621.67</v>
      </c>
      <c r="T216" s="33">
        <f>4002</f>
        <v>4002</v>
      </c>
      <c r="U216" s="33">
        <f>500</f>
        <v>500</v>
      </c>
      <c r="V216" s="33">
        <f>50124800</f>
        <v>50124800</v>
      </c>
      <c r="W216" s="33">
        <f>6405500</f>
        <v>6405500</v>
      </c>
      <c r="X216" s="35">
        <f>6</f>
        <v>6</v>
      </c>
    </row>
    <row r="217" spans="1:24">
      <c r="A217" s="29" t="s">
        <v>42</v>
      </c>
      <c r="B217" s="29" t="s">
        <v>696</v>
      </c>
      <c r="C217" s="29" t="s">
        <v>697</v>
      </c>
      <c r="D217" s="29" t="s">
        <v>698</v>
      </c>
      <c r="E217" s="30" t="s">
        <v>46</v>
      </c>
      <c r="F217" s="31" t="s">
        <v>46</v>
      </c>
      <c r="G217" s="32" t="s">
        <v>46</v>
      </c>
      <c r="H217" s="27"/>
      <c r="I217" s="27" t="s">
        <v>629</v>
      </c>
      <c r="J217" s="33">
        <v>1</v>
      </c>
      <c r="K217" s="37" t="str">
        <f>"－"</f>
        <v>－</v>
      </c>
      <c r="L217" s="34"/>
      <c r="M217" s="37" t="str">
        <f>"－"</f>
        <v>－</v>
      </c>
      <c r="N217" s="34"/>
      <c r="O217" s="37" t="str">
        <f>"－"</f>
        <v>－</v>
      </c>
      <c r="P217" s="34"/>
      <c r="Q217" s="37" t="str">
        <f>"－"</f>
        <v>－</v>
      </c>
      <c r="R217" s="34"/>
      <c r="S217" s="36" t="str">
        <f t="shared" ref="S217:X217" si="9">"－"</f>
        <v>－</v>
      </c>
      <c r="T217" s="33" t="str">
        <f t="shared" si="9"/>
        <v>－</v>
      </c>
      <c r="U217" s="33" t="str">
        <f t="shared" si="9"/>
        <v>－</v>
      </c>
      <c r="V217" s="33" t="str">
        <f t="shared" si="9"/>
        <v>－</v>
      </c>
      <c r="W217" s="33" t="str">
        <f t="shared" si="9"/>
        <v>－</v>
      </c>
      <c r="X217" s="35" t="str">
        <f t="shared" si="9"/>
        <v>－</v>
      </c>
    </row>
    <row r="218" spans="1:24">
      <c r="A218" s="29" t="s">
        <v>42</v>
      </c>
      <c r="B218" s="29" t="s">
        <v>699</v>
      </c>
      <c r="C218" s="29" t="s">
        <v>700</v>
      </c>
      <c r="D218" s="29" t="s">
        <v>701</v>
      </c>
      <c r="E218" s="30" t="s">
        <v>46</v>
      </c>
      <c r="F218" s="31" t="s">
        <v>46</v>
      </c>
      <c r="G218" s="32" t="s">
        <v>46</v>
      </c>
      <c r="H218" s="27"/>
      <c r="I218" s="27" t="s">
        <v>629</v>
      </c>
      <c r="J218" s="33">
        <v>1</v>
      </c>
      <c r="K218" s="37">
        <f>10300</f>
        <v>10300</v>
      </c>
      <c r="L218" s="34" t="s">
        <v>48</v>
      </c>
      <c r="M218" s="37">
        <f>10650</f>
        <v>10650</v>
      </c>
      <c r="N218" s="34" t="s">
        <v>49</v>
      </c>
      <c r="O218" s="37">
        <f>10170</f>
        <v>10170</v>
      </c>
      <c r="P218" s="34" t="s">
        <v>84</v>
      </c>
      <c r="Q218" s="37">
        <f>10370</f>
        <v>10370</v>
      </c>
      <c r="R218" s="34" t="s">
        <v>50</v>
      </c>
      <c r="S218" s="36">
        <f>10454.44</f>
        <v>10454.44</v>
      </c>
      <c r="T218" s="33">
        <f>21298</f>
        <v>21298</v>
      </c>
      <c r="U218" s="33" t="str">
        <f>"－"</f>
        <v>－</v>
      </c>
      <c r="V218" s="33">
        <f>223269220</f>
        <v>223269220</v>
      </c>
      <c r="W218" s="33" t="str">
        <f>"－"</f>
        <v>－</v>
      </c>
      <c r="X218" s="35">
        <f>18</f>
        <v>18</v>
      </c>
    </row>
    <row r="219" spans="1:24">
      <c r="A219" s="29" t="s">
        <v>42</v>
      </c>
      <c r="B219" s="29" t="s">
        <v>702</v>
      </c>
      <c r="C219" s="29" t="s">
        <v>703</v>
      </c>
      <c r="D219" s="29" t="s">
        <v>704</v>
      </c>
      <c r="E219" s="30" t="s">
        <v>46</v>
      </c>
      <c r="F219" s="31" t="s">
        <v>46</v>
      </c>
      <c r="G219" s="32" t="s">
        <v>46</v>
      </c>
      <c r="H219" s="27"/>
      <c r="I219" s="27" t="s">
        <v>629</v>
      </c>
      <c r="J219" s="33">
        <v>1</v>
      </c>
      <c r="K219" s="37">
        <f>10430</f>
        <v>10430</v>
      </c>
      <c r="L219" s="34" t="s">
        <v>48</v>
      </c>
      <c r="M219" s="37">
        <f>10920</f>
        <v>10920</v>
      </c>
      <c r="N219" s="34" t="s">
        <v>49</v>
      </c>
      <c r="O219" s="37">
        <f>10190</f>
        <v>10190</v>
      </c>
      <c r="P219" s="34" t="s">
        <v>48</v>
      </c>
      <c r="Q219" s="37">
        <f>10470</f>
        <v>10470</v>
      </c>
      <c r="R219" s="34" t="s">
        <v>50</v>
      </c>
      <c r="S219" s="36">
        <f>10630.53</f>
        <v>10630.53</v>
      </c>
      <c r="T219" s="33">
        <f>121273</f>
        <v>121273</v>
      </c>
      <c r="U219" s="33" t="str">
        <f>"－"</f>
        <v>－</v>
      </c>
      <c r="V219" s="33">
        <f>1292951610</f>
        <v>1292951610</v>
      </c>
      <c r="W219" s="33" t="str">
        <f>"－"</f>
        <v>－</v>
      </c>
      <c r="X219" s="35">
        <f>19</f>
        <v>19</v>
      </c>
    </row>
    <row r="220" spans="1:24">
      <c r="A220" s="29" t="s">
        <v>42</v>
      </c>
      <c r="B220" s="29" t="s">
        <v>705</v>
      </c>
      <c r="C220" s="29" t="s">
        <v>706</v>
      </c>
      <c r="D220" s="29" t="s">
        <v>707</v>
      </c>
      <c r="E220" s="30" t="s">
        <v>46</v>
      </c>
      <c r="F220" s="31" t="s">
        <v>46</v>
      </c>
      <c r="G220" s="32" t="s">
        <v>46</v>
      </c>
      <c r="H220" s="27"/>
      <c r="I220" s="27" t="s">
        <v>629</v>
      </c>
      <c r="J220" s="33">
        <v>1</v>
      </c>
      <c r="K220" s="37">
        <f>10180</f>
        <v>10180</v>
      </c>
      <c r="L220" s="34" t="s">
        <v>48</v>
      </c>
      <c r="M220" s="37">
        <f>10580</f>
        <v>10580</v>
      </c>
      <c r="N220" s="34" t="s">
        <v>50</v>
      </c>
      <c r="O220" s="37">
        <f>10000</f>
        <v>10000</v>
      </c>
      <c r="P220" s="34" t="s">
        <v>48</v>
      </c>
      <c r="Q220" s="37">
        <f>10340</f>
        <v>10340</v>
      </c>
      <c r="R220" s="34" t="s">
        <v>50</v>
      </c>
      <c r="S220" s="36">
        <f>10306.67</f>
        <v>10306.67</v>
      </c>
      <c r="T220" s="33">
        <f>48728</f>
        <v>48728</v>
      </c>
      <c r="U220" s="33" t="str">
        <f>"－"</f>
        <v>－</v>
      </c>
      <c r="V220" s="33">
        <f>505769430</f>
        <v>505769430</v>
      </c>
      <c r="W220" s="33" t="str">
        <f>"－"</f>
        <v>－</v>
      </c>
      <c r="X220" s="35">
        <f>18</f>
        <v>18</v>
      </c>
    </row>
    <row r="221" spans="1:24">
      <c r="A221" s="29" t="s">
        <v>42</v>
      </c>
      <c r="B221" s="29" t="s">
        <v>708</v>
      </c>
      <c r="C221" s="29" t="s">
        <v>709</v>
      </c>
      <c r="D221" s="29" t="s">
        <v>710</v>
      </c>
      <c r="E221" s="30" t="s">
        <v>46</v>
      </c>
      <c r="F221" s="31" t="s">
        <v>46</v>
      </c>
      <c r="G221" s="32" t="s">
        <v>46</v>
      </c>
      <c r="H221" s="27"/>
      <c r="I221" s="27" t="s">
        <v>47</v>
      </c>
      <c r="J221" s="33">
        <v>10</v>
      </c>
      <c r="K221" s="37">
        <f>999</f>
        <v>999</v>
      </c>
      <c r="L221" s="34" t="s">
        <v>48</v>
      </c>
      <c r="M221" s="37">
        <f>1000</f>
        <v>1000</v>
      </c>
      <c r="N221" s="34" t="s">
        <v>84</v>
      </c>
      <c r="O221" s="37">
        <f>995</f>
        <v>995</v>
      </c>
      <c r="P221" s="34" t="s">
        <v>100</v>
      </c>
      <c r="Q221" s="37">
        <f>996</f>
        <v>996</v>
      </c>
      <c r="R221" s="34" t="s">
        <v>50</v>
      </c>
      <c r="S221" s="36">
        <f>997.53</f>
        <v>997.53</v>
      </c>
      <c r="T221" s="33">
        <f>1416060</f>
        <v>1416060</v>
      </c>
      <c r="U221" s="33">
        <f>713170</f>
        <v>713170</v>
      </c>
      <c r="V221" s="33">
        <f>1412469333</f>
        <v>1412469333</v>
      </c>
      <c r="W221" s="33">
        <f>711428673</f>
        <v>711428673</v>
      </c>
      <c r="X221" s="35">
        <f>19</f>
        <v>19</v>
      </c>
    </row>
    <row r="222" spans="1:24">
      <c r="A222" s="29" t="s">
        <v>42</v>
      </c>
      <c r="B222" s="29" t="s">
        <v>711</v>
      </c>
      <c r="C222" s="29" t="s">
        <v>712</v>
      </c>
      <c r="D222" s="29" t="s">
        <v>713</v>
      </c>
      <c r="E222" s="30" t="s">
        <v>46</v>
      </c>
      <c r="F222" s="31" t="s">
        <v>46</v>
      </c>
      <c r="G222" s="32" t="s">
        <v>46</v>
      </c>
      <c r="H222" s="27"/>
      <c r="I222" s="27" t="s">
        <v>47</v>
      </c>
      <c r="J222" s="33">
        <v>10</v>
      </c>
      <c r="K222" s="37">
        <f>1015</f>
        <v>1015</v>
      </c>
      <c r="L222" s="34" t="s">
        <v>48</v>
      </c>
      <c r="M222" s="37">
        <f>1015</f>
        <v>1015</v>
      </c>
      <c r="N222" s="34" t="s">
        <v>48</v>
      </c>
      <c r="O222" s="37">
        <f>996</f>
        <v>996</v>
      </c>
      <c r="P222" s="34" t="s">
        <v>613</v>
      </c>
      <c r="Q222" s="37">
        <f>1005</f>
        <v>1005</v>
      </c>
      <c r="R222" s="34" t="s">
        <v>50</v>
      </c>
      <c r="S222" s="36">
        <f>1001.95</f>
        <v>1001.95</v>
      </c>
      <c r="T222" s="33">
        <f>1438220</f>
        <v>1438220</v>
      </c>
      <c r="U222" s="33">
        <f>302060</f>
        <v>302060</v>
      </c>
      <c r="V222" s="33">
        <f>1439944500</f>
        <v>1439944500</v>
      </c>
      <c r="W222" s="33">
        <f>301335380</f>
        <v>301335380</v>
      </c>
      <c r="X222" s="35">
        <f>19</f>
        <v>19</v>
      </c>
    </row>
    <row r="223" spans="1:24">
      <c r="A223" s="29" t="s">
        <v>42</v>
      </c>
      <c r="B223" s="29" t="s">
        <v>714</v>
      </c>
      <c r="C223" s="29" t="s">
        <v>715</v>
      </c>
      <c r="D223" s="29" t="s">
        <v>716</v>
      </c>
      <c r="E223" s="30" t="s">
        <v>46</v>
      </c>
      <c r="F223" s="31" t="s">
        <v>46</v>
      </c>
      <c r="G223" s="32" t="s">
        <v>46</v>
      </c>
      <c r="H223" s="27"/>
      <c r="I223" s="27" t="s">
        <v>47</v>
      </c>
      <c r="J223" s="33">
        <v>10</v>
      </c>
      <c r="K223" s="37">
        <f>1070</f>
        <v>1070</v>
      </c>
      <c r="L223" s="34" t="s">
        <v>48</v>
      </c>
      <c r="M223" s="37">
        <f>1070</f>
        <v>1070</v>
      </c>
      <c r="N223" s="34" t="s">
        <v>48</v>
      </c>
      <c r="O223" s="37">
        <f>1048</f>
        <v>1048</v>
      </c>
      <c r="P223" s="34" t="s">
        <v>92</v>
      </c>
      <c r="Q223" s="37">
        <f>1053</f>
        <v>1053</v>
      </c>
      <c r="R223" s="34" t="s">
        <v>50</v>
      </c>
      <c r="S223" s="36">
        <f>1053.32</f>
        <v>1053.32</v>
      </c>
      <c r="T223" s="33">
        <f>2322310</f>
        <v>2322310</v>
      </c>
      <c r="U223" s="33">
        <f>1836470</f>
        <v>1836470</v>
      </c>
      <c r="V223" s="33">
        <f>2446237533</f>
        <v>2446237533</v>
      </c>
      <c r="W223" s="33">
        <f>1934004163</f>
        <v>1934004163</v>
      </c>
      <c r="X223" s="35">
        <f>19</f>
        <v>19</v>
      </c>
    </row>
    <row r="224" spans="1:24">
      <c r="A224" s="29" t="s">
        <v>42</v>
      </c>
      <c r="B224" s="29" t="s">
        <v>717</v>
      </c>
      <c r="C224" s="29" t="s">
        <v>718</v>
      </c>
      <c r="D224" s="29" t="s">
        <v>719</v>
      </c>
      <c r="E224" s="30" t="s">
        <v>46</v>
      </c>
      <c r="F224" s="31" t="s">
        <v>46</v>
      </c>
      <c r="G224" s="32" t="s">
        <v>46</v>
      </c>
      <c r="H224" s="27"/>
      <c r="I224" s="27" t="s">
        <v>47</v>
      </c>
      <c r="J224" s="33">
        <v>10</v>
      </c>
      <c r="K224" s="37">
        <f>1245</f>
        <v>1245</v>
      </c>
      <c r="L224" s="34" t="s">
        <v>48</v>
      </c>
      <c r="M224" s="37">
        <f>1283</f>
        <v>1283</v>
      </c>
      <c r="N224" s="34" t="s">
        <v>176</v>
      </c>
      <c r="O224" s="37">
        <f>1221</f>
        <v>1221</v>
      </c>
      <c r="P224" s="34" t="s">
        <v>77</v>
      </c>
      <c r="Q224" s="37">
        <f>1249</f>
        <v>1249</v>
      </c>
      <c r="R224" s="34" t="s">
        <v>50</v>
      </c>
      <c r="S224" s="36">
        <f>1260.11</f>
        <v>1260.1099999999999</v>
      </c>
      <c r="T224" s="33">
        <f>968820</f>
        <v>968820</v>
      </c>
      <c r="U224" s="33">
        <f>560900</f>
        <v>560900</v>
      </c>
      <c r="V224" s="33">
        <f>1217749410</f>
        <v>1217749410</v>
      </c>
      <c r="W224" s="33">
        <f>704242700</f>
        <v>704242700</v>
      </c>
      <c r="X224" s="35">
        <f>19</f>
        <v>19</v>
      </c>
    </row>
    <row r="225" spans="1:24">
      <c r="A225" s="29" t="s">
        <v>42</v>
      </c>
      <c r="B225" s="29" t="s">
        <v>720</v>
      </c>
      <c r="C225" s="29" t="s">
        <v>721</v>
      </c>
      <c r="D225" s="29" t="s">
        <v>722</v>
      </c>
      <c r="E225" s="30" t="s">
        <v>46</v>
      </c>
      <c r="F225" s="31" t="s">
        <v>46</v>
      </c>
      <c r="G225" s="32" t="s">
        <v>46</v>
      </c>
      <c r="H225" s="27"/>
      <c r="I225" s="27" t="s">
        <v>47</v>
      </c>
      <c r="J225" s="33">
        <v>10</v>
      </c>
      <c r="K225" s="37">
        <f>1300</f>
        <v>1300</v>
      </c>
      <c r="L225" s="34" t="s">
        <v>48</v>
      </c>
      <c r="M225" s="37">
        <f>1343</f>
        <v>1343</v>
      </c>
      <c r="N225" s="34" t="s">
        <v>268</v>
      </c>
      <c r="O225" s="37">
        <f>1285</f>
        <v>1285</v>
      </c>
      <c r="P225" s="34" t="s">
        <v>77</v>
      </c>
      <c r="Q225" s="37">
        <f>1298</f>
        <v>1298</v>
      </c>
      <c r="R225" s="34" t="s">
        <v>50</v>
      </c>
      <c r="S225" s="36">
        <f>1317</f>
        <v>1317</v>
      </c>
      <c r="T225" s="33">
        <f>381830</f>
        <v>381830</v>
      </c>
      <c r="U225" s="33">
        <f>155000</f>
        <v>155000</v>
      </c>
      <c r="V225" s="33">
        <f>505494645</f>
        <v>505494645</v>
      </c>
      <c r="W225" s="33">
        <f>205982445</f>
        <v>205982445</v>
      </c>
      <c r="X225" s="35">
        <f>19</f>
        <v>19</v>
      </c>
    </row>
    <row r="226" spans="1:24">
      <c r="A226" s="29" t="s">
        <v>42</v>
      </c>
      <c r="B226" s="29" t="s">
        <v>723</v>
      </c>
      <c r="C226" s="29" t="s">
        <v>724</v>
      </c>
      <c r="D226" s="29" t="s">
        <v>725</v>
      </c>
      <c r="E226" s="30" t="s">
        <v>46</v>
      </c>
      <c r="F226" s="31" t="s">
        <v>46</v>
      </c>
      <c r="G226" s="32" t="s">
        <v>46</v>
      </c>
      <c r="H226" s="27"/>
      <c r="I226" s="27" t="s">
        <v>47</v>
      </c>
      <c r="J226" s="33">
        <v>10</v>
      </c>
      <c r="K226" s="37">
        <f>916</f>
        <v>916</v>
      </c>
      <c r="L226" s="34" t="s">
        <v>48</v>
      </c>
      <c r="M226" s="37">
        <f>925</f>
        <v>925</v>
      </c>
      <c r="N226" s="34" t="s">
        <v>50</v>
      </c>
      <c r="O226" s="37">
        <f>877</f>
        <v>877</v>
      </c>
      <c r="P226" s="34" t="s">
        <v>77</v>
      </c>
      <c r="Q226" s="37">
        <f>916</f>
        <v>916</v>
      </c>
      <c r="R226" s="34" t="s">
        <v>50</v>
      </c>
      <c r="S226" s="36">
        <f>902.84</f>
        <v>902.84</v>
      </c>
      <c r="T226" s="33">
        <f>558630</f>
        <v>558630</v>
      </c>
      <c r="U226" s="33">
        <f>141940</f>
        <v>141940</v>
      </c>
      <c r="V226" s="33">
        <f>505532781</f>
        <v>505532781</v>
      </c>
      <c r="W226" s="33">
        <f>130709601</f>
        <v>130709601</v>
      </c>
      <c r="X226" s="35">
        <f>19</f>
        <v>19</v>
      </c>
    </row>
    <row r="227" spans="1:24">
      <c r="A227" s="29" t="s">
        <v>42</v>
      </c>
      <c r="B227" s="29" t="s">
        <v>726</v>
      </c>
      <c r="C227" s="29" t="s">
        <v>727</v>
      </c>
      <c r="D227" s="29" t="s">
        <v>728</v>
      </c>
      <c r="E227" s="30" t="s">
        <v>46</v>
      </c>
      <c r="F227" s="31" t="s">
        <v>46</v>
      </c>
      <c r="G227" s="32" t="s">
        <v>46</v>
      </c>
      <c r="H227" s="27"/>
      <c r="I227" s="27" t="s">
        <v>47</v>
      </c>
      <c r="J227" s="33">
        <v>10</v>
      </c>
      <c r="K227" s="37">
        <f>923</f>
        <v>923</v>
      </c>
      <c r="L227" s="34" t="s">
        <v>48</v>
      </c>
      <c r="M227" s="37">
        <f>1000</f>
        <v>1000</v>
      </c>
      <c r="N227" s="34" t="s">
        <v>176</v>
      </c>
      <c r="O227" s="37">
        <f>903</f>
        <v>903</v>
      </c>
      <c r="P227" s="34" t="s">
        <v>48</v>
      </c>
      <c r="Q227" s="37">
        <f>924</f>
        <v>924</v>
      </c>
      <c r="R227" s="34" t="s">
        <v>50</v>
      </c>
      <c r="S227" s="36">
        <f>948.47</f>
        <v>948.47</v>
      </c>
      <c r="T227" s="33">
        <f>10590030</f>
        <v>10590030</v>
      </c>
      <c r="U227" s="33">
        <f>54570</f>
        <v>54570</v>
      </c>
      <c r="V227" s="33">
        <f>10035829010</f>
        <v>10035829010</v>
      </c>
      <c r="W227" s="33">
        <f>54047480</f>
        <v>54047480</v>
      </c>
      <c r="X227" s="35">
        <f>19</f>
        <v>19</v>
      </c>
    </row>
    <row r="228" spans="1:24">
      <c r="A228" s="29" t="s">
        <v>42</v>
      </c>
      <c r="B228" s="29" t="s">
        <v>729</v>
      </c>
      <c r="C228" s="29" t="s">
        <v>730</v>
      </c>
      <c r="D228" s="29" t="s">
        <v>731</v>
      </c>
      <c r="E228" s="30" t="s">
        <v>46</v>
      </c>
      <c r="F228" s="31" t="s">
        <v>46</v>
      </c>
      <c r="G228" s="32" t="s">
        <v>46</v>
      </c>
      <c r="H228" s="27"/>
      <c r="I228" s="27" t="s">
        <v>47</v>
      </c>
      <c r="J228" s="33">
        <v>10</v>
      </c>
      <c r="K228" s="37">
        <f>1053</f>
        <v>1053</v>
      </c>
      <c r="L228" s="34" t="s">
        <v>48</v>
      </c>
      <c r="M228" s="37">
        <f>1087</f>
        <v>1087</v>
      </c>
      <c r="N228" s="34" t="s">
        <v>50</v>
      </c>
      <c r="O228" s="37">
        <f>1030</f>
        <v>1030</v>
      </c>
      <c r="P228" s="34" t="s">
        <v>48</v>
      </c>
      <c r="Q228" s="37">
        <f>1077</f>
        <v>1077</v>
      </c>
      <c r="R228" s="34" t="s">
        <v>50</v>
      </c>
      <c r="S228" s="36">
        <f>1048.53</f>
        <v>1048.53</v>
      </c>
      <c r="T228" s="33">
        <f>183900</f>
        <v>183900</v>
      </c>
      <c r="U228" s="33" t="str">
        <f>"－"</f>
        <v>－</v>
      </c>
      <c r="V228" s="33">
        <f>195661040</f>
        <v>195661040</v>
      </c>
      <c r="W228" s="33" t="str">
        <f>"－"</f>
        <v>－</v>
      </c>
      <c r="X228" s="35">
        <f>19</f>
        <v>19</v>
      </c>
    </row>
    <row r="229" spans="1:24">
      <c r="A229" s="29" t="s">
        <v>42</v>
      </c>
      <c r="B229" s="29" t="s">
        <v>732</v>
      </c>
      <c r="C229" s="29" t="s">
        <v>733</v>
      </c>
      <c r="D229" s="29" t="s">
        <v>734</v>
      </c>
      <c r="E229" s="30" t="s">
        <v>46</v>
      </c>
      <c r="F229" s="31" t="s">
        <v>46</v>
      </c>
      <c r="G229" s="32" t="s">
        <v>46</v>
      </c>
      <c r="H229" s="27"/>
      <c r="I229" s="27" t="s">
        <v>47</v>
      </c>
      <c r="J229" s="33">
        <v>1</v>
      </c>
      <c r="K229" s="37">
        <f>1063</f>
        <v>1063</v>
      </c>
      <c r="L229" s="34" t="s">
        <v>48</v>
      </c>
      <c r="M229" s="37">
        <f>1117</f>
        <v>1117</v>
      </c>
      <c r="N229" s="34" t="s">
        <v>49</v>
      </c>
      <c r="O229" s="37">
        <f>1043</f>
        <v>1043</v>
      </c>
      <c r="P229" s="34" t="s">
        <v>48</v>
      </c>
      <c r="Q229" s="37">
        <f>1064</f>
        <v>1064</v>
      </c>
      <c r="R229" s="34" t="s">
        <v>50</v>
      </c>
      <c r="S229" s="36">
        <f>1087.47</f>
        <v>1087.47</v>
      </c>
      <c r="T229" s="33">
        <f>42871</f>
        <v>42871</v>
      </c>
      <c r="U229" s="33" t="str">
        <f>"－"</f>
        <v>－</v>
      </c>
      <c r="V229" s="33">
        <f>46946722</f>
        <v>46946722</v>
      </c>
      <c r="W229" s="33" t="str">
        <f>"－"</f>
        <v>－</v>
      </c>
      <c r="X229" s="35">
        <f>19</f>
        <v>19</v>
      </c>
    </row>
    <row r="230" spans="1:24">
      <c r="A230" s="29" t="s">
        <v>42</v>
      </c>
      <c r="B230" s="29" t="s">
        <v>735</v>
      </c>
      <c r="C230" s="29" t="s">
        <v>736</v>
      </c>
      <c r="D230" s="29" t="s">
        <v>737</v>
      </c>
      <c r="E230" s="30" t="s">
        <v>46</v>
      </c>
      <c r="F230" s="31" t="s">
        <v>46</v>
      </c>
      <c r="G230" s="32" t="s">
        <v>46</v>
      </c>
      <c r="H230" s="27"/>
      <c r="I230" s="27" t="s">
        <v>47</v>
      </c>
      <c r="J230" s="33">
        <v>10</v>
      </c>
      <c r="K230" s="37">
        <f>1037</f>
        <v>1037</v>
      </c>
      <c r="L230" s="34" t="s">
        <v>48</v>
      </c>
      <c r="M230" s="37">
        <f>1037</f>
        <v>1037</v>
      </c>
      <c r="N230" s="34" t="s">
        <v>48</v>
      </c>
      <c r="O230" s="37">
        <f>1010</f>
        <v>1010</v>
      </c>
      <c r="P230" s="34" t="s">
        <v>92</v>
      </c>
      <c r="Q230" s="37">
        <f>1022</f>
        <v>1022</v>
      </c>
      <c r="R230" s="34" t="s">
        <v>50</v>
      </c>
      <c r="S230" s="36">
        <f>1018.11</f>
        <v>1018.11</v>
      </c>
      <c r="T230" s="33">
        <f>112080</f>
        <v>112080</v>
      </c>
      <c r="U230" s="33">
        <f>49860</f>
        <v>49860</v>
      </c>
      <c r="V230" s="33">
        <f>114271243</f>
        <v>114271243</v>
      </c>
      <c r="W230" s="33">
        <f>50818223</f>
        <v>50818223</v>
      </c>
      <c r="X230" s="35">
        <f>19</f>
        <v>19</v>
      </c>
    </row>
    <row r="231" spans="1:24">
      <c r="A231" s="29" t="s">
        <v>42</v>
      </c>
      <c r="B231" s="29" t="s">
        <v>738</v>
      </c>
      <c r="C231" s="29" t="s">
        <v>739</v>
      </c>
      <c r="D231" s="29" t="s">
        <v>740</v>
      </c>
      <c r="E231" s="30" t="s">
        <v>46</v>
      </c>
      <c r="F231" s="31" t="s">
        <v>46</v>
      </c>
      <c r="G231" s="32" t="s">
        <v>46</v>
      </c>
      <c r="H231" s="27"/>
      <c r="I231" s="27" t="s">
        <v>47</v>
      </c>
      <c r="J231" s="33">
        <v>10</v>
      </c>
      <c r="K231" s="37">
        <f>1154</f>
        <v>1154</v>
      </c>
      <c r="L231" s="34" t="s">
        <v>48</v>
      </c>
      <c r="M231" s="37">
        <f>1292</f>
        <v>1292</v>
      </c>
      <c r="N231" s="34" t="s">
        <v>268</v>
      </c>
      <c r="O231" s="37">
        <f>1141</f>
        <v>1141</v>
      </c>
      <c r="P231" s="34" t="s">
        <v>48</v>
      </c>
      <c r="Q231" s="37">
        <f>1210</f>
        <v>1210</v>
      </c>
      <c r="R231" s="34" t="s">
        <v>50</v>
      </c>
      <c r="S231" s="36">
        <f>1214.79</f>
        <v>1214.79</v>
      </c>
      <c r="T231" s="33">
        <f>143910</f>
        <v>143910</v>
      </c>
      <c r="U231" s="33">
        <f>28860</f>
        <v>28860</v>
      </c>
      <c r="V231" s="33">
        <f>173552304</f>
        <v>173552304</v>
      </c>
      <c r="W231" s="33">
        <f>35653354</f>
        <v>35653354</v>
      </c>
      <c r="X231" s="35">
        <f>19</f>
        <v>19</v>
      </c>
    </row>
    <row r="232" spans="1:24">
      <c r="A232" s="29" t="s">
        <v>42</v>
      </c>
      <c r="B232" s="29" t="s">
        <v>741</v>
      </c>
      <c r="C232" s="29" t="s">
        <v>742</v>
      </c>
      <c r="D232" s="29" t="s">
        <v>743</v>
      </c>
      <c r="E232" s="30" t="s">
        <v>46</v>
      </c>
      <c r="F232" s="31" t="s">
        <v>46</v>
      </c>
      <c r="G232" s="32" t="s">
        <v>46</v>
      </c>
      <c r="H232" s="27"/>
      <c r="I232" s="27" t="s">
        <v>47</v>
      </c>
      <c r="J232" s="33">
        <v>10</v>
      </c>
      <c r="K232" s="37">
        <f>1317</f>
        <v>1317</v>
      </c>
      <c r="L232" s="34" t="s">
        <v>48</v>
      </c>
      <c r="M232" s="37">
        <f>1349</f>
        <v>1349</v>
      </c>
      <c r="N232" s="34" t="s">
        <v>96</v>
      </c>
      <c r="O232" s="37">
        <f>1291</f>
        <v>1291</v>
      </c>
      <c r="P232" s="34" t="s">
        <v>88</v>
      </c>
      <c r="Q232" s="37">
        <f>1299</f>
        <v>1299</v>
      </c>
      <c r="R232" s="34" t="s">
        <v>50</v>
      </c>
      <c r="S232" s="36">
        <f>1324.42</f>
        <v>1324.42</v>
      </c>
      <c r="T232" s="33">
        <f>12687910</f>
        <v>12687910</v>
      </c>
      <c r="U232" s="33">
        <f>4059850</f>
        <v>4059850</v>
      </c>
      <c r="V232" s="33">
        <f>16787337084</f>
        <v>16787337084</v>
      </c>
      <c r="W232" s="33">
        <f>5368279314</f>
        <v>5368279314</v>
      </c>
      <c r="X232" s="35">
        <f>19</f>
        <v>19</v>
      </c>
    </row>
    <row r="233" spans="1:24">
      <c r="A233" s="29" t="s">
        <v>42</v>
      </c>
      <c r="B233" s="29" t="s">
        <v>744</v>
      </c>
      <c r="C233" s="29" t="s">
        <v>745</v>
      </c>
      <c r="D233" s="29" t="s">
        <v>746</v>
      </c>
      <c r="E233" s="30" t="s">
        <v>46</v>
      </c>
      <c r="F233" s="31" t="s">
        <v>46</v>
      </c>
      <c r="G233" s="32" t="s">
        <v>46</v>
      </c>
      <c r="H233" s="27"/>
      <c r="I233" s="27" t="s">
        <v>47</v>
      </c>
      <c r="J233" s="33">
        <v>1</v>
      </c>
      <c r="K233" s="37">
        <f>3265</f>
        <v>3265</v>
      </c>
      <c r="L233" s="34" t="s">
        <v>48</v>
      </c>
      <c r="M233" s="37">
        <f>3520</f>
        <v>3520</v>
      </c>
      <c r="N233" s="34" t="s">
        <v>176</v>
      </c>
      <c r="O233" s="37">
        <f>3250</f>
        <v>3250</v>
      </c>
      <c r="P233" s="34" t="s">
        <v>48</v>
      </c>
      <c r="Q233" s="37">
        <f>3385</f>
        <v>3385</v>
      </c>
      <c r="R233" s="34" t="s">
        <v>50</v>
      </c>
      <c r="S233" s="36">
        <f>3418.16</f>
        <v>3418.16</v>
      </c>
      <c r="T233" s="33">
        <f>143011</f>
        <v>143011</v>
      </c>
      <c r="U233" s="33" t="str">
        <f>"－"</f>
        <v>－</v>
      </c>
      <c r="V233" s="33">
        <f>489966975</f>
        <v>489966975</v>
      </c>
      <c r="W233" s="33" t="str">
        <f>"－"</f>
        <v>－</v>
      </c>
      <c r="X233" s="35">
        <f>19</f>
        <v>19</v>
      </c>
    </row>
    <row r="234" spans="1:24">
      <c r="A234" s="29" t="s">
        <v>42</v>
      </c>
      <c r="B234" s="29" t="s">
        <v>747</v>
      </c>
      <c r="C234" s="29" t="s">
        <v>748</v>
      </c>
      <c r="D234" s="29" t="s">
        <v>749</v>
      </c>
      <c r="E234" s="30" t="s">
        <v>46</v>
      </c>
      <c r="F234" s="31" t="s">
        <v>46</v>
      </c>
      <c r="G234" s="32" t="s">
        <v>46</v>
      </c>
      <c r="H234" s="27"/>
      <c r="I234" s="27" t="s">
        <v>47</v>
      </c>
      <c r="J234" s="33">
        <v>10</v>
      </c>
      <c r="K234" s="37">
        <f>1700</f>
        <v>1700</v>
      </c>
      <c r="L234" s="34" t="s">
        <v>48</v>
      </c>
      <c r="M234" s="37">
        <f>2050</f>
        <v>2050</v>
      </c>
      <c r="N234" s="34" t="s">
        <v>371</v>
      </c>
      <c r="O234" s="37">
        <f>1640</f>
        <v>1640</v>
      </c>
      <c r="P234" s="34" t="s">
        <v>50</v>
      </c>
      <c r="Q234" s="37">
        <f>1642</f>
        <v>1642</v>
      </c>
      <c r="R234" s="34" t="s">
        <v>50</v>
      </c>
      <c r="S234" s="36">
        <f>1738.24</f>
        <v>1738.24</v>
      </c>
      <c r="T234" s="33">
        <f>9350</f>
        <v>9350</v>
      </c>
      <c r="U234" s="33" t="str">
        <f>"－"</f>
        <v>－</v>
      </c>
      <c r="V234" s="33">
        <f>16360680</f>
        <v>16360680</v>
      </c>
      <c r="W234" s="33" t="str">
        <f>"－"</f>
        <v>－</v>
      </c>
      <c r="X234" s="35">
        <f>17</f>
        <v>17</v>
      </c>
    </row>
    <row r="235" spans="1:24">
      <c r="A235" s="29" t="s">
        <v>42</v>
      </c>
      <c r="B235" s="29" t="s">
        <v>750</v>
      </c>
      <c r="C235" s="29" t="s">
        <v>751</v>
      </c>
      <c r="D235" s="29" t="s">
        <v>752</v>
      </c>
      <c r="E235" s="30" t="s">
        <v>46</v>
      </c>
      <c r="F235" s="31" t="s">
        <v>46</v>
      </c>
      <c r="G235" s="32" t="s">
        <v>46</v>
      </c>
      <c r="H235" s="27"/>
      <c r="I235" s="27" t="s">
        <v>47</v>
      </c>
      <c r="J235" s="33">
        <v>10</v>
      </c>
      <c r="K235" s="37">
        <f>1844</f>
        <v>1844</v>
      </c>
      <c r="L235" s="34" t="s">
        <v>48</v>
      </c>
      <c r="M235" s="37">
        <f>1918</f>
        <v>1918</v>
      </c>
      <c r="N235" s="34" t="s">
        <v>49</v>
      </c>
      <c r="O235" s="37">
        <f>1811</f>
        <v>1811</v>
      </c>
      <c r="P235" s="34" t="s">
        <v>48</v>
      </c>
      <c r="Q235" s="37">
        <f>1837</f>
        <v>1837</v>
      </c>
      <c r="R235" s="34" t="s">
        <v>50</v>
      </c>
      <c r="S235" s="36">
        <f>1870.54</f>
        <v>1870.54</v>
      </c>
      <c r="T235" s="33">
        <f>165170</f>
        <v>165170</v>
      </c>
      <c r="U235" s="33" t="str">
        <f>"－"</f>
        <v>－</v>
      </c>
      <c r="V235" s="33">
        <f>303974430</f>
        <v>303974430</v>
      </c>
      <c r="W235" s="33" t="str">
        <f>"－"</f>
        <v>－</v>
      </c>
      <c r="X235" s="35">
        <f>13</f>
        <v>13</v>
      </c>
    </row>
    <row r="236" spans="1:24">
      <c r="A236" s="29" t="s">
        <v>42</v>
      </c>
      <c r="B236" s="29" t="s">
        <v>753</v>
      </c>
      <c r="C236" s="29" t="s">
        <v>754</v>
      </c>
      <c r="D236" s="29" t="s">
        <v>755</v>
      </c>
      <c r="E236" s="30" t="s">
        <v>46</v>
      </c>
      <c r="F236" s="31" t="s">
        <v>46</v>
      </c>
      <c r="G236" s="32" t="s">
        <v>46</v>
      </c>
      <c r="H236" s="27"/>
      <c r="I236" s="27" t="s">
        <v>47</v>
      </c>
      <c r="J236" s="33">
        <v>1</v>
      </c>
      <c r="K236" s="37">
        <f>27810</f>
        <v>27810</v>
      </c>
      <c r="L236" s="34" t="s">
        <v>48</v>
      </c>
      <c r="M236" s="37">
        <f>29210</f>
        <v>29210</v>
      </c>
      <c r="N236" s="34" t="s">
        <v>371</v>
      </c>
      <c r="O236" s="37">
        <f>27380</f>
        <v>27380</v>
      </c>
      <c r="P236" s="34" t="s">
        <v>77</v>
      </c>
      <c r="Q236" s="37">
        <f>28080</f>
        <v>28080</v>
      </c>
      <c r="R236" s="34" t="s">
        <v>50</v>
      </c>
      <c r="S236" s="36">
        <f>28458.67</f>
        <v>28458.67</v>
      </c>
      <c r="T236" s="33">
        <f>199</f>
        <v>199</v>
      </c>
      <c r="U236" s="33" t="str">
        <f>"－"</f>
        <v>－</v>
      </c>
      <c r="V236" s="33">
        <f>5716780</f>
        <v>5716780</v>
      </c>
      <c r="W236" s="33" t="str">
        <f>"－"</f>
        <v>－</v>
      </c>
      <c r="X236" s="35">
        <f>15</f>
        <v>15</v>
      </c>
    </row>
    <row r="237" spans="1:24">
      <c r="A237" s="29" t="s">
        <v>42</v>
      </c>
      <c r="B237" s="29" t="s">
        <v>756</v>
      </c>
      <c r="C237" s="29" t="s">
        <v>757</v>
      </c>
      <c r="D237" s="29" t="s">
        <v>758</v>
      </c>
      <c r="E237" s="30" t="s">
        <v>46</v>
      </c>
      <c r="F237" s="31" t="s">
        <v>46</v>
      </c>
      <c r="G237" s="32" t="s">
        <v>46</v>
      </c>
      <c r="H237" s="27"/>
      <c r="I237" s="27" t="s">
        <v>47</v>
      </c>
      <c r="J237" s="33">
        <v>1</v>
      </c>
      <c r="K237" s="37">
        <f>16990</f>
        <v>16990</v>
      </c>
      <c r="L237" s="34" t="s">
        <v>48</v>
      </c>
      <c r="M237" s="37">
        <f>17270</f>
        <v>17270</v>
      </c>
      <c r="N237" s="34" t="s">
        <v>69</v>
      </c>
      <c r="O237" s="37">
        <f>16420</f>
        <v>16420</v>
      </c>
      <c r="P237" s="34" t="s">
        <v>84</v>
      </c>
      <c r="Q237" s="37">
        <f>16970</f>
        <v>16970</v>
      </c>
      <c r="R237" s="34" t="s">
        <v>50</v>
      </c>
      <c r="S237" s="36">
        <f>16911.43</f>
        <v>16911.43</v>
      </c>
      <c r="T237" s="33">
        <f>65671</f>
        <v>65671</v>
      </c>
      <c r="U237" s="33" t="str">
        <f>"－"</f>
        <v>－</v>
      </c>
      <c r="V237" s="33">
        <f>1108852010</f>
        <v>1108852010</v>
      </c>
      <c r="W237" s="33" t="str">
        <f>"－"</f>
        <v>－</v>
      </c>
      <c r="X237" s="35">
        <f>14</f>
        <v>14</v>
      </c>
    </row>
    <row r="238" spans="1:24">
      <c r="A238" s="29" t="s">
        <v>42</v>
      </c>
      <c r="B238" s="29" t="s">
        <v>759</v>
      </c>
      <c r="C238" s="29" t="s">
        <v>760</v>
      </c>
      <c r="D238" s="29" t="s">
        <v>761</v>
      </c>
      <c r="E238" s="30" t="s">
        <v>46</v>
      </c>
      <c r="F238" s="31" t="s">
        <v>46</v>
      </c>
      <c r="G238" s="32" t="s">
        <v>46</v>
      </c>
      <c r="H238" s="27"/>
      <c r="I238" s="27" t="s">
        <v>47</v>
      </c>
      <c r="J238" s="33">
        <v>10</v>
      </c>
      <c r="K238" s="37">
        <f>1090</f>
        <v>1090</v>
      </c>
      <c r="L238" s="34" t="s">
        <v>48</v>
      </c>
      <c r="M238" s="37">
        <f>1100</f>
        <v>1100</v>
      </c>
      <c r="N238" s="34" t="s">
        <v>84</v>
      </c>
      <c r="O238" s="37">
        <f>1039</f>
        <v>1039</v>
      </c>
      <c r="P238" s="34" t="s">
        <v>69</v>
      </c>
      <c r="Q238" s="37">
        <f>1080</f>
        <v>1080</v>
      </c>
      <c r="R238" s="34" t="s">
        <v>50</v>
      </c>
      <c r="S238" s="36">
        <f>1069.4</f>
        <v>1069.4000000000001</v>
      </c>
      <c r="T238" s="33">
        <f>157150</f>
        <v>157150</v>
      </c>
      <c r="U238" s="33">
        <f>60000</f>
        <v>60000</v>
      </c>
      <c r="V238" s="33">
        <f>168275040</f>
        <v>168275040</v>
      </c>
      <c r="W238" s="33">
        <f>63929400</f>
        <v>63929400</v>
      </c>
      <c r="X238" s="35">
        <f>10</f>
        <v>10</v>
      </c>
    </row>
    <row r="239" spans="1:24">
      <c r="A239" s="29" t="s">
        <v>42</v>
      </c>
      <c r="B239" s="29" t="s">
        <v>762</v>
      </c>
      <c r="C239" s="29" t="s">
        <v>763</v>
      </c>
      <c r="D239" s="29" t="s">
        <v>764</v>
      </c>
      <c r="E239" s="30" t="s">
        <v>46</v>
      </c>
      <c r="F239" s="31" t="s">
        <v>46</v>
      </c>
      <c r="G239" s="32" t="s">
        <v>46</v>
      </c>
      <c r="H239" s="27"/>
      <c r="I239" s="27" t="s">
        <v>47</v>
      </c>
      <c r="J239" s="33">
        <v>10</v>
      </c>
      <c r="K239" s="37">
        <f>1051</f>
        <v>1051</v>
      </c>
      <c r="L239" s="34" t="s">
        <v>48</v>
      </c>
      <c r="M239" s="37">
        <f>1081</f>
        <v>1081</v>
      </c>
      <c r="N239" s="34" t="s">
        <v>50</v>
      </c>
      <c r="O239" s="37">
        <f>1028</f>
        <v>1028</v>
      </c>
      <c r="P239" s="34" t="s">
        <v>48</v>
      </c>
      <c r="Q239" s="37">
        <f>1073</f>
        <v>1073</v>
      </c>
      <c r="R239" s="34" t="s">
        <v>50</v>
      </c>
      <c r="S239" s="36">
        <f>1045.89</f>
        <v>1045.8900000000001</v>
      </c>
      <c r="T239" s="33">
        <f>10650</f>
        <v>10650</v>
      </c>
      <c r="U239" s="33" t="str">
        <f>"－"</f>
        <v>－</v>
      </c>
      <c r="V239" s="33">
        <f>11202410</f>
        <v>11202410</v>
      </c>
      <c r="W239" s="33" t="str">
        <f>"－"</f>
        <v>－</v>
      </c>
      <c r="X239" s="35">
        <f>19</f>
        <v>19</v>
      </c>
    </row>
    <row r="240" spans="1:24">
      <c r="A240" s="29" t="s">
        <v>42</v>
      </c>
      <c r="B240" s="29" t="s">
        <v>765</v>
      </c>
      <c r="C240" s="29" t="s">
        <v>766</v>
      </c>
      <c r="D240" s="29" t="s">
        <v>767</v>
      </c>
      <c r="E240" s="30" t="s">
        <v>46</v>
      </c>
      <c r="F240" s="31" t="s">
        <v>46</v>
      </c>
      <c r="G240" s="32" t="s">
        <v>46</v>
      </c>
      <c r="H240" s="27"/>
      <c r="I240" s="27" t="s">
        <v>47</v>
      </c>
      <c r="J240" s="33">
        <v>1</v>
      </c>
      <c r="K240" s="37">
        <f>960</f>
        <v>960</v>
      </c>
      <c r="L240" s="34" t="s">
        <v>48</v>
      </c>
      <c r="M240" s="37">
        <f>1005</f>
        <v>1005</v>
      </c>
      <c r="N240" s="34" t="s">
        <v>49</v>
      </c>
      <c r="O240" s="37">
        <f>942</f>
        <v>942</v>
      </c>
      <c r="P240" s="34" t="s">
        <v>48</v>
      </c>
      <c r="Q240" s="37">
        <f>978</f>
        <v>978</v>
      </c>
      <c r="R240" s="34" t="s">
        <v>50</v>
      </c>
      <c r="S240" s="36">
        <f>984.47</f>
        <v>984.47</v>
      </c>
      <c r="T240" s="33">
        <f>26128</f>
        <v>26128</v>
      </c>
      <c r="U240" s="33" t="str">
        <f>"－"</f>
        <v>－</v>
      </c>
      <c r="V240" s="33">
        <f>25697098</f>
        <v>25697098</v>
      </c>
      <c r="W240" s="33" t="str">
        <f>"－"</f>
        <v>－</v>
      </c>
      <c r="X240" s="35">
        <f>19</f>
        <v>19</v>
      </c>
    </row>
    <row r="241" spans="1:24">
      <c r="A241" s="29" t="s">
        <v>42</v>
      </c>
      <c r="B241" s="29" t="s">
        <v>768</v>
      </c>
      <c r="C241" s="29" t="s">
        <v>769</v>
      </c>
      <c r="D241" s="29" t="s">
        <v>770</v>
      </c>
      <c r="E241" s="30" t="s">
        <v>46</v>
      </c>
      <c r="F241" s="31" t="s">
        <v>46</v>
      </c>
      <c r="G241" s="32" t="s">
        <v>46</v>
      </c>
      <c r="H241" s="27"/>
      <c r="I241" s="27" t="s">
        <v>47</v>
      </c>
      <c r="J241" s="33">
        <v>1</v>
      </c>
      <c r="K241" s="37">
        <f>12990</f>
        <v>12990</v>
      </c>
      <c r="L241" s="34" t="s">
        <v>48</v>
      </c>
      <c r="M241" s="37">
        <f>14400</f>
        <v>14400</v>
      </c>
      <c r="N241" s="34" t="s">
        <v>92</v>
      </c>
      <c r="O241" s="37">
        <f>12500</f>
        <v>12500</v>
      </c>
      <c r="P241" s="34" t="s">
        <v>48</v>
      </c>
      <c r="Q241" s="37">
        <f>13950</f>
        <v>13950</v>
      </c>
      <c r="R241" s="34" t="s">
        <v>50</v>
      </c>
      <c r="S241" s="36">
        <f>13932.63</f>
        <v>13932.63</v>
      </c>
      <c r="T241" s="33">
        <f>3983</f>
        <v>3983</v>
      </c>
      <c r="U241" s="33" t="str">
        <f>"－"</f>
        <v>－</v>
      </c>
      <c r="V241" s="33">
        <f>55299150</f>
        <v>55299150</v>
      </c>
      <c r="W241" s="33" t="str">
        <f>"－"</f>
        <v>－</v>
      </c>
      <c r="X241" s="35">
        <f>19</f>
        <v>19</v>
      </c>
    </row>
    <row r="242" spans="1:24">
      <c r="A242" s="29" t="s">
        <v>42</v>
      </c>
      <c r="B242" s="29" t="s">
        <v>771</v>
      </c>
      <c r="C242" s="29" t="s">
        <v>772</v>
      </c>
      <c r="D242" s="29" t="s">
        <v>773</v>
      </c>
      <c r="E242" s="30" t="s">
        <v>46</v>
      </c>
      <c r="F242" s="31" t="s">
        <v>46</v>
      </c>
      <c r="G242" s="32" t="s">
        <v>46</v>
      </c>
      <c r="H242" s="27"/>
      <c r="I242" s="27" t="s">
        <v>47</v>
      </c>
      <c r="J242" s="33">
        <v>1</v>
      </c>
      <c r="K242" s="37">
        <f>1911</f>
        <v>1911</v>
      </c>
      <c r="L242" s="34" t="s">
        <v>48</v>
      </c>
      <c r="M242" s="37">
        <f>1976</f>
        <v>1976</v>
      </c>
      <c r="N242" s="34" t="s">
        <v>50</v>
      </c>
      <c r="O242" s="37">
        <f>1869</f>
        <v>1869</v>
      </c>
      <c r="P242" s="34" t="s">
        <v>48</v>
      </c>
      <c r="Q242" s="37">
        <f>1962</f>
        <v>1962</v>
      </c>
      <c r="R242" s="34" t="s">
        <v>50</v>
      </c>
      <c r="S242" s="36">
        <f>1903.58</f>
        <v>1903.58</v>
      </c>
      <c r="T242" s="33">
        <f>13246</f>
        <v>13246</v>
      </c>
      <c r="U242" s="33" t="str">
        <f>"－"</f>
        <v>－</v>
      </c>
      <c r="V242" s="33">
        <f>25331699</f>
        <v>25331699</v>
      </c>
      <c r="W242" s="33" t="str">
        <f>"－"</f>
        <v>－</v>
      </c>
      <c r="X242" s="35">
        <f>19</f>
        <v>19</v>
      </c>
    </row>
    <row r="243" spans="1:24">
      <c r="A243" s="29" t="s">
        <v>42</v>
      </c>
      <c r="B243" s="29" t="s">
        <v>774</v>
      </c>
      <c r="C243" s="29" t="s">
        <v>775</v>
      </c>
      <c r="D243" s="29" t="s">
        <v>776</v>
      </c>
      <c r="E243" s="30" t="s">
        <v>46</v>
      </c>
      <c r="F243" s="31" t="s">
        <v>46</v>
      </c>
      <c r="G243" s="32" t="s">
        <v>46</v>
      </c>
      <c r="H243" s="27"/>
      <c r="I243" s="27" t="s">
        <v>47</v>
      </c>
      <c r="J243" s="33">
        <v>10</v>
      </c>
      <c r="K243" s="37">
        <f>1359</f>
        <v>1359</v>
      </c>
      <c r="L243" s="34" t="s">
        <v>48</v>
      </c>
      <c r="M243" s="37">
        <f>1450</f>
        <v>1450</v>
      </c>
      <c r="N243" s="34" t="s">
        <v>96</v>
      </c>
      <c r="O243" s="37">
        <f>1301</f>
        <v>1301</v>
      </c>
      <c r="P243" s="34" t="s">
        <v>48</v>
      </c>
      <c r="Q243" s="37">
        <f>1427</f>
        <v>1427</v>
      </c>
      <c r="R243" s="34" t="s">
        <v>50</v>
      </c>
      <c r="S243" s="36">
        <f>1392.68</f>
        <v>1392.68</v>
      </c>
      <c r="T243" s="33">
        <f>4120</f>
        <v>4120</v>
      </c>
      <c r="U243" s="33" t="str">
        <f>"－"</f>
        <v>－</v>
      </c>
      <c r="V243" s="33">
        <f>5736280</f>
        <v>5736280</v>
      </c>
      <c r="W243" s="33" t="str">
        <f>"－"</f>
        <v>－</v>
      </c>
      <c r="X243" s="35">
        <f>19</f>
        <v>19</v>
      </c>
    </row>
    <row r="244" spans="1:24">
      <c r="A244" s="29" t="s">
        <v>42</v>
      </c>
      <c r="B244" s="29" t="s">
        <v>777</v>
      </c>
      <c r="C244" s="29" t="s">
        <v>778</v>
      </c>
      <c r="D244" s="29" t="s">
        <v>779</v>
      </c>
      <c r="E244" s="30" t="s">
        <v>46</v>
      </c>
      <c r="F244" s="31" t="s">
        <v>46</v>
      </c>
      <c r="G244" s="32" t="s">
        <v>46</v>
      </c>
      <c r="H244" s="27"/>
      <c r="I244" s="27" t="s">
        <v>47</v>
      </c>
      <c r="J244" s="33">
        <v>10</v>
      </c>
      <c r="K244" s="37">
        <f>1030</f>
        <v>1030</v>
      </c>
      <c r="L244" s="34" t="s">
        <v>48</v>
      </c>
      <c r="M244" s="37">
        <f>1032</f>
        <v>1032</v>
      </c>
      <c r="N244" s="34" t="s">
        <v>48</v>
      </c>
      <c r="O244" s="37">
        <f>1023</f>
        <v>1023</v>
      </c>
      <c r="P244" s="34" t="s">
        <v>131</v>
      </c>
      <c r="Q244" s="37">
        <f>1028</f>
        <v>1028</v>
      </c>
      <c r="R244" s="34" t="s">
        <v>50</v>
      </c>
      <c r="S244" s="36">
        <f>1028.21</f>
        <v>1028.21</v>
      </c>
      <c r="T244" s="33">
        <f>411130</f>
        <v>411130</v>
      </c>
      <c r="U244" s="33">
        <f>248410</f>
        <v>248410</v>
      </c>
      <c r="V244" s="33">
        <f>423055552</f>
        <v>423055552</v>
      </c>
      <c r="W244" s="33">
        <f>255796072</f>
        <v>255796072</v>
      </c>
      <c r="X244" s="35">
        <f>19</f>
        <v>19</v>
      </c>
    </row>
    <row r="245" spans="1:24">
      <c r="A245" s="29" t="s">
        <v>42</v>
      </c>
      <c r="B245" s="29" t="s">
        <v>780</v>
      </c>
      <c r="C245" s="29" t="s">
        <v>781</v>
      </c>
      <c r="D245" s="29" t="s">
        <v>782</v>
      </c>
      <c r="E245" s="30" t="s">
        <v>46</v>
      </c>
      <c r="F245" s="31" t="s">
        <v>46</v>
      </c>
      <c r="G245" s="32" t="s">
        <v>46</v>
      </c>
      <c r="H245" s="27"/>
      <c r="I245" s="27" t="s">
        <v>47</v>
      </c>
      <c r="J245" s="33">
        <v>10</v>
      </c>
      <c r="K245" s="37">
        <f>1831</f>
        <v>1831</v>
      </c>
      <c r="L245" s="34" t="s">
        <v>48</v>
      </c>
      <c r="M245" s="37">
        <f>1899</f>
        <v>1899</v>
      </c>
      <c r="N245" s="34" t="s">
        <v>50</v>
      </c>
      <c r="O245" s="37">
        <f>1773</f>
        <v>1773</v>
      </c>
      <c r="P245" s="34" t="s">
        <v>92</v>
      </c>
      <c r="Q245" s="37">
        <f>1875</f>
        <v>1875</v>
      </c>
      <c r="R245" s="34" t="s">
        <v>50</v>
      </c>
      <c r="S245" s="36">
        <f>1813.21</f>
        <v>1813.21</v>
      </c>
      <c r="T245" s="33">
        <f>209530</f>
        <v>209530</v>
      </c>
      <c r="U245" s="33">
        <f>55000</f>
        <v>55000</v>
      </c>
      <c r="V245" s="33">
        <f>378566660</f>
        <v>378566660</v>
      </c>
      <c r="W245" s="33">
        <f>97396700</f>
        <v>97396700</v>
      </c>
      <c r="X245" s="35">
        <f>19</f>
        <v>19</v>
      </c>
    </row>
    <row r="246" spans="1:24">
      <c r="A246" s="29" t="s">
        <v>42</v>
      </c>
      <c r="B246" s="29" t="s">
        <v>783</v>
      </c>
      <c r="C246" s="29" t="s">
        <v>784</v>
      </c>
      <c r="D246" s="29" t="s">
        <v>785</v>
      </c>
      <c r="E246" s="30" t="s">
        <v>46</v>
      </c>
      <c r="F246" s="31" t="s">
        <v>46</v>
      </c>
      <c r="G246" s="32" t="s">
        <v>46</v>
      </c>
      <c r="H246" s="27"/>
      <c r="I246" s="27" t="s">
        <v>47</v>
      </c>
      <c r="J246" s="33">
        <v>10</v>
      </c>
      <c r="K246" s="37">
        <f>1874</f>
        <v>1874</v>
      </c>
      <c r="L246" s="34" t="s">
        <v>48</v>
      </c>
      <c r="M246" s="37">
        <f>1944</f>
        <v>1944</v>
      </c>
      <c r="N246" s="34" t="s">
        <v>48</v>
      </c>
      <c r="O246" s="37">
        <f>1793</f>
        <v>1793</v>
      </c>
      <c r="P246" s="34" t="s">
        <v>613</v>
      </c>
      <c r="Q246" s="37">
        <f>1872</f>
        <v>1872</v>
      </c>
      <c r="R246" s="34" t="s">
        <v>50</v>
      </c>
      <c r="S246" s="36">
        <f>1832.63</f>
        <v>1832.63</v>
      </c>
      <c r="T246" s="33">
        <f>671390</f>
        <v>671390</v>
      </c>
      <c r="U246" s="33">
        <f>481210</f>
        <v>481210</v>
      </c>
      <c r="V246" s="33">
        <f>1212801609</f>
        <v>1212801609</v>
      </c>
      <c r="W246" s="33">
        <f>864482239</f>
        <v>864482239</v>
      </c>
      <c r="X246" s="35">
        <f>19</f>
        <v>19</v>
      </c>
    </row>
    <row r="247" spans="1:24">
      <c r="A247" s="29" t="s">
        <v>42</v>
      </c>
      <c r="B247" s="29" t="s">
        <v>786</v>
      </c>
      <c r="C247" s="29" t="s">
        <v>787</v>
      </c>
      <c r="D247" s="29" t="s">
        <v>788</v>
      </c>
      <c r="E247" s="30" t="s">
        <v>46</v>
      </c>
      <c r="F247" s="31" t="s">
        <v>46</v>
      </c>
      <c r="G247" s="32" t="s">
        <v>46</v>
      </c>
      <c r="H247" s="27"/>
      <c r="I247" s="27" t="s">
        <v>47</v>
      </c>
      <c r="J247" s="33">
        <v>10</v>
      </c>
      <c r="K247" s="37">
        <f>1816</f>
        <v>1816</v>
      </c>
      <c r="L247" s="34" t="s">
        <v>48</v>
      </c>
      <c r="M247" s="37">
        <f>1879</f>
        <v>1879</v>
      </c>
      <c r="N247" s="34" t="s">
        <v>49</v>
      </c>
      <c r="O247" s="37">
        <f>1796</f>
        <v>1796</v>
      </c>
      <c r="P247" s="34" t="s">
        <v>84</v>
      </c>
      <c r="Q247" s="37">
        <f>1862</f>
        <v>1862</v>
      </c>
      <c r="R247" s="34" t="s">
        <v>69</v>
      </c>
      <c r="S247" s="36">
        <f>1843.71</f>
        <v>1843.71</v>
      </c>
      <c r="T247" s="33">
        <f>42130</f>
        <v>42130</v>
      </c>
      <c r="U247" s="33" t="str">
        <f>"－"</f>
        <v>－</v>
      </c>
      <c r="V247" s="33">
        <f>78772120</f>
        <v>78772120</v>
      </c>
      <c r="W247" s="33" t="str">
        <f>"－"</f>
        <v>－</v>
      </c>
      <c r="X247" s="35">
        <f>7</f>
        <v>7</v>
      </c>
    </row>
    <row r="248" spans="1:24">
      <c r="A248" s="29" t="s">
        <v>42</v>
      </c>
      <c r="B248" s="29" t="s">
        <v>789</v>
      </c>
      <c r="C248" s="29" t="s">
        <v>790</v>
      </c>
      <c r="D248" s="29" t="s">
        <v>791</v>
      </c>
      <c r="E248" s="30" t="s">
        <v>46</v>
      </c>
      <c r="F248" s="31" t="s">
        <v>46</v>
      </c>
      <c r="G248" s="32" t="s">
        <v>46</v>
      </c>
      <c r="H248" s="27"/>
      <c r="I248" s="27" t="s">
        <v>47</v>
      </c>
      <c r="J248" s="33">
        <v>1</v>
      </c>
      <c r="K248" s="37">
        <f>11080</f>
        <v>11080</v>
      </c>
      <c r="L248" s="34" t="s">
        <v>48</v>
      </c>
      <c r="M248" s="37">
        <f>11450</f>
        <v>11450</v>
      </c>
      <c r="N248" s="34" t="s">
        <v>176</v>
      </c>
      <c r="O248" s="37">
        <f>10860</f>
        <v>10860</v>
      </c>
      <c r="P248" s="34" t="s">
        <v>77</v>
      </c>
      <c r="Q248" s="37">
        <f>11160</f>
        <v>11160</v>
      </c>
      <c r="R248" s="34" t="s">
        <v>50</v>
      </c>
      <c r="S248" s="36">
        <f>11236.32</f>
        <v>11236.32</v>
      </c>
      <c r="T248" s="33">
        <f>283776</f>
        <v>283776</v>
      </c>
      <c r="U248" s="33">
        <f>35707</f>
        <v>35707</v>
      </c>
      <c r="V248" s="33">
        <f>3177263058</f>
        <v>3177263058</v>
      </c>
      <c r="W248" s="33">
        <f>401595708</f>
        <v>401595708</v>
      </c>
      <c r="X248" s="35">
        <f>19</f>
        <v>19</v>
      </c>
    </row>
    <row r="249" spans="1:24">
      <c r="A249" s="29" t="s">
        <v>42</v>
      </c>
      <c r="B249" s="29" t="s">
        <v>792</v>
      </c>
      <c r="C249" s="29" t="s">
        <v>793</v>
      </c>
      <c r="D249" s="29" t="s">
        <v>794</v>
      </c>
      <c r="E249" s="30" t="s">
        <v>46</v>
      </c>
      <c r="F249" s="31" t="s">
        <v>46</v>
      </c>
      <c r="G249" s="32" t="s">
        <v>46</v>
      </c>
      <c r="H249" s="27"/>
      <c r="I249" s="27" t="s">
        <v>47</v>
      </c>
      <c r="J249" s="33">
        <v>1</v>
      </c>
      <c r="K249" s="37">
        <f>10970</f>
        <v>10970</v>
      </c>
      <c r="L249" s="34" t="s">
        <v>48</v>
      </c>
      <c r="M249" s="37">
        <f>11490</f>
        <v>11490</v>
      </c>
      <c r="N249" s="34" t="s">
        <v>268</v>
      </c>
      <c r="O249" s="37">
        <f>10870</f>
        <v>10870</v>
      </c>
      <c r="P249" s="34" t="s">
        <v>77</v>
      </c>
      <c r="Q249" s="37">
        <f>11080</f>
        <v>11080</v>
      </c>
      <c r="R249" s="34" t="s">
        <v>50</v>
      </c>
      <c r="S249" s="36">
        <f>11226.84</f>
        <v>11226.84</v>
      </c>
      <c r="T249" s="33">
        <f>97107</f>
        <v>97107</v>
      </c>
      <c r="U249" s="33">
        <f>3</f>
        <v>3</v>
      </c>
      <c r="V249" s="33">
        <f>1087115680</f>
        <v>1087115680</v>
      </c>
      <c r="W249" s="33">
        <f>33270</f>
        <v>33270</v>
      </c>
      <c r="X249" s="35">
        <f>19</f>
        <v>19</v>
      </c>
    </row>
    <row r="250" spans="1:24">
      <c r="A250" s="29" t="s">
        <v>42</v>
      </c>
      <c r="B250" s="29" t="s">
        <v>795</v>
      </c>
      <c r="C250" s="29" t="s">
        <v>796</v>
      </c>
      <c r="D250" s="29" t="s">
        <v>797</v>
      </c>
      <c r="E250" s="30" t="s">
        <v>46</v>
      </c>
      <c r="F250" s="31" t="s">
        <v>46</v>
      </c>
      <c r="G250" s="32" t="s">
        <v>46</v>
      </c>
      <c r="H250" s="27"/>
      <c r="I250" s="27" t="s">
        <v>47</v>
      </c>
      <c r="J250" s="33">
        <v>1</v>
      </c>
      <c r="K250" s="37">
        <f>24060</f>
        <v>24060</v>
      </c>
      <c r="L250" s="34" t="s">
        <v>48</v>
      </c>
      <c r="M250" s="37">
        <f>25300</f>
        <v>25300</v>
      </c>
      <c r="N250" s="34" t="s">
        <v>132</v>
      </c>
      <c r="O250" s="37">
        <f>23660</f>
        <v>23660</v>
      </c>
      <c r="P250" s="34" t="s">
        <v>132</v>
      </c>
      <c r="Q250" s="37">
        <f>24150</f>
        <v>24150</v>
      </c>
      <c r="R250" s="34" t="s">
        <v>50</v>
      </c>
      <c r="S250" s="36">
        <f>24461.05</f>
        <v>24461.05</v>
      </c>
      <c r="T250" s="33">
        <f>1326</f>
        <v>1326</v>
      </c>
      <c r="U250" s="33" t="str">
        <f>"－"</f>
        <v>－</v>
      </c>
      <c r="V250" s="33">
        <f>32710420</f>
        <v>32710420</v>
      </c>
      <c r="W250" s="33" t="str">
        <f>"－"</f>
        <v>－</v>
      </c>
      <c r="X250" s="35">
        <f>19</f>
        <v>19</v>
      </c>
    </row>
    <row r="251" spans="1:24">
      <c r="A251" s="29" t="s">
        <v>42</v>
      </c>
      <c r="B251" s="29" t="s">
        <v>798</v>
      </c>
      <c r="C251" s="29" t="s">
        <v>799</v>
      </c>
      <c r="D251" s="29" t="s">
        <v>800</v>
      </c>
      <c r="E251" s="30" t="s">
        <v>46</v>
      </c>
      <c r="F251" s="31" t="s">
        <v>46</v>
      </c>
      <c r="G251" s="32" t="s">
        <v>46</v>
      </c>
      <c r="H251" s="27"/>
      <c r="I251" s="27" t="s">
        <v>47</v>
      </c>
      <c r="J251" s="33">
        <v>1</v>
      </c>
      <c r="K251" s="37">
        <f>2736</f>
        <v>2736</v>
      </c>
      <c r="L251" s="34" t="s">
        <v>48</v>
      </c>
      <c r="M251" s="37">
        <f>2737</f>
        <v>2737</v>
      </c>
      <c r="N251" s="34" t="s">
        <v>84</v>
      </c>
      <c r="O251" s="37">
        <f>2720</f>
        <v>2720</v>
      </c>
      <c r="P251" s="34" t="s">
        <v>100</v>
      </c>
      <c r="Q251" s="37">
        <f>2721</f>
        <v>2721</v>
      </c>
      <c r="R251" s="34" t="s">
        <v>50</v>
      </c>
      <c r="S251" s="36">
        <f>2724.68</f>
        <v>2724.68</v>
      </c>
      <c r="T251" s="33">
        <f>701190</f>
        <v>701190</v>
      </c>
      <c r="U251" s="33">
        <f>669940</f>
        <v>669940</v>
      </c>
      <c r="V251" s="33">
        <f>1909771822</f>
        <v>1909771822</v>
      </c>
      <c r="W251" s="33">
        <f>1824562347</f>
        <v>1824562347</v>
      </c>
      <c r="X251" s="35">
        <f>19</f>
        <v>19</v>
      </c>
    </row>
    <row r="252" spans="1:24">
      <c r="A252" s="29" t="s">
        <v>42</v>
      </c>
      <c r="B252" s="29" t="s">
        <v>801</v>
      </c>
      <c r="C252" s="29" t="s">
        <v>802</v>
      </c>
      <c r="D252" s="29" t="s">
        <v>803</v>
      </c>
      <c r="E252" s="30" t="s">
        <v>46</v>
      </c>
      <c r="F252" s="31" t="s">
        <v>46</v>
      </c>
      <c r="G252" s="32" t="s">
        <v>46</v>
      </c>
      <c r="H252" s="27"/>
      <c r="I252" s="27" t="s">
        <v>47</v>
      </c>
      <c r="J252" s="33">
        <v>10</v>
      </c>
      <c r="K252" s="37">
        <f>2649</f>
        <v>2649</v>
      </c>
      <c r="L252" s="34" t="s">
        <v>48</v>
      </c>
      <c r="M252" s="37">
        <f>2695</f>
        <v>2695</v>
      </c>
      <c r="N252" s="34" t="s">
        <v>268</v>
      </c>
      <c r="O252" s="37">
        <f>2594</f>
        <v>2594</v>
      </c>
      <c r="P252" s="34" t="s">
        <v>88</v>
      </c>
      <c r="Q252" s="37">
        <f>2606</f>
        <v>2606</v>
      </c>
      <c r="R252" s="34" t="s">
        <v>50</v>
      </c>
      <c r="S252" s="36">
        <f>2657.47</f>
        <v>2657.47</v>
      </c>
      <c r="T252" s="33">
        <f>2084260</f>
        <v>2084260</v>
      </c>
      <c r="U252" s="33">
        <f>747700</f>
        <v>747700</v>
      </c>
      <c r="V252" s="33">
        <f>5541071183</f>
        <v>5541071183</v>
      </c>
      <c r="W252" s="33">
        <f>1990974083</f>
        <v>1990974083</v>
      </c>
      <c r="X252" s="35">
        <f>19</f>
        <v>19</v>
      </c>
    </row>
    <row r="253" spans="1:24">
      <c r="A253" s="29" t="s">
        <v>42</v>
      </c>
      <c r="B253" s="29" t="s">
        <v>804</v>
      </c>
      <c r="C253" s="29" t="s">
        <v>805</v>
      </c>
      <c r="D253" s="29" t="s">
        <v>806</v>
      </c>
      <c r="E253" s="30" t="s">
        <v>46</v>
      </c>
      <c r="F253" s="31" t="s">
        <v>46</v>
      </c>
      <c r="G253" s="32" t="s">
        <v>46</v>
      </c>
      <c r="H253" s="27"/>
      <c r="I253" s="27" t="s">
        <v>47</v>
      </c>
      <c r="J253" s="33">
        <v>1</v>
      </c>
      <c r="K253" s="37">
        <f>2436</f>
        <v>2436</v>
      </c>
      <c r="L253" s="34" t="s">
        <v>48</v>
      </c>
      <c r="M253" s="37">
        <f>2507</f>
        <v>2507</v>
      </c>
      <c r="N253" s="34" t="s">
        <v>268</v>
      </c>
      <c r="O253" s="37">
        <f>2395</f>
        <v>2395</v>
      </c>
      <c r="P253" s="34" t="s">
        <v>77</v>
      </c>
      <c r="Q253" s="37">
        <f>2425</f>
        <v>2425</v>
      </c>
      <c r="R253" s="34" t="s">
        <v>50</v>
      </c>
      <c r="S253" s="36">
        <f>2457.74</f>
        <v>2457.7399999999998</v>
      </c>
      <c r="T253" s="33">
        <f>3236949</f>
        <v>3236949</v>
      </c>
      <c r="U253" s="33">
        <f>2310505</f>
        <v>2310505</v>
      </c>
      <c r="V253" s="33">
        <f>7942136792</f>
        <v>7942136792</v>
      </c>
      <c r="W253" s="33">
        <f>5657839261</f>
        <v>5657839261</v>
      </c>
      <c r="X253" s="35">
        <f>19</f>
        <v>19</v>
      </c>
    </row>
    <row r="254" spans="1:24">
      <c r="A254" s="29" t="s">
        <v>42</v>
      </c>
      <c r="B254" s="29" t="s">
        <v>807</v>
      </c>
      <c r="C254" s="29" t="s">
        <v>808</v>
      </c>
      <c r="D254" s="29" t="s">
        <v>809</v>
      </c>
      <c r="E254" s="30" t="s">
        <v>46</v>
      </c>
      <c r="F254" s="31" t="s">
        <v>46</v>
      </c>
      <c r="G254" s="32" t="s">
        <v>46</v>
      </c>
      <c r="H254" s="27"/>
      <c r="I254" s="27" t="s">
        <v>47</v>
      </c>
      <c r="J254" s="33">
        <v>1</v>
      </c>
      <c r="K254" s="37">
        <f>1619</f>
        <v>1619</v>
      </c>
      <c r="L254" s="34" t="s">
        <v>48</v>
      </c>
      <c r="M254" s="37">
        <f>1707</f>
        <v>1707</v>
      </c>
      <c r="N254" s="34" t="s">
        <v>49</v>
      </c>
      <c r="O254" s="37">
        <f>1590</f>
        <v>1590</v>
      </c>
      <c r="P254" s="34" t="s">
        <v>48</v>
      </c>
      <c r="Q254" s="37">
        <f>1656</f>
        <v>1656</v>
      </c>
      <c r="R254" s="34" t="s">
        <v>50</v>
      </c>
      <c r="S254" s="36">
        <f>1664.74</f>
        <v>1664.74</v>
      </c>
      <c r="T254" s="33">
        <f>236264</f>
        <v>236264</v>
      </c>
      <c r="U254" s="33">
        <f>225000</f>
        <v>225000</v>
      </c>
      <c r="V254" s="33">
        <f>395074581</f>
        <v>395074581</v>
      </c>
      <c r="W254" s="33">
        <f>376364250</f>
        <v>376364250</v>
      </c>
      <c r="X254" s="35">
        <f>19</f>
        <v>19</v>
      </c>
    </row>
    <row r="255" spans="1:24">
      <c r="A255" s="29" t="s">
        <v>42</v>
      </c>
      <c r="B255" s="29" t="s">
        <v>810</v>
      </c>
      <c r="C255" s="29" t="s">
        <v>811</v>
      </c>
      <c r="D255" s="29" t="s">
        <v>812</v>
      </c>
      <c r="E255" s="30" t="s">
        <v>46</v>
      </c>
      <c r="F255" s="31" t="s">
        <v>46</v>
      </c>
      <c r="G255" s="32" t="s">
        <v>46</v>
      </c>
      <c r="H255" s="27"/>
      <c r="I255" s="27" t="s">
        <v>47</v>
      </c>
      <c r="J255" s="33">
        <v>1</v>
      </c>
      <c r="K255" s="37">
        <f>1045</f>
        <v>1045</v>
      </c>
      <c r="L255" s="34" t="s">
        <v>48</v>
      </c>
      <c r="M255" s="37">
        <f>1079</f>
        <v>1079</v>
      </c>
      <c r="N255" s="34" t="s">
        <v>50</v>
      </c>
      <c r="O255" s="37">
        <f>1031</f>
        <v>1031</v>
      </c>
      <c r="P255" s="34" t="s">
        <v>69</v>
      </c>
      <c r="Q255" s="37">
        <f>1069</f>
        <v>1069</v>
      </c>
      <c r="R255" s="34" t="s">
        <v>50</v>
      </c>
      <c r="S255" s="36">
        <f>1053.84</f>
        <v>1053.8399999999999</v>
      </c>
      <c r="T255" s="33">
        <f>251403</f>
        <v>251403</v>
      </c>
      <c r="U255" s="33">
        <f>80000</f>
        <v>80000</v>
      </c>
      <c r="V255" s="33">
        <f>263680918</f>
        <v>263680918</v>
      </c>
      <c r="W255" s="33">
        <f>83008000</f>
        <v>83008000</v>
      </c>
      <c r="X255" s="35">
        <f>19</f>
        <v>19</v>
      </c>
    </row>
    <row r="256" spans="1:24">
      <c r="A256" s="29" t="s">
        <v>42</v>
      </c>
      <c r="B256" s="29" t="s">
        <v>813</v>
      </c>
      <c r="C256" s="29" t="s">
        <v>814</v>
      </c>
      <c r="D256" s="29" t="s">
        <v>815</v>
      </c>
      <c r="E256" s="30" t="s">
        <v>46</v>
      </c>
      <c r="F256" s="31" t="s">
        <v>46</v>
      </c>
      <c r="G256" s="32" t="s">
        <v>46</v>
      </c>
      <c r="H256" s="27"/>
      <c r="I256" s="27" t="s">
        <v>47</v>
      </c>
      <c r="J256" s="33">
        <v>10</v>
      </c>
      <c r="K256" s="37">
        <f>1000</f>
        <v>1000</v>
      </c>
      <c r="L256" s="34" t="s">
        <v>48</v>
      </c>
      <c r="M256" s="37">
        <f>1041</f>
        <v>1041</v>
      </c>
      <c r="N256" s="34" t="s">
        <v>50</v>
      </c>
      <c r="O256" s="37">
        <f>978</f>
        <v>978</v>
      </c>
      <c r="P256" s="34" t="s">
        <v>48</v>
      </c>
      <c r="Q256" s="37">
        <f>1029</f>
        <v>1029</v>
      </c>
      <c r="R256" s="34" t="s">
        <v>50</v>
      </c>
      <c r="S256" s="36">
        <f>1000.74</f>
        <v>1000.74</v>
      </c>
      <c r="T256" s="33">
        <f>270550</f>
        <v>270550</v>
      </c>
      <c r="U256" s="33" t="str">
        <f>"－"</f>
        <v>－</v>
      </c>
      <c r="V256" s="33">
        <f>269274920</f>
        <v>269274920</v>
      </c>
      <c r="W256" s="33" t="str">
        <f>"－"</f>
        <v>－</v>
      </c>
      <c r="X256" s="35">
        <f>19</f>
        <v>19</v>
      </c>
    </row>
    <row r="257" spans="1:24">
      <c r="A257" s="29" t="s">
        <v>42</v>
      </c>
      <c r="B257" s="29" t="s">
        <v>816</v>
      </c>
      <c r="C257" s="29" t="s">
        <v>817</v>
      </c>
      <c r="D257" s="29" t="s">
        <v>818</v>
      </c>
      <c r="E257" s="30" t="s">
        <v>46</v>
      </c>
      <c r="F257" s="31" t="s">
        <v>46</v>
      </c>
      <c r="G257" s="32" t="s">
        <v>46</v>
      </c>
      <c r="H257" s="27"/>
      <c r="I257" s="27" t="s">
        <v>47</v>
      </c>
      <c r="J257" s="33">
        <v>10</v>
      </c>
      <c r="K257" s="37">
        <f>253</f>
        <v>253</v>
      </c>
      <c r="L257" s="34" t="s">
        <v>48</v>
      </c>
      <c r="M257" s="37">
        <f>267</f>
        <v>267</v>
      </c>
      <c r="N257" s="34" t="s">
        <v>96</v>
      </c>
      <c r="O257" s="37">
        <f>234</f>
        <v>234</v>
      </c>
      <c r="P257" s="34" t="s">
        <v>77</v>
      </c>
      <c r="Q257" s="37">
        <f>244</f>
        <v>244</v>
      </c>
      <c r="R257" s="34" t="s">
        <v>50</v>
      </c>
      <c r="S257" s="36">
        <f>246.42</f>
        <v>246.42</v>
      </c>
      <c r="T257" s="33">
        <f>169420</f>
        <v>169420</v>
      </c>
      <c r="U257" s="33" t="str">
        <f>"－"</f>
        <v>－</v>
      </c>
      <c r="V257" s="33">
        <f>42127980</f>
        <v>42127980</v>
      </c>
      <c r="W257" s="33" t="str">
        <f>"－"</f>
        <v>－</v>
      </c>
      <c r="X257" s="35">
        <f>19</f>
        <v>19</v>
      </c>
    </row>
    <row r="258" spans="1:24">
      <c r="A258" s="29" t="s">
        <v>42</v>
      </c>
      <c r="B258" s="29" t="s">
        <v>819</v>
      </c>
      <c r="C258" s="29" t="s">
        <v>820</v>
      </c>
      <c r="D258" s="29" t="s">
        <v>821</v>
      </c>
      <c r="E258" s="30" t="s">
        <v>46</v>
      </c>
      <c r="F258" s="31" t="s">
        <v>46</v>
      </c>
      <c r="G258" s="32" t="s">
        <v>46</v>
      </c>
      <c r="H258" s="27"/>
      <c r="I258" s="27" t="s">
        <v>47</v>
      </c>
      <c r="J258" s="33">
        <v>10</v>
      </c>
      <c r="K258" s="37">
        <f>2290</f>
        <v>2290</v>
      </c>
      <c r="L258" s="34" t="s">
        <v>48</v>
      </c>
      <c r="M258" s="37">
        <f>2424</f>
        <v>2424</v>
      </c>
      <c r="N258" s="34" t="s">
        <v>73</v>
      </c>
      <c r="O258" s="37">
        <f>2240</f>
        <v>2240</v>
      </c>
      <c r="P258" s="34" t="s">
        <v>77</v>
      </c>
      <c r="Q258" s="37">
        <f>2342</f>
        <v>2342</v>
      </c>
      <c r="R258" s="34" t="s">
        <v>50</v>
      </c>
      <c r="S258" s="36">
        <f>2327</f>
        <v>2327</v>
      </c>
      <c r="T258" s="33">
        <f>3016490</f>
        <v>3016490</v>
      </c>
      <c r="U258" s="33">
        <f>986250</f>
        <v>986250</v>
      </c>
      <c r="V258" s="33">
        <f>7029636565</f>
        <v>7029636565</v>
      </c>
      <c r="W258" s="33">
        <f>2276152715</f>
        <v>2276152715</v>
      </c>
      <c r="X258" s="35">
        <f>19</f>
        <v>19</v>
      </c>
    </row>
    <row r="259" spans="1:24">
      <c r="A259" s="29" t="s">
        <v>42</v>
      </c>
      <c r="B259" s="29" t="s">
        <v>822</v>
      </c>
      <c r="C259" s="29" t="s">
        <v>823</v>
      </c>
      <c r="D259" s="29" t="s">
        <v>824</v>
      </c>
      <c r="E259" s="30" t="s">
        <v>46</v>
      </c>
      <c r="F259" s="31" t="s">
        <v>46</v>
      </c>
      <c r="G259" s="32" t="s">
        <v>46</v>
      </c>
      <c r="H259" s="27"/>
      <c r="I259" s="27" t="s">
        <v>47</v>
      </c>
      <c r="J259" s="33">
        <v>10</v>
      </c>
      <c r="K259" s="37">
        <f>2320</f>
        <v>2320</v>
      </c>
      <c r="L259" s="34" t="s">
        <v>48</v>
      </c>
      <c r="M259" s="37">
        <f>2446</f>
        <v>2446</v>
      </c>
      <c r="N259" s="34" t="s">
        <v>176</v>
      </c>
      <c r="O259" s="37">
        <f>2268</f>
        <v>2268</v>
      </c>
      <c r="P259" s="34" t="s">
        <v>77</v>
      </c>
      <c r="Q259" s="37">
        <f>2340</f>
        <v>2340</v>
      </c>
      <c r="R259" s="34" t="s">
        <v>50</v>
      </c>
      <c r="S259" s="36">
        <f>2345.89</f>
        <v>2345.89</v>
      </c>
      <c r="T259" s="33">
        <f>4518320</f>
        <v>4518320</v>
      </c>
      <c r="U259" s="33">
        <f>1397560</f>
        <v>1397560</v>
      </c>
      <c r="V259" s="33">
        <f>10684432463</f>
        <v>10684432463</v>
      </c>
      <c r="W259" s="33">
        <f>3293522063</f>
        <v>3293522063</v>
      </c>
      <c r="X259" s="35">
        <f>19</f>
        <v>19</v>
      </c>
    </row>
    <row r="260" spans="1:24">
      <c r="A260" s="29" t="s">
        <v>42</v>
      </c>
      <c r="B260" s="29" t="s">
        <v>825</v>
      </c>
      <c r="C260" s="29" t="s">
        <v>826</v>
      </c>
      <c r="D260" s="29" t="s">
        <v>827</v>
      </c>
      <c r="E260" s="30" t="s">
        <v>46</v>
      </c>
      <c r="F260" s="31" t="s">
        <v>46</v>
      </c>
      <c r="G260" s="32" t="s">
        <v>46</v>
      </c>
      <c r="H260" s="27"/>
      <c r="I260" s="27" t="s">
        <v>47</v>
      </c>
      <c r="J260" s="33">
        <v>1</v>
      </c>
      <c r="K260" s="37">
        <f>2471</f>
        <v>2471</v>
      </c>
      <c r="L260" s="34" t="s">
        <v>48</v>
      </c>
      <c r="M260" s="37">
        <f>2481</f>
        <v>2481</v>
      </c>
      <c r="N260" s="34" t="s">
        <v>131</v>
      </c>
      <c r="O260" s="37">
        <f>2432</f>
        <v>2432</v>
      </c>
      <c r="P260" s="34" t="s">
        <v>77</v>
      </c>
      <c r="Q260" s="37">
        <f>2479</f>
        <v>2479</v>
      </c>
      <c r="R260" s="34" t="s">
        <v>50</v>
      </c>
      <c r="S260" s="36">
        <f>2458.37</f>
        <v>2458.37</v>
      </c>
      <c r="T260" s="33">
        <f>37713</f>
        <v>37713</v>
      </c>
      <c r="U260" s="33" t="str">
        <f>"－"</f>
        <v>－</v>
      </c>
      <c r="V260" s="33">
        <f>92845472</f>
        <v>92845472</v>
      </c>
      <c r="W260" s="33" t="str">
        <f>"－"</f>
        <v>－</v>
      </c>
      <c r="X260" s="35">
        <f>19</f>
        <v>19</v>
      </c>
    </row>
    <row r="261" spans="1:24">
      <c r="A261" s="29" t="s">
        <v>42</v>
      </c>
      <c r="B261" s="29" t="s">
        <v>828</v>
      </c>
      <c r="C261" s="29" t="s">
        <v>829</v>
      </c>
      <c r="D261" s="29" t="s">
        <v>830</v>
      </c>
      <c r="E261" s="30" t="s">
        <v>46</v>
      </c>
      <c r="F261" s="31" t="s">
        <v>46</v>
      </c>
      <c r="G261" s="32" t="s">
        <v>46</v>
      </c>
      <c r="H261" s="27"/>
      <c r="I261" s="27" t="s">
        <v>47</v>
      </c>
      <c r="J261" s="33">
        <v>1</v>
      </c>
      <c r="K261" s="37">
        <f>2463</f>
        <v>2463</v>
      </c>
      <c r="L261" s="34" t="s">
        <v>48</v>
      </c>
      <c r="M261" s="37">
        <f>2463</f>
        <v>2463</v>
      </c>
      <c r="N261" s="34" t="s">
        <v>48</v>
      </c>
      <c r="O261" s="37">
        <f>2330</f>
        <v>2330</v>
      </c>
      <c r="P261" s="34" t="s">
        <v>131</v>
      </c>
      <c r="Q261" s="37">
        <f>2362</f>
        <v>2362</v>
      </c>
      <c r="R261" s="34" t="s">
        <v>50</v>
      </c>
      <c r="S261" s="36">
        <f>2360.42</f>
        <v>2360.42</v>
      </c>
      <c r="T261" s="33">
        <f>457799</f>
        <v>457799</v>
      </c>
      <c r="U261" s="33">
        <f>425000</f>
        <v>425000</v>
      </c>
      <c r="V261" s="33">
        <f>1073446698</f>
        <v>1073446698</v>
      </c>
      <c r="W261" s="33">
        <f>996072500</f>
        <v>996072500</v>
      </c>
      <c r="X261" s="35">
        <f>19</f>
        <v>19</v>
      </c>
    </row>
    <row r="262" spans="1:24">
      <c r="A262" s="29" t="s">
        <v>42</v>
      </c>
      <c r="B262" s="29" t="s">
        <v>831</v>
      </c>
      <c r="C262" s="29" t="s">
        <v>832</v>
      </c>
      <c r="D262" s="29" t="s">
        <v>833</v>
      </c>
      <c r="E262" s="30" t="s">
        <v>46</v>
      </c>
      <c r="F262" s="31" t="s">
        <v>46</v>
      </c>
      <c r="G262" s="32" t="s">
        <v>46</v>
      </c>
      <c r="H262" s="27"/>
      <c r="I262" s="27" t="s">
        <v>47</v>
      </c>
      <c r="J262" s="33">
        <v>1</v>
      </c>
      <c r="K262" s="37">
        <f>2610</f>
        <v>2610</v>
      </c>
      <c r="L262" s="34" t="s">
        <v>48</v>
      </c>
      <c r="M262" s="37">
        <f>2660</f>
        <v>2660</v>
      </c>
      <c r="N262" s="34" t="s">
        <v>84</v>
      </c>
      <c r="O262" s="37">
        <f>2543</f>
        <v>2543</v>
      </c>
      <c r="P262" s="34" t="s">
        <v>69</v>
      </c>
      <c r="Q262" s="37">
        <f>2562</f>
        <v>2562</v>
      </c>
      <c r="R262" s="34" t="s">
        <v>50</v>
      </c>
      <c r="S262" s="36">
        <f>2574</f>
        <v>2574</v>
      </c>
      <c r="T262" s="33">
        <f>3215</f>
        <v>3215</v>
      </c>
      <c r="U262" s="33" t="str">
        <f>"－"</f>
        <v>－</v>
      </c>
      <c r="V262" s="33">
        <f>8292511</f>
        <v>8292511</v>
      </c>
      <c r="W262" s="33" t="str">
        <f>"－"</f>
        <v>－</v>
      </c>
      <c r="X262" s="35">
        <f>19</f>
        <v>19</v>
      </c>
    </row>
    <row r="263" spans="1:24">
      <c r="A263" s="29" t="s">
        <v>42</v>
      </c>
      <c r="B263" s="29" t="s">
        <v>834</v>
      </c>
      <c r="C263" s="29" t="s">
        <v>835</v>
      </c>
      <c r="D263" s="29" t="s">
        <v>836</v>
      </c>
      <c r="E263" s="30" t="s">
        <v>46</v>
      </c>
      <c r="F263" s="31" t="s">
        <v>46</v>
      </c>
      <c r="G263" s="32" t="s">
        <v>46</v>
      </c>
      <c r="H263" s="27"/>
      <c r="I263" s="27" t="s">
        <v>47</v>
      </c>
      <c r="J263" s="33">
        <v>1</v>
      </c>
      <c r="K263" s="37">
        <f>2560</f>
        <v>2560</v>
      </c>
      <c r="L263" s="34" t="s">
        <v>48</v>
      </c>
      <c r="M263" s="37">
        <f>2575</f>
        <v>2575</v>
      </c>
      <c r="N263" s="34" t="s">
        <v>172</v>
      </c>
      <c r="O263" s="37">
        <f>2504</f>
        <v>2504</v>
      </c>
      <c r="P263" s="34" t="s">
        <v>92</v>
      </c>
      <c r="Q263" s="37">
        <f>2534</f>
        <v>2534</v>
      </c>
      <c r="R263" s="34" t="s">
        <v>50</v>
      </c>
      <c r="S263" s="36">
        <f>2541.21</f>
        <v>2541.21</v>
      </c>
      <c r="T263" s="33">
        <f>722</f>
        <v>722</v>
      </c>
      <c r="U263" s="33" t="str">
        <f>"－"</f>
        <v>－</v>
      </c>
      <c r="V263" s="33">
        <f>1834021</f>
        <v>1834021</v>
      </c>
      <c r="W263" s="33" t="str">
        <f>"－"</f>
        <v>－</v>
      </c>
      <c r="X263" s="35">
        <f>19</f>
        <v>19</v>
      </c>
    </row>
    <row r="264" spans="1:24">
      <c r="A264" s="29" t="s">
        <v>42</v>
      </c>
      <c r="B264" s="29" t="s">
        <v>837</v>
      </c>
      <c r="C264" s="29" t="s">
        <v>838</v>
      </c>
      <c r="D264" s="29" t="s">
        <v>839</v>
      </c>
      <c r="E264" s="30" t="s">
        <v>46</v>
      </c>
      <c r="F264" s="31" t="s">
        <v>46</v>
      </c>
      <c r="G264" s="32" t="s">
        <v>46</v>
      </c>
      <c r="H264" s="27"/>
      <c r="I264" s="27" t="s">
        <v>47</v>
      </c>
      <c r="J264" s="33">
        <v>1</v>
      </c>
      <c r="K264" s="37">
        <f>2765</f>
        <v>2765</v>
      </c>
      <c r="L264" s="34" t="s">
        <v>48</v>
      </c>
      <c r="M264" s="37">
        <f>2901</f>
        <v>2901</v>
      </c>
      <c r="N264" s="34" t="s">
        <v>49</v>
      </c>
      <c r="O264" s="37">
        <f>2705</f>
        <v>2705</v>
      </c>
      <c r="P264" s="34" t="s">
        <v>77</v>
      </c>
      <c r="Q264" s="37">
        <f>2769</f>
        <v>2769</v>
      </c>
      <c r="R264" s="34" t="s">
        <v>50</v>
      </c>
      <c r="S264" s="36">
        <f>2818.74</f>
        <v>2818.74</v>
      </c>
      <c r="T264" s="33">
        <f>123434</f>
        <v>123434</v>
      </c>
      <c r="U264" s="33" t="str">
        <f>"－"</f>
        <v>－</v>
      </c>
      <c r="V264" s="33">
        <f>345611189</f>
        <v>345611189</v>
      </c>
      <c r="W264" s="33" t="str">
        <f>"－"</f>
        <v>－</v>
      </c>
      <c r="X264" s="35">
        <f>19</f>
        <v>19</v>
      </c>
    </row>
    <row r="265" spans="1:24">
      <c r="A265" s="29" t="s">
        <v>42</v>
      </c>
      <c r="B265" s="29" t="s">
        <v>840</v>
      </c>
      <c r="C265" s="29" t="s">
        <v>841</v>
      </c>
      <c r="D265" s="29" t="s">
        <v>842</v>
      </c>
      <c r="E265" s="30" t="s">
        <v>46</v>
      </c>
      <c r="F265" s="31" t="s">
        <v>46</v>
      </c>
      <c r="G265" s="32" t="s">
        <v>46</v>
      </c>
      <c r="H265" s="27"/>
      <c r="I265" s="27" t="s">
        <v>47</v>
      </c>
      <c r="J265" s="33">
        <v>1</v>
      </c>
      <c r="K265" s="37">
        <f>1812</f>
        <v>1812</v>
      </c>
      <c r="L265" s="34" t="s">
        <v>48</v>
      </c>
      <c r="M265" s="37">
        <f>1888</f>
        <v>1888</v>
      </c>
      <c r="N265" s="34" t="s">
        <v>49</v>
      </c>
      <c r="O265" s="37">
        <f>1779</f>
        <v>1779</v>
      </c>
      <c r="P265" s="34" t="s">
        <v>48</v>
      </c>
      <c r="Q265" s="37">
        <f>1808</f>
        <v>1808</v>
      </c>
      <c r="R265" s="34" t="s">
        <v>50</v>
      </c>
      <c r="S265" s="36">
        <f>1842.16</f>
        <v>1842.16</v>
      </c>
      <c r="T265" s="33">
        <f>159056</f>
        <v>159056</v>
      </c>
      <c r="U265" s="33" t="str">
        <f>"－"</f>
        <v>－</v>
      </c>
      <c r="V265" s="33">
        <f>291421229</f>
        <v>291421229</v>
      </c>
      <c r="W265" s="33" t="str">
        <f>"－"</f>
        <v>－</v>
      </c>
      <c r="X265" s="35">
        <f>19</f>
        <v>19</v>
      </c>
    </row>
    <row r="266" spans="1:24">
      <c r="A266" s="29" t="s">
        <v>42</v>
      </c>
      <c r="B266" s="29" t="s">
        <v>843</v>
      </c>
      <c r="C266" s="29" t="s">
        <v>844</v>
      </c>
      <c r="D266" s="29" t="s">
        <v>845</v>
      </c>
      <c r="E266" s="30" t="s">
        <v>846</v>
      </c>
      <c r="F266" s="31" t="s">
        <v>847</v>
      </c>
      <c r="G266" s="32" t="s">
        <v>848</v>
      </c>
      <c r="H266" s="27"/>
      <c r="I266" s="27" t="s">
        <v>47</v>
      </c>
      <c r="J266" s="33">
        <v>1</v>
      </c>
      <c r="K266" s="37">
        <f>2092</f>
        <v>2092</v>
      </c>
      <c r="L266" s="34" t="s">
        <v>73</v>
      </c>
      <c r="M266" s="37">
        <f>2148</f>
        <v>2148</v>
      </c>
      <c r="N266" s="34" t="s">
        <v>73</v>
      </c>
      <c r="O266" s="37">
        <f>2005</f>
        <v>2005</v>
      </c>
      <c r="P266" s="34" t="s">
        <v>50</v>
      </c>
      <c r="Q266" s="37">
        <f>2006</f>
        <v>2006</v>
      </c>
      <c r="R266" s="34" t="s">
        <v>50</v>
      </c>
      <c r="S266" s="36">
        <f>2044.67</f>
        <v>2044.67</v>
      </c>
      <c r="T266" s="33">
        <f>1722107</f>
        <v>1722107</v>
      </c>
      <c r="U266" s="33">
        <f>348068</f>
        <v>348068</v>
      </c>
      <c r="V266" s="33">
        <f>3579328255</f>
        <v>3579328255</v>
      </c>
      <c r="W266" s="33">
        <f>725797682</f>
        <v>725797682</v>
      </c>
      <c r="X266" s="35">
        <f>3</f>
        <v>3</v>
      </c>
    </row>
    <row r="267" spans="1:24">
      <c r="A267" s="29" t="s">
        <v>42</v>
      </c>
      <c r="B267" s="29" t="s">
        <v>849</v>
      </c>
      <c r="C267" s="29" t="s">
        <v>850</v>
      </c>
      <c r="D267" s="29" t="s">
        <v>851</v>
      </c>
      <c r="E267" s="30" t="s">
        <v>846</v>
      </c>
      <c r="F267" s="31" t="s">
        <v>847</v>
      </c>
      <c r="G267" s="32" t="s">
        <v>848</v>
      </c>
      <c r="H267" s="27"/>
      <c r="I267" s="27" t="s">
        <v>47</v>
      </c>
      <c r="J267" s="33">
        <v>1</v>
      </c>
      <c r="K267" s="37">
        <f>2178</f>
        <v>2178</v>
      </c>
      <c r="L267" s="34" t="s">
        <v>73</v>
      </c>
      <c r="M267" s="37">
        <f>2182</f>
        <v>2182</v>
      </c>
      <c r="N267" s="34" t="s">
        <v>73</v>
      </c>
      <c r="O267" s="37">
        <f>2085</f>
        <v>2085</v>
      </c>
      <c r="P267" s="34" t="s">
        <v>50</v>
      </c>
      <c r="Q267" s="37">
        <f>2089</f>
        <v>2089</v>
      </c>
      <c r="R267" s="34" t="s">
        <v>50</v>
      </c>
      <c r="S267" s="36">
        <f>2125.67</f>
        <v>2125.67</v>
      </c>
      <c r="T267" s="33">
        <f>928114</f>
        <v>928114</v>
      </c>
      <c r="U267" s="33">
        <f>261026</f>
        <v>261026</v>
      </c>
      <c r="V267" s="33">
        <f>2009166449</f>
        <v>2009166449</v>
      </c>
      <c r="W267" s="33">
        <f>566934500</f>
        <v>566934500</v>
      </c>
      <c r="X267" s="35">
        <f>3</f>
        <v>3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F104E-6269-416F-A953-53090F7B89F1}">
  <sheetPr>
    <pageSetUpPr fitToPage="1"/>
  </sheetPr>
  <dimension ref="A1:X280"/>
  <sheetViews>
    <sheetView showGridLines="0" view="pageBreakPreview" zoomScaleNormal="70" zoomScaleSheetLayoutView="100" workbookViewId="0">
      <pane ySplit="6" topLeftCell="A7" activePane="bottomLeft" state="frozen"/>
      <selection pane="bottomLeft"/>
    </sheetView>
  </sheetViews>
  <sheetFormatPr defaultColWidth="9" defaultRowHeight="13.2"/>
  <cols>
    <col min="1" max="1" width="13.109375" style="1" bestFit="1" customWidth="1"/>
    <col min="2" max="2" width="10.77734375" style="1" bestFit="1" customWidth="1"/>
    <col min="3" max="4" width="27.6640625" style="1" customWidth="1"/>
    <col min="5" max="5" width="13.77734375" style="1" bestFit="1" customWidth="1"/>
    <col min="6" max="6" width="20.77734375" style="1" bestFit="1" customWidth="1"/>
    <col min="7" max="7" width="11.21875" style="1" customWidth="1"/>
    <col min="8" max="8" width="8.77734375" style="1" bestFit="1" customWidth="1"/>
    <col min="9" max="9" width="11.77734375" style="1" bestFit="1" customWidth="1"/>
    <col min="10" max="10" width="12.6640625" style="1" bestFit="1" customWidth="1"/>
    <col min="11" max="11" width="16.21875" style="1" customWidth="1"/>
    <col min="12" max="12" width="5.6640625" style="1" bestFit="1" customWidth="1"/>
    <col min="13" max="13" width="16.21875" style="1" customWidth="1"/>
    <col min="14" max="14" width="5.6640625" style="1" bestFit="1" customWidth="1"/>
    <col min="15" max="15" width="16.21875" style="1" customWidth="1"/>
    <col min="16" max="16" width="5.6640625" style="1" bestFit="1" customWidth="1"/>
    <col min="17" max="17" width="16.21875" style="1" customWidth="1"/>
    <col min="18" max="18" width="5.6640625" style="1" bestFit="1" customWidth="1"/>
    <col min="19" max="19" width="23.88671875" style="1" bestFit="1" customWidth="1"/>
    <col min="20" max="20" width="16.21875" style="1" customWidth="1"/>
    <col min="21" max="21" width="24.109375" style="1" customWidth="1"/>
    <col min="22" max="22" width="19.88671875" style="1" bestFit="1" customWidth="1"/>
    <col min="23" max="23" width="25" style="1" bestFit="1" customWidth="1"/>
    <col min="24" max="24" width="13.109375" style="1" bestFit="1" customWidth="1"/>
    <col min="25" max="16384" width="9" style="1"/>
  </cols>
  <sheetData>
    <row r="1" spans="1:24" ht="13.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70" t="s">
        <v>22</v>
      </c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4" ht="99" customHeight="1">
      <c r="A2" s="76" t="s">
        <v>23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2"/>
      <c r="O2" s="72"/>
      <c r="P2" s="72"/>
      <c r="Q2" s="72"/>
      <c r="R2" s="72"/>
      <c r="S2" s="72"/>
      <c r="T2" s="72"/>
      <c r="U2" s="72"/>
      <c r="V2" s="72"/>
      <c r="W2" s="72"/>
      <c r="X2" s="73"/>
    </row>
    <row r="3" spans="1:24" ht="39" customHeight="1">
      <c r="A3" s="78" t="s">
        <v>24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</row>
    <row r="4" spans="1:24" s="2" customFormat="1" ht="13.5" customHeight="1">
      <c r="A4" s="40" t="s">
        <v>25</v>
      </c>
      <c r="B4" s="40" t="s">
        <v>0</v>
      </c>
      <c r="C4" s="40"/>
      <c r="D4" s="40"/>
      <c r="E4" s="41"/>
      <c r="F4" s="42"/>
      <c r="G4" s="43" t="s">
        <v>2</v>
      </c>
      <c r="H4" s="40" t="s">
        <v>26</v>
      </c>
      <c r="I4" s="40" t="s">
        <v>3</v>
      </c>
      <c r="J4" s="40" t="s">
        <v>4</v>
      </c>
      <c r="K4" s="44" t="s">
        <v>5</v>
      </c>
      <c r="L4" s="43" t="s">
        <v>2</v>
      </c>
      <c r="M4" s="44" t="s">
        <v>6</v>
      </c>
      <c r="N4" s="43" t="s">
        <v>2</v>
      </c>
      <c r="O4" s="44" t="s">
        <v>7</v>
      </c>
      <c r="P4" s="43" t="s">
        <v>2</v>
      </c>
      <c r="Q4" s="44" t="s">
        <v>8</v>
      </c>
      <c r="R4" s="43" t="s">
        <v>2</v>
      </c>
      <c r="S4" s="40" t="s">
        <v>9</v>
      </c>
      <c r="T4" s="40" t="s">
        <v>10</v>
      </c>
      <c r="U4" s="45" t="s">
        <v>11</v>
      </c>
      <c r="V4" s="40" t="s">
        <v>12</v>
      </c>
      <c r="W4" s="40" t="s">
        <v>13</v>
      </c>
      <c r="X4" s="40" t="s">
        <v>14</v>
      </c>
    </row>
    <row r="5" spans="1:24">
      <c r="A5" s="46" t="s">
        <v>27</v>
      </c>
      <c r="B5" s="46" t="s">
        <v>28</v>
      </c>
      <c r="C5" s="46" t="s">
        <v>29</v>
      </c>
      <c r="D5" s="46" t="s">
        <v>1</v>
      </c>
      <c r="E5" s="47" t="s">
        <v>30</v>
      </c>
      <c r="F5" s="48" t="s">
        <v>31</v>
      </c>
      <c r="G5" s="49" t="s">
        <v>32</v>
      </c>
      <c r="H5" s="50" t="s">
        <v>33</v>
      </c>
      <c r="I5" s="50" t="s">
        <v>15</v>
      </c>
      <c r="J5" s="50" t="s">
        <v>34</v>
      </c>
      <c r="K5" s="51" t="s">
        <v>16</v>
      </c>
      <c r="L5" s="49" t="s">
        <v>32</v>
      </c>
      <c r="M5" s="51" t="s">
        <v>35</v>
      </c>
      <c r="N5" s="49" t="s">
        <v>32</v>
      </c>
      <c r="O5" s="51" t="s">
        <v>17</v>
      </c>
      <c r="P5" s="49" t="s">
        <v>32</v>
      </c>
      <c r="Q5" s="51" t="s">
        <v>18</v>
      </c>
      <c r="R5" s="49" t="s">
        <v>32</v>
      </c>
      <c r="S5" s="52" t="s">
        <v>36</v>
      </c>
      <c r="T5" s="52" t="s">
        <v>19</v>
      </c>
      <c r="U5" s="46" t="s">
        <v>37</v>
      </c>
      <c r="V5" s="52" t="s">
        <v>20</v>
      </c>
      <c r="W5" s="52" t="s">
        <v>38</v>
      </c>
      <c r="X5" s="52" t="s">
        <v>39</v>
      </c>
    </row>
    <row r="6" spans="1:24">
      <c r="A6" s="53"/>
      <c r="B6" s="53"/>
      <c r="C6" s="53"/>
      <c r="D6" s="53"/>
      <c r="E6" s="54"/>
      <c r="F6" s="55"/>
      <c r="G6" s="56"/>
      <c r="H6" s="57"/>
      <c r="I6" s="57"/>
      <c r="J6" s="57" t="s">
        <v>40</v>
      </c>
      <c r="K6" s="58" t="s">
        <v>41</v>
      </c>
      <c r="L6" s="59"/>
      <c r="M6" s="58" t="s">
        <v>41</v>
      </c>
      <c r="N6" s="59"/>
      <c r="O6" s="58" t="s">
        <v>41</v>
      </c>
      <c r="P6" s="59"/>
      <c r="Q6" s="58" t="s">
        <v>41</v>
      </c>
      <c r="R6" s="59"/>
      <c r="S6" s="58" t="s">
        <v>41</v>
      </c>
      <c r="T6" s="57" t="s">
        <v>21</v>
      </c>
      <c r="U6" s="57" t="s">
        <v>21</v>
      </c>
      <c r="V6" s="58" t="s">
        <v>41</v>
      </c>
      <c r="W6" s="58" t="s">
        <v>41</v>
      </c>
      <c r="X6" s="57"/>
    </row>
    <row r="7" spans="1:24" s="28" customFormat="1" ht="13.5" customHeight="1">
      <c r="A7" s="60" t="s">
        <v>956</v>
      </c>
      <c r="B7" s="60" t="s">
        <v>43</v>
      </c>
      <c r="C7" s="60" t="s">
        <v>44</v>
      </c>
      <c r="D7" s="60" t="s">
        <v>45</v>
      </c>
      <c r="E7" s="61" t="s">
        <v>46</v>
      </c>
      <c r="F7" s="62" t="s">
        <v>46</v>
      </c>
      <c r="G7" s="63" t="s">
        <v>46</v>
      </c>
      <c r="H7" s="64"/>
      <c r="I7" s="64" t="s">
        <v>47</v>
      </c>
      <c r="J7" s="65">
        <v>10</v>
      </c>
      <c r="K7" s="66">
        <f>2140</f>
        <v>2140</v>
      </c>
      <c r="L7" s="67" t="s">
        <v>853</v>
      </c>
      <c r="M7" s="66">
        <f>2170</f>
        <v>2170</v>
      </c>
      <c r="N7" s="67" t="s">
        <v>854</v>
      </c>
      <c r="O7" s="66">
        <f>2025</f>
        <v>2025</v>
      </c>
      <c r="P7" s="67" t="s">
        <v>873</v>
      </c>
      <c r="Q7" s="66">
        <f>2027.5</f>
        <v>2027.5</v>
      </c>
      <c r="R7" s="67" t="s">
        <v>873</v>
      </c>
      <c r="S7" s="68">
        <f>2127.53</f>
        <v>2127.5300000000002</v>
      </c>
      <c r="T7" s="65">
        <f>6640180</f>
        <v>6640180</v>
      </c>
      <c r="U7" s="65">
        <f>1565020</f>
        <v>1565020</v>
      </c>
      <c r="V7" s="65">
        <f>14068640120</f>
        <v>14068640120</v>
      </c>
      <c r="W7" s="65">
        <f>3282719180</f>
        <v>3282719180</v>
      </c>
      <c r="X7" s="69">
        <f>20</f>
        <v>20</v>
      </c>
    </row>
    <row r="8" spans="1:24">
      <c r="A8" s="60" t="s">
        <v>956</v>
      </c>
      <c r="B8" s="60" t="s">
        <v>51</v>
      </c>
      <c r="C8" s="60" t="s">
        <v>52</v>
      </c>
      <c r="D8" s="60" t="s">
        <v>53</v>
      </c>
      <c r="E8" s="61" t="s">
        <v>46</v>
      </c>
      <c r="F8" s="62" t="s">
        <v>46</v>
      </c>
      <c r="G8" s="63" t="s">
        <v>46</v>
      </c>
      <c r="H8" s="64"/>
      <c r="I8" s="64" t="s">
        <v>47</v>
      </c>
      <c r="J8" s="65">
        <v>10</v>
      </c>
      <c r="K8" s="66">
        <f>2117</f>
        <v>2117</v>
      </c>
      <c r="L8" s="67" t="s">
        <v>853</v>
      </c>
      <c r="M8" s="66">
        <f>2147</f>
        <v>2147</v>
      </c>
      <c r="N8" s="67" t="s">
        <v>854</v>
      </c>
      <c r="O8" s="66">
        <f>2002</f>
        <v>2002</v>
      </c>
      <c r="P8" s="67" t="s">
        <v>873</v>
      </c>
      <c r="Q8" s="66">
        <f>2008</f>
        <v>2008</v>
      </c>
      <c r="R8" s="67" t="s">
        <v>873</v>
      </c>
      <c r="S8" s="68">
        <f>2104.13</f>
        <v>2104.13</v>
      </c>
      <c r="T8" s="65">
        <f>45812390</f>
        <v>45812390</v>
      </c>
      <c r="U8" s="65">
        <f>1387800</f>
        <v>1387800</v>
      </c>
      <c r="V8" s="65">
        <f>95886936484</f>
        <v>95886936484</v>
      </c>
      <c r="W8" s="65">
        <f>2896947224</f>
        <v>2896947224</v>
      </c>
      <c r="X8" s="69">
        <f>20</f>
        <v>20</v>
      </c>
    </row>
    <row r="9" spans="1:24">
      <c r="A9" s="60" t="s">
        <v>956</v>
      </c>
      <c r="B9" s="60" t="s">
        <v>54</v>
      </c>
      <c r="C9" s="60" t="s">
        <v>55</v>
      </c>
      <c r="D9" s="60" t="s">
        <v>56</v>
      </c>
      <c r="E9" s="61" t="s">
        <v>46</v>
      </c>
      <c r="F9" s="62" t="s">
        <v>46</v>
      </c>
      <c r="G9" s="63" t="s">
        <v>46</v>
      </c>
      <c r="H9" s="64"/>
      <c r="I9" s="64" t="s">
        <v>47</v>
      </c>
      <c r="J9" s="65">
        <v>100</v>
      </c>
      <c r="K9" s="66">
        <f>2092</f>
        <v>2092</v>
      </c>
      <c r="L9" s="67" t="s">
        <v>853</v>
      </c>
      <c r="M9" s="66">
        <f>2122</f>
        <v>2122</v>
      </c>
      <c r="N9" s="67" t="s">
        <v>854</v>
      </c>
      <c r="O9" s="66">
        <f>1980.5</f>
        <v>1980.5</v>
      </c>
      <c r="P9" s="67" t="s">
        <v>873</v>
      </c>
      <c r="Q9" s="66">
        <f>1980.5</f>
        <v>1980.5</v>
      </c>
      <c r="R9" s="67" t="s">
        <v>873</v>
      </c>
      <c r="S9" s="68">
        <f>2080.7</f>
        <v>2080.6999999999998</v>
      </c>
      <c r="T9" s="65">
        <f>6009100</f>
        <v>6009100</v>
      </c>
      <c r="U9" s="65">
        <f>55000</f>
        <v>55000</v>
      </c>
      <c r="V9" s="65">
        <f>12471367650</f>
        <v>12471367650</v>
      </c>
      <c r="W9" s="65">
        <f>115305000</f>
        <v>115305000</v>
      </c>
      <c r="X9" s="69">
        <f>20</f>
        <v>20</v>
      </c>
    </row>
    <row r="10" spans="1:24">
      <c r="A10" s="60" t="s">
        <v>956</v>
      </c>
      <c r="B10" s="60" t="s">
        <v>57</v>
      </c>
      <c r="C10" s="60" t="s">
        <v>58</v>
      </c>
      <c r="D10" s="60" t="s">
        <v>59</v>
      </c>
      <c r="E10" s="61" t="s">
        <v>46</v>
      </c>
      <c r="F10" s="62" t="s">
        <v>46</v>
      </c>
      <c r="G10" s="63" t="s">
        <v>46</v>
      </c>
      <c r="H10" s="64"/>
      <c r="I10" s="64" t="s">
        <v>47</v>
      </c>
      <c r="J10" s="65">
        <v>1</v>
      </c>
      <c r="K10" s="66">
        <f>43650</f>
        <v>43650</v>
      </c>
      <c r="L10" s="67" t="s">
        <v>853</v>
      </c>
      <c r="M10" s="66">
        <f>44100</f>
        <v>44100</v>
      </c>
      <c r="N10" s="67" t="s">
        <v>857</v>
      </c>
      <c r="O10" s="66">
        <f>41850</f>
        <v>41850</v>
      </c>
      <c r="P10" s="67" t="s">
        <v>860</v>
      </c>
      <c r="Q10" s="66">
        <f>42100</f>
        <v>42100</v>
      </c>
      <c r="R10" s="67" t="s">
        <v>873</v>
      </c>
      <c r="S10" s="68">
        <f>43165</f>
        <v>43165</v>
      </c>
      <c r="T10" s="65">
        <f>5205</f>
        <v>5205</v>
      </c>
      <c r="U10" s="65">
        <f>8</f>
        <v>8</v>
      </c>
      <c r="V10" s="65">
        <f>224279020</f>
        <v>224279020</v>
      </c>
      <c r="W10" s="65">
        <f>345750</f>
        <v>345750</v>
      </c>
      <c r="X10" s="69">
        <f>20</f>
        <v>20</v>
      </c>
    </row>
    <row r="11" spans="1:24">
      <c r="A11" s="60" t="s">
        <v>956</v>
      </c>
      <c r="B11" s="60" t="s">
        <v>60</v>
      </c>
      <c r="C11" s="60" t="s">
        <v>61</v>
      </c>
      <c r="D11" s="60" t="s">
        <v>62</v>
      </c>
      <c r="E11" s="61" t="s">
        <v>46</v>
      </c>
      <c r="F11" s="62" t="s">
        <v>46</v>
      </c>
      <c r="G11" s="63" t="s">
        <v>46</v>
      </c>
      <c r="H11" s="64"/>
      <c r="I11" s="64" t="s">
        <v>47</v>
      </c>
      <c r="J11" s="65">
        <v>10</v>
      </c>
      <c r="K11" s="66">
        <f>961</f>
        <v>961</v>
      </c>
      <c r="L11" s="67" t="s">
        <v>853</v>
      </c>
      <c r="M11" s="66">
        <f>995</f>
        <v>995</v>
      </c>
      <c r="N11" s="67" t="s">
        <v>854</v>
      </c>
      <c r="O11" s="66">
        <f>939.7</f>
        <v>939.7</v>
      </c>
      <c r="P11" s="67" t="s">
        <v>873</v>
      </c>
      <c r="Q11" s="66">
        <f>942.1</f>
        <v>942.1</v>
      </c>
      <c r="R11" s="67" t="s">
        <v>873</v>
      </c>
      <c r="S11" s="68">
        <f>973.95</f>
        <v>973.95</v>
      </c>
      <c r="T11" s="65">
        <f>60740</f>
        <v>60740</v>
      </c>
      <c r="U11" s="65">
        <f>140</f>
        <v>140</v>
      </c>
      <c r="V11" s="65">
        <f>59193280</f>
        <v>59193280</v>
      </c>
      <c r="W11" s="65">
        <f>136729</f>
        <v>136729</v>
      </c>
      <c r="X11" s="69">
        <f>20</f>
        <v>20</v>
      </c>
    </row>
    <row r="12" spans="1:24">
      <c r="A12" s="60" t="s">
        <v>956</v>
      </c>
      <c r="B12" s="60" t="s">
        <v>63</v>
      </c>
      <c r="C12" s="60" t="s">
        <v>64</v>
      </c>
      <c r="D12" s="60" t="s">
        <v>65</v>
      </c>
      <c r="E12" s="61" t="s">
        <v>46</v>
      </c>
      <c r="F12" s="62" t="s">
        <v>46</v>
      </c>
      <c r="G12" s="63" t="s">
        <v>46</v>
      </c>
      <c r="H12" s="64"/>
      <c r="I12" s="64" t="s">
        <v>47</v>
      </c>
      <c r="J12" s="65">
        <v>1</v>
      </c>
      <c r="K12" s="66">
        <f>21100</f>
        <v>21100</v>
      </c>
      <c r="L12" s="67" t="s">
        <v>853</v>
      </c>
      <c r="M12" s="66">
        <f>21700</f>
        <v>21700</v>
      </c>
      <c r="N12" s="67" t="s">
        <v>84</v>
      </c>
      <c r="O12" s="66">
        <f>19585</f>
        <v>19585</v>
      </c>
      <c r="P12" s="67" t="s">
        <v>50</v>
      </c>
      <c r="Q12" s="66">
        <f>20550</f>
        <v>20550</v>
      </c>
      <c r="R12" s="67" t="s">
        <v>873</v>
      </c>
      <c r="S12" s="68">
        <f>21057.25</f>
        <v>21057.25</v>
      </c>
      <c r="T12" s="65">
        <f>1087</f>
        <v>1087</v>
      </c>
      <c r="U12" s="65">
        <f>7</f>
        <v>7</v>
      </c>
      <c r="V12" s="65">
        <f>23018775</f>
        <v>23018775</v>
      </c>
      <c r="W12" s="65">
        <f>149140</f>
        <v>149140</v>
      </c>
      <c r="X12" s="69">
        <f>20</f>
        <v>20</v>
      </c>
    </row>
    <row r="13" spans="1:24">
      <c r="A13" s="60" t="s">
        <v>956</v>
      </c>
      <c r="B13" s="60" t="s">
        <v>66</v>
      </c>
      <c r="C13" s="60" t="s">
        <v>67</v>
      </c>
      <c r="D13" s="60" t="s">
        <v>68</v>
      </c>
      <c r="E13" s="61" t="s">
        <v>46</v>
      </c>
      <c r="F13" s="62" t="s">
        <v>46</v>
      </c>
      <c r="G13" s="63" t="s">
        <v>46</v>
      </c>
      <c r="H13" s="64"/>
      <c r="I13" s="64" t="s">
        <v>47</v>
      </c>
      <c r="J13" s="65">
        <v>10</v>
      </c>
      <c r="K13" s="66">
        <f>3875</f>
        <v>3875</v>
      </c>
      <c r="L13" s="67" t="s">
        <v>853</v>
      </c>
      <c r="M13" s="66">
        <f>4070</f>
        <v>4070</v>
      </c>
      <c r="N13" s="67" t="s">
        <v>96</v>
      </c>
      <c r="O13" s="66">
        <f>3581</f>
        <v>3581</v>
      </c>
      <c r="P13" s="67" t="s">
        <v>50</v>
      </c>
      <c r="Q13" s="66">
        <f>3650</f>
        <v>3650</v>
      </c>
      <c r="R13" s="67" t="s">
        <v>873</v>
      </c>
      <c r="S13" s="68">
        <f>3852.5</f>
        <v>3852.5</v>
      </c>
      <c r="T13" s="65">
        <f>1970</f>
        <v>1970</v>
      </c>
      <c r="U13" s="65" t="str">
        <f>"－"</f>
        <v>－</v>
      </c>
      <c r="V13" s="65">
        <f>7543370</f>
        <v>7543370</v>
      </c>
      <c r="W13" s="65" t="str">
        <f>"－"</f>
        <v>－</v>
      </c>
      <c r="X13" s="69">
        <f>18</f>
        <v>18</v>
      </c>
    </row>
    <row r="14" spans="1:24">
      <c r="A14" s="60" t="s">
        <v>956</v>
      </c>
      <c r="B14" s="60" t="s">
        <v>70</v>
      </c>
      <c r="C14" s="60" t="s">
        <v>71</v>
      </c>
      <c r="D14" s="60" t="s">
        <v>72</v>
      </c>
      <c r="E14" s="61" t="s">
        <v>46</v>
      </c>
      <c r="F14" s="62" t="s">
        <v>46</v>
      </c>
      <c r="G14" s="63" t="s">
        <v>46</v>
      </c>
      <c r="H14" s="64"/>
      <c r="I14" s="64" t="s">
        <v>47</v>
      </c>
      <c r="J14" s="65">
        <v>1000</v>
      </c>
      <c r="K14" s="66">
        <f>382</f>
        <v>382</v>
      </c>
      <c r="L14" s="67" t="s">
        <v>857</v>
      </c>
      <c r="M14" s="66">
        <f>382</f>
        <v>382</v>
      </c>
      <c r="N14" s="67" t="s">
        <v>857</v>
      </c>
      <c r="O14" s="66">
        <f>362.3</f>
        <v>362.3</v>
      </c>
      <c r="P14" s="67" t="s">
        <v>873</v>
      </c>
      <c r="Q14" s="66">
        <f>362.3</f>
        <v>362.3</v>
      </c>
      <c r="R14" s="67" t="s">
        <v>873</v>
      </c>
      <c r="S14" s="68">
        <f>377.33</f>
        <v>377.33</v>
      </c>
      <c r="T14" s="65">
        <f>101000</f>
        <v>101000</v>
      </c>
      <c r="U14" s="65">
        <f>4000</f>
        <v>4000</v>
      </c>
      <c r="V14" s="65">
        <f>38050600</f>
        <v>38050600</v>
      </c>
      <c r="W14" s="65">
        <f>1521000</f>
        <v>1521000</v>
      </c>
      <c r="X14" s="69">
        <f>18</f>
        <v>18</v>
      </c>
    </row>
    <row r="15" spans="1:24">
      <c r="A15" s="60" t="s">
        <v>956</v>
      </c>
      <c r="B15" s="60" t="s">
        <v>74</v>
      </c>
      <c r="C15" s="60" t="s">
        <v>75</v>
      </c>
      <c r="D15" s="60" t="s">
        <v>76</v>
      </c>
      <c r="E15" s="61" t="s">
        <v>46</v>
      </c>
      <c r="F15" s="62" t="s">
        <v>46</v>
      </c>
      <c r="G15" s="63" t="s">
        <v>46</v>
      </c>
      <c r="H15" s="64"/>
      <c r="I15" s="64" t="s">
        <v>47</v>
      </c>
      <c r="J15" s="65">
        <v>1</v>
      </c>
      <c r="K15" s="66">
        <f>30300</f>
        <v>30300</v>
      </c>
      <c r="L15" s="67" t="s">
        <v>853</v>
      </c>
      <c r="M15" s="66">
        <f>30850</f>
        <v>30850</v>
      </c>
      <c r="N15" s="67" t="s">
        <v>48</v>
      </c>
      <c r="O15" s="66">
        <f>28635</f>
        <v>28635</v>
      </c>
      <c r="P15" s="67" t="s">
        <v>873</v>
      </c>
      <c r="Q15" s="66">
        <f>28650</f>
        <v>28650</v>
      </c>
      <c r="R15" s="67" t="s">
        <v>873</v>
      </c>
      <c r="S15" s="68">
        <f>30234</f>
        <v>30234</v>
      </c>
      <c r="T15" s="65">
        <f>1178801</f>
        <v>1178801</v>
      </c>
      <c r="U15" s="65">
        <f>128024</f>
        <v>128024</v>
      </c>
      <c r="V15" s="65">
        <f>35323908904</f>
        <v>35323908904</v>
      </c>
      <c r="W15" s="65">
        <f>3806735124</f>
        <v>3806735124</v>
      </c>
      <c r="X15" s="69">
        <f>20</f>
        <v>20</v>
      </c>
    </row>
    <row r="16" spans="1:24">
      <c r="A16" s="60" t="s">
        <v>956</v>
      </c>
      <c r="B16" s="60" t="s">
        <v>78</v>
      </c>
      <c r="C16" s="60" t="s">
        <v>79</v>
      </c>
      <c r="D16" s="60" t="s">
        <v>80</v>
      </c>
      <c r="E16" s="61" t="s">
        <v>46</v>
      </c>
      <c r="F16" s="62" t="s">
        <v>46</v>
      </c>
      <c r="G16" s="63" t="s">
        <v>46</v>
      </c>
      <c r="H16" s="64"/>
      <c r="I16" s="64" t="s">
        <v>47</v>
      </c>
      <c r="J16" s="65">
        <v>1</v>
      </c>
      <c r="K16" s="66">
        <f>30350</f>
        <v>30350</v>
      </c>
      <c r="L16" s="67" t="s">
        <v>853</v>
      </c>
      <c r="M16" s="66">
        <f>30900</f>
        <v>30900</v>
      </c>
      <c r="N16" s="67" t="s">
        <v>48</v>
      </c>
      <c r="O16" s="66">
        <f>28720</f>
        <v>28720</v>
      </c>
      <c r="P16" s="67" t="s">
        <v>873</v>
      </c>
      <c r="Q16" s="66">
        <f>29300</f>
        <v>29300</v>
      </c>
      <c r="R16" s="67" t="s">
        <v>873</v>
      </c>
      <c r="S16" s="68">
        <f>30331</f>
        <v>30331</v>
      </c>
      <c r="T16" s="65">
        <f>4223694</f>
        <v>4223694</v>
      </c>
      <c r="U16" s="65">
        <f>430810</f>
        <v>430810</v>
      </c>
      <c r="V16" s="65">
        <f>127165037900</f>
        <v>127165037900</v>
      </c>
      <c r="W16" s="65">
        <f>13017265395</f>
        <v>13017265395</v>
      </c>
      <c r="X16" s="69">
        <f>20</f>
        <v>20</v>
      </c>
    </row>
    <row r="17" spans="1:24">
      <c r="A17" s="60" t="s">
        <v>956</v>
      </c>
      <c r="B17" s="60" t="s">
        <v>81</v>
      </c>
      <c r="C17" s="60" t="s">
        <v>82</v>
      </c>
      <c r="D17" s="60" t="s">
        <v>83</v>
      </c>
      <c r="E17" s="61" t="s">
        <v>46</v>
      </c>
      <c r="F17" s="62" t="s">
        <v>46</v>
      </c>
      <c r="G17" s="63" t="s">
        <v>46</v>
      </c>
      <c r="H17" s="64"/>
      <c r="I17" s="64" t="s">
        <v>47</v>
      </c>
      <c r="J17" s="65">
        <v>10</v>
      </c>
      <c r="K17" s="66">
        <f>8180</f>
        <v>8180</v>
      </c>
      <c r="L17" s="67" t="s">
        <v>853</v>
      </c>
      <c r="M17" s="66">
        <f>8410</f>
        <v>8410</v>
      </c>
      <c r="N17" s="67" t="s">
        <v>240</v>
      </c>
      <c r="O17" s="66">
        <f>8000</f>
        <v>8000</v>
      </c>
      <c r="P17" s="67" t="s">
        <v>860</v>
      </c>
      <c r="Q17" s="66">
        <f>8280</f>
        <v>8280</v>
      </c>
      <c r="R17" s="67" t="s">
        <v>873</v>
      </c>
      <c r="S17" s="68">
        <f>8232</f>
        <v>8232</v>
      </c>
      <c r="T17" s="65">
        <f>11340</f>
        <v>11340</v>
      </c>
      <c r="U17" s="65">
        <f>70</f>
        <v>70</v>
      </c>
      <c r="V17" s="65">
        <f>93460290</f>
        <v>93460290</v>
      </c>
      <c r="W17" s="65">
        <f>574900</f>
        <v>574900</v>
      </c>
      <c r="X17" s="69">
        <f>20</f>
        <v>20</v>
      </c>
    </row>
    <row r="18" spans="1:24">
      <c r="A18" s="60" t="s">
        <v>956</v>
      </c>
      <c r="B18" s="60" t="s">
        <v>85</v>
      </c>
      <c r="C18" s="60" t="s">
        <v>86</v>
      </c>
      <c r="D18" s="60" t="s">
        <v>87</v>
      </c>
      <c r="E18" s="61" t="s">
        <v>46</v>
      </c>
      <c r="F18" s="62" t="s">
        <v>46</v>
      </c>
      <c r="G18" s="63" t="s">
        <v>46</v>
      </c>
      <c r="H18" s="64"/>
      <c r="I18" s="64" t="s">
        <v>47</v>
      </c>
      <c r="J18" s="65">
        <v>100</v>
      </c>
      <c r="K18" s="66">
        <f>489</f>
        <v>489</v>
      </c>
      <c r="L18" s="67" t="s">
        <v>853</v>
      </c>
      <c r="M18" s="66">
        <f>489</f>
        <v>489</v>
      </c>
      <c r="N18" s="67" t="s">
        <v>853</v>
      </c>
      <c r="O18" s="66">
        <f>430</f>
        <v>430</v>
      </c>
      <c r="P18" s="67" t="s">
        <v>50</v>
      </c>
      <c r="Q18" s="66">
        <f>466.1</f>
        <v>466.1</v>
      </c>
      <c r="R18" s="67" t="s">
        <v>873</v>
      </c>
      <c r="S18" s="68">
        <f>477.61</f>
        <v>477.61</v>
      </c>
      <c r="T18" s="65">
        <f>117700</f>
        <v>117700</v>
      </c>
      <c r="U18" s="65">
        <f>200</f>
        <v>200</v>
      </c>
      <c r="V18" s="65">
        <f>55175490</f>
        <v>55175490</v>
      </c>
      <c r="W18" s="65">
        <f>94100</f>
        <v>94100</v>
      </c>
      <c r="X18" s="69">
        <f>20</f>
        <v>20</v>
      </c>
    </row>
    <row r="19" spans="1:24">
      <c r="A19" s="60" t="s">
        <v>956</v>
      </c>
      <c r="B19" s="60" t="s">
        <v>89</v>
      </c>
      <c r="C19" s="60" t="s">
        <v>90</v>
      </c>
      <c r="D19" s="60" t="s">
        <v>91</v>
      </c>
      <c r="E19" s="61" t="s">
        <v>46</v>
      </c>
      <c r="F19" s="62" t="s">
        <v>46</v>
      </c>
      <c r="G19" s="63" t="s">
        <v>46</v>
      </c>
      <c r="H19" s="64"/>
      <c r="I19" s="64" t="s">
        <v>47</v>
      </c>
      <c r="J19" s="65">
        <v>100</v>
      </c>
      <c r="K19" s="66">
        <f>184</f>
        <v>184</v>
      </c>
      <c r="L19" s="67" t="s">
        <v>853</v>
      </c>
      <c r="M19" s="66">
        <f>190</f>
        <v>190</v>
      </c>
      <c r="N19" s="67" t="s">
        <v>857</v>
      </c>
      <c r="O19" s="66">
        <f>155</f>
        <v>155</v>
      </c>
      <c r="P19" s="67" t="s">
        <v>50</v>
      </c>
      <c r="Q19" s="66">
        <f>160.3</f>
        <v>160.30000000000001</v>
      </c>
      <c r="R19" s="67" t="s">
        <v>873</v>
      </c>
      <c r="S19" s="68">
        <f>174.62</f>
        <v>174.62</v>
      </c>
      <c r="T19" s="65">
        <f>979700</f>
        <v>979700</v>
      </c>
      <c r="U19" s="65">
        <f>400</f>
        <v>400</v>
      </c>
      <c r="V19" s="65">
        <f>167670100</f>
        <v>167670100</v>
      </c>
      <c r="W19" s="65">
        <f>75200</f>
        <v>75200</v>
      </c>
      <c r="X19" s="69">
        <f>20</f>
        <v>20</v>
      </c>
    </row>
    <row r="20" spans="1:24">
      <c r="A20" s="60" t="s">
        <v>956</v>
      </c>
      <c r="B20" s="60" t="s">
        <v>93</v>
      </c>
      <c r="C20" s="60" t="s">
        <v>94</v>
      </c>
      <c r="D20" s="60" t="s">
        <v>95</v>
      </c>
      <c r="E20" s="61" t="s">
        <v>46</v>
      </c>
      <c r="F20" s="62" t="s">
        <v>46</v>
      </c>
      <c r="G20" s="63" t="s">
        <v>46</v>
      </c>
      <c r="H20" s="64"/>
      <c r="I20" s="64" t="s">
        <v>47</v>
      </c>
      <c r="J20" s="65">
        <v>100</v>
      </c>
      <c r="K20" s="66">
        <f>171</f>
        <v>171</v>
      </c>
      <c r="L20" s="67" t="s">
        <v>853</v>
      </c>
      <c r="M20" s="66">
        <f>176</f>
        <v>176</v>
      </c>
      <c r="N20" s="67" t="s">
        <v>131</v>
      </c>
      <c r="O20" s="66">
        <f>164</f>
        <v>164</v>
      </c>
      <c r="P20" s="67" t="s">
        <v>50</v>
      </c>
      <c r="Q20" s="66">
        <f>166</f>
        <v>166</v>
      </c>
      <c r="R20" s="67" t="s">
        <v>873</v>
      </c>
      <c r="S20" s="68">
        <f>170.33</f>
        <v>170.33</v>
      </c>
      <c r="T20" s="65">
        <f>560200</f>
        <v>560200</v>
      </c>
      <c r="U20" s="65">
        <f>300</f>
        <v>300</v>
      </c>
      <c r="V20" s="65">
        <f>95124540</f>
        <v>95124540</v>
      </c>
      <c r="W20" s="65">
        <f>51200</f>
        <v>51200</v>
      </c>
      <c r="X20" s="69">
        <f>20</f>
        <v>20</v>
      </c>
    </row>
    <row r="21" spans="1:24">
      <c r="A21" s="60" t="s">
        <v>956</v>
      </c>
      <c r="B21" s="60" t="s">
        <v>97</v>
      </c>
      <c r="C21" s="60" t="s">
        <v>98</v>
      </c>
      <c r="D21" s="60" t="s">
        <v>99</v>
      </c>
      <c r="E21" s="61" t="s">
        <v>46</v>
      </c>
      <c r="F21" s="62" t="s">
        <v>46</v>
      </c>
      <c r="G21" s="63" t="s">
        <v>46</v>
      </c>
      <c r="H21" s="64"/>
      <c r="I21" s="64" t="s">
        <v>47</v>
      </c>
      <c r="J21" s="65">
        <v>1</v>
      </c>
      <c r="K21" s="66">
        <f>19000</f>
        <v>19000</v>
      </c>
      <c r="L21" s="67" t="s">
        <v>853</v>
      </c>
      <c r="M21" s="66">
        <f>19960</f>
        <v>19960</v>
      </c>
      <c r="N21" s="67" t="s">
        <v>100</v>
      </c>
      <c r="O21" s="66">
        <f>18920</f>
        <v>18920</v>
      </c>
      <c r="P21" s="67" t="s">
        <v>48</v>
      </c>
      <c r="Q21" s="66">
        <f>18990</f>
        <v>18990</v>
      </c>
      <c r="R21" s="67" t="s">
        <v>873</v>
      </c>
      <c r="S21" s="68">
        <f>19433</f>
        <v>19433</v>
      </c>
      <c r="T21" s="65">
        <f>265280</f>
        <v>265280</v>
      </c>
      <c r="U21" s="65">
        <f>8</f>
        <v>8</v>
      </c>
      <c r="V21" s="65">
        <f>5136676835</f>
        <v>5136676835</v>
      </c>
      <c r="W21" s="65">
        <f>152720</f>
        <v>152720</v>
      </c>
      <c r="X21" s="69">
        <f>20</f>
        <v>20</v>
      </c>
    </row>
    <row r="22" spans="1:24">
      <c r="A22" s="60" t="s">
        <v>956</v>
      </c>
      <c r="B22" s="60" t="s">
        <v>101</v>
      </c>
      <c r="C22" s="60" t="s">
        <v>102</v>
      </c>
      <c r="D22" s="60" t="s">
        <v>103</v>
      </c>
      <c r="E22" s="61" t="s">
        <v>896</v>
      </c>
      <c r="F22" s="62" t="s">
        <v>897</v>
      </c>
      <c r="G22" s="63" t="s">
        <v>957</v>
      </c>
      <c r="H22" s="64" t="s">
        <v>878</v>
      </c>
      <c r="I22" s="64"/>
      <c r="J22" s="65">
        <v>1</v>
      </c>
      <c r="K22" s="66">
        <f>4475</f>
        <v>4475</v>
      </c>
      <c r="L22" s="67" t="s">
        <v>853</v>
      </c>
      <c r="M22" s="66">
        <f>4565</f>
        <v>4565</v>
      </c>
      <c r="N22" s="67" t="s">
        <v>853</v>
      </c>
      <c r="O22" s="66">
        <f>4425</f>
        <v>4425</v>
      </c>
      <c r="P22" s="67" t="s">
        <v>48</v>
      </c>
      <c r="Q22" s="66">
        <f>4475</f>
        <v>4475</v>
      </c>
      <c r="R22" s="67" t="s">
        <v>48</v>
      </c>
      <c r="S22" s="68">
        <f>4513.33</f>
        <v>4513.33</v>
      </c>
      <c r="T22" s="65">
        <f>4116</f>
        <v>4116</v>
      </c>
      <c r="U22" s="65" t="str">
        <f>"－"</f>
        <v>－</v>
      </c>
      <c r="V22" s="65">
        <f>18459630</f>
        <v>18459630</v>
      </c>
      <c r="W22" s="65" t="str">
        <f>"－"</f>
        <v>－</v>
      </c>
      <c r="X22" s="69">
        <f>3</f>
        <v>3</v>
      </c>
    </row>
    <row r="23" spans="1:24">
      <c r="A23" s="60" t="s">
        <v>956</v>
      </c>
      <c r="B23" s="60" t="s">
        <v>104</v>
      </c>
      <c r="C23" s="60" t="s">
        <v>105</v>
      </c>
      <c r="D23" s="60" t="s">
        <v>106</v>
      </c>
      <c r="E23" s="61" t="s">
        <v>46</v>
      </c>
      <c r="F23" s="62" t="s">
        <v>46</v>
      </c>
      <c r="G23" s="63" t="s">
        <v>46</v>
      </c>
      <c r="H23" s="64"/>
      <c r="I23" s="64" t="s">
        <v>47</v>
      </c>
      <c r="J23" s="65">
        <v>10</v>
      </c>
      <c r="K23" s="66">
        <f>5140</f>
        <v>5140</v>
      </c>
      <c r="L23" s="67" t="s">
        <v>853</v>
      </c>
      <c r="M23" s="66">
        <f>5410</f>
        <v>5410</v>
      </c>
      <c r="N23" s="67" t="s">
        <v>100</v>
      </c>
      <c r="O23" s="66">
        <f>5120</f>
        <v>5120</v>
      </c>
      <c r="P23" s="67" t="s">
        <v>48</v>
      </c>
      <c r="Q23" s="66">
        <f>5140</f>
        <v>5140</v>
      </c>
      <c r="R23" s="67" t="s">
        <v>873</v>
      </c>
      <c r="S23" s="68">
        <f>5258.4</f>
        <v>5258.4</v>
      </c>
      <c r="T23" s="65">
        <f>550130</f>
        <v>550130</v>
      </c>
      <c r="U23" s="65">
        <f>20</f>
        <v>20</v>
      </c>
      <c r="V23" s="65">
        <f>2884979360</f>
        <v>2884979360</v>
      </c>
      <c r="W23" s="65">
        <f>104600</f>
        <v>104600</v>
      </c>
      <c r="X23" s="69">
        <f>20</f>
        <v>20</v>
      </c>
    </row>
    <row r="24" spans="1:24">
      <c r="A24" s="60" t="s">
        <v>956</v>
      </c>
      <c r="B24" s="60" t="s">
        <v>107</v>
      </c>
      <c r="C24" s="60" t="s">
        <v>108</v>
      </c>
      <c r="D24" s="60" t="s">
        <v>109</v>
      </c>
      <c r="E24" s="61" t="s">
        <v>46</v>
      </c>
      <c r="F24" s="62" t="s">
        <v>46</v>
      </c>
      <c r="G24" s="63" t="s">
        <v>46</v>
      </c>
      <c r="H24" s="64"/>
      <c r="I24" s="64" t="s">
        <v>47</v>
      </c>
      <c r="J24" s="65">
        <v>1</v>
      </c>
      <c r="K24" s="66">
        <f>30500</f>
        <v>30500</v>
      </c>
      <c r="L24" s="67" t="s">
        <v>853</v>
      </c>
      <c r="M24" s="66">
        <f>31050</f>
        <v>31050</v>
      </c>
      <c r="N24" s="67" t="s">
        <v>48</v>
      </c>
      <c r="O24" s="66">
        <f>28820</f>
        <v>28820</v>
      </c>
      <c r="P24" s="67" t="s">
        <v>873</v>
      </c>
      <c r="Q24" s="66">
        <f>28845</f>
        <v>28845</v>
      </c>
      <c r="R24" s="67" t="s">
        <v>873</v>
      </c>
      <c r="S24" s="68">
        <f>30423.25</f>
        <v>30423.25</v>
      </c>
      <c r="T24" s="65">
        <f>352625</f>
        <v>352625</v>
      </c>
      <c r="U24" s="65">
        <f>34854</f>
        <v>34854</v>
      </c>
      <c r="V24" s="65">
        <f>10647313642</f>
        <v>10647313642</v>
      </c>
      <c r="W24" s="65">
        <f>1042703237</f>
        <v>1042703237</v>
      </c>
      <c r="X24" s="69">
        <f>20</f>
        <v>20</v>
      </c>
    </row>
    <row r="25" spans="1:24">
      <c r="A25" s="60" t="s">
        <v>956</v>
      </c>
      <c r="B25" s="60" t="s">
        <v>110</v>
      </c>
      <c r="C25" s="60" t="s">
        <v>111</v>
      </c>
      <c r="D25" s="60" t="s">
        <v>112</v>
      </c>
      <c r="E25" s="61" t="s">
        <v>46</v>
      </c>
      <c r="F25" s="62" t="s">
        <v>46</v>
      </c>
      <c r="G25" s="63" t="s">
        <v>46</v>
      </c>
      <c r="H25" s="64"/>
      <c r="I25" s="64" t="s">
        <v>47</v>
      </c>
      <c r="J25" s="65">
        <v>10</v>
      </c>
      <c r="K25" s="66">
        <f>30400</f>
        <v>30400</v>
      </c>
      <c r="L25" s="67" t="s">
        <v>853</v>
      </c>
      <c r="M25" s="66">
        <f>30950</f>
        <v>30950</v>
      </c>
      <c r="N25" s="67" t="s">
        <v>48</v>
      </c>
      <c r="O25" s="66">
        <f>28740</f>
        <v>28740</v>
      </c>
      <c r="P25" s="67" t="s">
        <v>873</v>
      </c>
      <c r="Q25" s="66">
        <f>28755</f>
        <v>28755</v>
      </c>
      <c r="R25" s="67" t="s">
        <v>873</v>
      </c>
      <c r="S25" s="68">
        <f>30342.5</f>
        <v>30342.5</v>
      </c>
      <c r="T25" s="65">
        <f>866000</f>
        <v>866000</v>
      </c>
      <c r="U25" s="65">
        <f>90320</f>
        <v>90320</v>
      </c>
      <c r="V25" s="65">
        <f>26007796357</f>
        <v>26007796357</v>
      </c>
      <c r="W25" s="65">
        <f>2696438707</f>
        <v>2696438707</v>
      </c>
      <c r="X25" s="69">
        <f>20</f>
        <v>20</v>
      </c>
    </row>
    <row r="26" spans="1:24">
      <c r="A26" s="60" t="s">
        <v>956</v>
      </c>
      <c r="B26" s="60" t="s">
        <v>113</v>
      </c>
      <c r="C26" s="60" t="s">
        <v>114</v>
      </c>
      <c r="D26" s="60" t="s">
        <v>115</v>
      </c>
      <c r="E26" s="61" t="s">
        <v>46</v>
      </c>
      <c r="F26" s="62" t="s">
        <v>46</v>
      </c>
      <c r="G26" s="63" t="s">
        <v>46</v>
      </c>
      <c r="H26" s="64"/>
      <c r="I26" s="64" t="s">
        <v>47</v>
      </c>
      <c r="J26" s="65">
        <v>10</v>
      </c>
      <c r="K26" s="66">
        <f>2260</f>
        <v>2260</v>
      </c>
      <c r="L26" s="67" t="s">
        <v>853</v>
      </c>
      <c r="M26" s="66">
        <f>2265</f>
        <v>2265</v>
      </c>
      <c r="N26" s="67" t="s">
        <v>96</v>
      </c>
      <c r="O26" s="66">
        <f>2154</f>
        <v>2154</v>
      </c>
      <c r="P26" s="67" t="s">
        <v>50</v>
      </c>
      <c r="Q26" s="66">
        <f>2156</f>
        <v>2156</v>
      </c>
      <c r="R26" s="67" t="s">
        <v>873</v>
      </c>
      <c r="S26" s="68">
        <f>2213.23</f>
        <v>2213.23</v>
      </c>
      <c r="T26" s="65">
        <f>6041140</f>
        <v>6041140</v>
      </c>
      <c r="U26" s="65">
        <f>997890</f>
        <v>997890</v>
      </c>
      <c r="V26" s="65">
        <f>13400253966</f>
        <v>13400253966</v>
      </c>
      <c r="W26" s="65">
        <f>2207683226</f>
        <v>2207683226</v>
      </c>
      <c r="X26" s="69">
        <f>20</f>
        <v>20</v>
      </c>
    </row>
    <row r="27" spans="1:24">
      <c r="A27" s="60" t="s">
        <v>956</v>
      </c>
      <c r="B27" s="60" t="s">
        <v>119</v>
      </c>
      <c r="C27" s="60" t="s">
        <v>120</v>
      </c>
      <c r="D27" s="60" t="s">
        <v>121</v>
      </c>
      <c r="E27" s="61" t="s">
        <v>46</v>
      </c>
      <c r="F27" s="62" t="s">
        <v>46</v>
      </c>
      <c r="G27" s="63" t="s">
        <v>46</v>
      </c>
      <c r="H27" s="64"/>
      <c r="I27" s="64" t="s">
        <v>47</v>
      </c>
      <c r="J27" s="65">
        <v>100</v>
      </c>
      <c r="K27" s="66">
        <f>2124</f>
        <v>2124</v>
      </c>
      <c r="L27" s="67" t="s">
        <v>853</v>
      </c>
      <c r="M27" s="66">
        <f>2125</f>
        <v>2125</v>
      </c>
      <c r="N27" s="67" t="s">
        <v>48</v>
      </c>
      <c r="O27" s="66">
        <f>2036</f>
        <v>2036</v>
      </c>
      <c r="P27" s="67" t="s">
        <v>50</v>
      </c>
      <c r="Q27" s="66">
        <f>2037</f>
        <v>2037</v>
      </c>
      <c r="R27" s="67" t="s">
        <v>873</v>
      </c>
      <c r="S27" s="68">
        <f>2087.25</f>
        <v>2087.25</v>
      </c>
      <c r="T27" s="65">
        <f>929000</f>
        <v>929000</v>
      </c>
      <c r="U27" s="65">
        <f>75200</f>
        <v>75200</v>
      </c>
      <c r="V27" s="65">
        <f>1941681474</f>
        <v>1941681474</v>
      </c>
      <c r="W27" s="65">
        <f>157568224</f>
        <v>157568224</v>
      </c>
      <c r="X27" s="69">
        <f>20</f>
        <v>20</v>
      </c>
    </row>
    <row r="28" spans="1:24">
      <c r="A28" s="60" t="s">
        <v>956</v>
      </c>
      <c r="B28" s="60" t="s">
        <v>122</v>
      </c>
      <c r="C28" s="60" t="s">
        <v>123</v>
      </c>
      <c r="D28" s="60" t="s">
        <v>124</v>
      </c>
      <c r="E28" s="61" t="s">
        <v>46</v>
      </c>
      <c r="F28" s="62" t="s">
        <v>46</v>
      </c>
      <c r="G28" s="63" t="s">
        <v>46</v>
      </c>
      <c r="H28" s="64"/>
      <c r="I28" s="64" t="s">
        <v>47</v>
      </c>
      <c r="J28" s="65">
        <v>1</v>
      </c>
      <c r="K28" s="66">
        <f>30500</f>
        <v>30500</v>
      </c>
      <c r="L28" s="67" t="s">
        <v>853</v>
      </c>
      <c r="M28" s="66">
        <f>31050</f>
        <v>31050</v>
      </c>
      <c r="N28" s="67" t="s">
        <v>48</v>
      </c>
      <c r="O28" s="66">
        <f>28835</f>
        <v>28835</v>
      </c>
      <c r="P28" s="67" t="s">
        <v>873</v>
      </c>
      <c r="Q28" s="66">
        <f>28855</f>
        <v>28855</v>
      </c>
      <c r="R28" s="67" t="s">
        <v>873</v>
      </c>
      <c r="S28" s="68">
        <f>30438.5</f>
        <v>30438.5</v>
      </c>
      <c r="T28" s="65">
        <f>563159</f>
        <v>563159</v>
      </c>
      <c r="U28" s="65">
        <f>100523</f>
        <v>100523</v>
      </c>
      <c r="V28" s="65">
        <f>16969457575</f>
        <v>16969457575</v>
      </c>
      <c r="W28" s="65">
        <f>2995120835</f>
        <v>2995120835</v>
      </c>
      <c r="X28" s="69">
        <f>20</f>
        <v>20</v>
      </c>
    </row>
    <row r="29" spans="1:24">
      <c r="A29" s="60" t="s">
        <v>956</v>
      </c>
      <c r="B29" s="60" t="s">
        <v>125</v>
      </c>
      <c r="C29" s="60" t="s">
        <v>126</v>
      </c>
      <c r="D29" s="60" t="s">
        <v>127</v>
      </c>
      <c r="E29" s="61" t="s">
        <v>46</v>
      </c>
      <c r="F29" s="62" t="s">
        <v>46</v>
      </c>
      <c r="G29" s="63" t="s">
        <v>46</v>
      </c>
      <c r="H29" s="64"/>
      <c r="I29" s="64" t="s">
        <v>47</v>
      </c>
      <c r="J29" s="65">
        <v>10</v>
      </c>
      <c r="K29" s="66">
        <f>2118</f>
        <v>2118</v>
      </c>
      <c r="L29" s="67" t="s">
        <v>853</v>
      </c>
      <c r="M29" s="66">
        <f>2147</f>
        <v>2147</v>
      </c>
      <c r="N29" s="67" t="s">
        <v>854</v>
      </c>
      <c r="O29" s="66">
        <f>2002.5</f>
        <v>2002.5</v>
      </c>
      <c r="P29" s="67" t="s">
        <v>873</v>
      </c>
      <c r="Q29" s="66">
        <f>2002.5</f>
        <v>2002.5</v>
      </c>
      <c r="R29" s="67" t="s">
        <v>873</v>
      </c>
      <c r="S29" s="68">
        <f>2104.95</f>
        <v>2104.9499999999998</v>
      </c>
      <c r="T29" s="65">
        <f>4405110</f>
        <v>4405110</v>
      </c>
      <c r="U29" s="65">
        <f>380150</f>
        <v>380150</v>
      </c>
      <c r="V29" s="65">
        <f>9197644190</f>
        <v>9197644190</v>
      </c>
      <c r="W29" s="65">
        <f>800109040</f>
        <v>800109040</v>
      </c>
      <c r="X29" s="69">
        <f>20</f>
        <v>20</v>
      </c>
    </row>
    <row r="30" spans="1:24">
      <c r="A30" s="60" t="s">
        <v>956</v>
      </c>
      <c r="B30" s="60" t="s">
        <v>128</v>
      </c>
      <c r="C30" s="60" t="s">
        <v>129</v>
      </c>
      <c r="D30" s="60" t="s">
        <v>130</v>
      </c>
      <c r="E30" s="61" t="s">
        <v>46</v>
      </c>
      <c r="F30" s="62" t="s">
        <v>46</v>
      </c>
      <c r="G30" s="63" t="s">
        <v>46</v>
      </c>
      <c r="H30" s="64"/>
      <c r="I30" s="64" t="s">
        <v>47</v>
      </c>
      <c r="J30" s="65">
        <v>1</v>
      </c>
      <c r="K30" s="66">
        <f>13490</f>
        <v>13490</v>
      </c>
      <c r="L30" s="67" t="s">
        <v>853</v>
      </c>
      <c r="M30" s="66">
        <f>13720</f>
        <v>13720</v>
      </c>
      <c r="N30" s="67" t="s">
        <v>855</v>
      </c>
      <c r="O30" s="66">
        <f>13480</f>
        <v>13480</v>
      </c>
      <c r="P30" s="67" t="s">
        <v>84</v>
      </c>
      <c r="Q30" s="66">
        <f>13480</f>
        <v>13480</v>
      </c>
      <c r="R30" s="67" t="s">
        <v>50</v>
      </c>
      <c r="S30" s="68">
        <f>13585.56</f>
        <v>13585.56</v>
      </c>
      <c r="T30" s="65">
        <f>589</f>
        <v>589</v>
      </c>
      <c r="U30" s="65" t="str">
        <f>"－"</f>
        <v>－</v>
      </c>
      <c r="V30" s="65">
        <f>7993195</f>
        <v>7993195</v>
      </c>
      <c r="W30" s="65" t="str">
        <f>"－"</f>
        <v>－</v>
      </c>
      <c r="X30" s="69">
        <f>18</f>
        <v>18</v>
      </c>
    </row>
    <row r="31" spans="1:24">
      <c r="A31" s="60" t="s">
        <v>956</v>
      </c>
      <c r="B31" s="60" t="s">
        <v>133</v>
      </c>
      <c r="C31" s="60" t="s">
        <v>134</v>
      </c>
      <c r="D31" s="60" t="s">
        <v>135</v>
      </c>
      <c r="E31" s="61" t="s">
        <v>46</v>
      </c>
      <c r="F31" s="62" t="s">
        <v>46</v>
      </c>
      <c r="G31" s="63" t="s">
        <v>46</v>
      </c>
      <c r="H31" s="64"/>
      <c r="I31" s="64" t="s">
        <v>47</v>
      </c>
      <c r="J31" s="65">
        <v>10</v>
      </c>
      <c r="K31" s="66">
        <f>1005</f>
        <v>1005</v>
      </c>
      <c r="L31" s="67" t="s">
        <v>853</v>
      </c>
      <c r="M31" s="66">
        <f>1113</f>
        <v>1113</v>
      </c>
      <c r="N31" s="67" t="s">
        <v>873</v>
      </c>
      <c r="O31" s="66">
        <f>972</f>
        <v>972</v>
      </c>
      <c r="P31" s="67" t="s">
        <v>854</v>
      </c>
      <c r="Q31" s="66">
        <f>1112.5</f>
        <v>1112.5</v>
      </c>
      <c r="R31" s="67" t="s">
        <v>873</v>
      </c>
      <c r="S31" s="68">
        <f>1012.28</f>
        <v>1012.28</v>
      </c>
      <c r="T31" s="65">
        <f>6332060</f>
        <v>6332060</v>
      </c>
      <c r="U31" s="65" t="str">
        <f>"－"</f>
        <v>－</v>
      </c>
      <c r="V31" s="65">
        <f>6465316360</f>
        <v>6465316360</v>
      </c>
      <c r="W31" s="65" t="str">
        <f>"－"</f>
        <v>－</v>
      </c>
      <c r="X31" s="69">
        <f>20</f>
        <v>20</v>
      </c>
    </row>
    <row r="32" spans="1:24">
      <c r="A32" s="60" t="s">
        <v>956</v>
      </c>
      <c r="B32" s="60" t="s">
        <v>136</v>
      </c>
      <c r="C32" s="60" t="s">
        <v>137</v>
      </c>
      <c r="D32" s="60" t="s">
        <v>138</v>
      </c>
      <c r="E32" s="61" t="s">
        <v>46</v>
      </c>
      <c r="F32" s="62" t="s">
        <v>46</v>
      </c>
      <c r="G32" s="63" t="s">
        <v>46</v>
      </c>
      <c r="H32" s="64"/>
      <c r="I32" s="64" t="s">
        <v>47</v>
      </c>
      <c r="J32" s="65">
        <v>1</v>
      </c>
      <c r="K32" s="66">
        <f>379</f>
        <v>379</v>
      </c>
      <c r="L32" s="67" t="s">
        <v>853</v>
      </c>
      <c r="M32" s="66">
        <f>421</f>
        <v>421</v>
      </c>
      <c r="N32" s="67" t="s">
        <v>873</v>
      </c>
      <c r="O32" s="66">
        <f>364</f>
        <v>364</v>
      </c>
      <c r="P32" s="67" t="s">
        <v>854</v>
      </c>
      <c r="Q32" s="66">
        <f>420</f>
        <v>420</v>
      </c>
      <c r="R32" s="67" t="s">
        <v>873</v>
      </c>
      <c r="S32" s="68">
        <f>379.3</f>
        <v>379.3</v>
      </c>
      <c r="T32" s="65">
        <f>1050057960</f>
        <v>1050057960</v>
      </c>
      <c r="U32" s="65">
        <f>3814938</f>
        <v>3814938</v>
      </c>
      <c r="V32" s="65">
        <f>400403277491</f>
        <v>400403277491</v>
      </c>
      <c r="W32" s="65">
        <f>1421026376</f>
        <v>1421026376</v>
      </c>
      <c r="X32" s="69">
        <f>20</f>
        <v>20</v>
      </c>
    </row>
    <row r="33" spans="1:24">
      <c r="A33" s="60" t="s">
        <v>956</v>
      </c>
      <c r="B33" s="60" t="s">
        <v>139</v>
      </c>
      <c r="C33" s="60" t="s">
        <v>140</v>
      </c>
      <c r="D33" s="60" t="s">
        <v>141</v>
      </c>
      <c r="E33" s="61" t="s">
        <v>46</v>
      </c>
      <c r="F33" s="62" t="s">
        <v>46</v>
      </c>
      <c r="G33" s="63" t="s">
        <v>46</v>
      </c>
      <c r="H33" s="64"/>
      <c r="I33" s="64" t="s">
        <v>47</v>
      </c>
      <c r="J33" s="65">
        <v>1</v>
      </c>
      <c r="K33" s="66">
        <f>30500</f>
        <v>30500</v>
      </c>
      <c r="L33" s="67" t="s">
        <v>853</v>
      </c>
      <c r="M33" s="66">
        <f>31600</f>
        <v>31600</v>
      </c>
      <c r="N33" s="67" t="s">
        <v>854</v>
      </c>
      <c r="O33" s="66">
        <f>27180</f>
        <v>27180</v>
      </c>
      <c r="P33" s="67" t="s">
        <v>873</v>
      </c>
      <c r="Q33" s="66">
        <f>27210</f>
        <v>27210</v>
      </c>
      <c r="R33" s="67" t="s">
        <v>873</v>
      </c>
      <c r="S33" s="68">
        <f>30341</f>
        <v>30341</v>
      </c>
      <c r="T33" s="65">
        <f>456785</f>
        <v>456785</v>
      </c>
      <c r="U33" s="65">
        <f>2</f>
        <v>2</v>
      </c>
      <c r="V33" s="65">
        <f>13693459695</f>
        <v>13693459695</v>
      </c>
      <c r="W33" s="65">
        <f>61000</f>
        <v>61000</v>
      </c>
      <c r="X33" s="69">
        <f>20</f>
        <v>20</v>
      </c>
    </row>
    <row r="34" spans="1:24">
      <c r="A34" s="60" t="s">
        <v>956</v>
      </c>
      <c r="B34" s="60" t="s">
        <v>142</v>
      </c>
      <c r="C34" s="60" t="s">
        <v>143</v>
      </c>
      <c r="D34" s="60" t="s">
        <v>144</v>
      </c>
      <c r="E34" s="61" t="s">
        <v>46</v>
      </c>
      <c r="F34" s="62" t="s">
        <v>46</v>
      </c>
      <c r="G34" s="63" t="s">
        <v>46</v>
      </c>
      <c r="H34" s="64"/>
      <c r="I34" s="64" t="s">
        <v>47</v>
      </c>
      <c r="J34" s="65">
        <v>10</v>
      </c>
      <c r="K34" s="66">
        <f>920</f>
        <v>920</v>
      </c>
      <c r="L34" s="67" t="s">
        <v>853</v>
      </c>
      <c r="M34" s="66">
        <f>1027.5</f>
        <v>1027.5</v>
      </c>
      <c r="N34" s="67" t="s">
        <v>873</v>
      </c>
      <c r="O34" s="66">
        <f>888</f>
        <v>888</v>
      </c>
      <c r="P34" s="67" t="s">
        <v>854</v>
      </c>
      <c r="Q34" s="66">
        <f>1027.5</f>
        <v>1027.5</v>
      </c>
      <c r="R34" s="67" t="s">
        <v>873</v>
      </c>
      <c r="S34" s="68">
        <f>926.18</f>
        <v>926.18</v>
      </c>
      <c r="T34" s="65">
        <f>285452790</f>
        <v>285452790</v>
      </c>
      <c r="U34" s="65">
        <f>3810</f>
        <v>3810</v>
      </c>
      <c r="V34" s="65">
        <f>264981256068</f>
        <v>264981256068</v>
      </c>
      <c r="W34" s="65">
        <f>3490950</f>
        <v>3490950</v>
      </c>
      <c r="X34" s="69">
        <f>20</f>
        <v>20</v>
      </c>
    </row>
    <row r="35" spans="1:24">
      <c r="A35" s="60" t="s">
        <v>956</v>
      </c>
      <c r="B35" s="60" t="s">
        <v>145</v>
      </c>
      <c r="C35" s="60" t="s">
        <v>146</v>
      </c>
      <c r="D35" s="60" t="s">
        <v>147</v>
      </c>
      <c r="E35" s="61" t="s">
        <v>46</v>
      </c>
      <c r="F35" s="62" t="s">
        <v>46</v>
      </c>
      <c r="G35" s="63" t="s">
        <v>46</v>
      </c>
      <c r="H35" s="64"/>
      <c r="I35" s="64" t="s">
        <v>47</v>
      </c>
      <c r="J35" s="65">
        <v>1</v>
      </c>
      <c r="K35" s="66">
        <f>18850</f>
        <v>18850</v>
      </c>
      <c r="L35" s="67" t="s">
        <v>853</v>
      </c>
      <c r="M35" s="66">
        <f>19020</f>
        <v>19020</v>
      </c>
      <c r="N35" s="67" t="s">
        <v>854</v>
      </c>
      <c r="O35" s="66">
        <f>17860</f>
        <v>17860</v>
      </c>
      <c r="P35" s="67" t="s">
        <v>873</v>
      </c>
      <c r="Q35" s="66">
        <f>17870</f>
        <v>17870</v>
      </c>
      <c r="R35" s="67" t="s">
        <v>873</v>
      </c>
      <c r="S35" s="68">
        <f>18671.58</f>
        <v>18671.580000000002</v>
      </c>
      <c r="T35" s="65">
        <f>59501</f>
        <v>59501</v>
      </c>
      <c r="U35" s="65">
        <f>55004</f>
        <v>55004</v>
      </c>
      <c r="V35" s="65">
        <f>1088853365</f>
        <v>1088853365</v>
      </c>
      <c r="W35" s="65">
        <f>1005309820</f>
        <v>1005309820</v>
      </c>
      <c r="X35" s="69">
        <f>19</f>
        <v>19</v>
      </c>
    </row>
    <row r="36" spans="1:24">
      <c r="A36" s="60" t="s">
        <v>956</v>
      </c>
      <c r="B36" s="60" t="s">
        <v>148</v>
      </c>
      <c r="C36" s="60" t="s">
        <v>149</v>
      </c>
      <c r="D36" s="60" t="s">
        <v>150</v>
      </c>
      <c r="E36" s="61" t="s">
        <v>46</v>
      </c>
      <c r="F36" s="62" t="s">
        <v>46</v>
      </c>
      <c r="G36" s="63" t="s">
        <v>46</v>
      </c>
      <c r="H36" s="64"/>
      <c r="I36" s="64" t="s">
        <v>47</v>
      </c>
      <c r="J36" s="65">
        <v>1</v>
      </c>
      <c r="K36" s="66">
        <f>25370</f>
        <v>25370</v>
      </c>
      <c r="L36" s="67" t="s">
        <v>853</v>
      </c>
      <c r="M36" s="66">
        <f>26250</f>
        <v>26250</v>
      </c>
      <c r="N36" s="67" t="s">
        <v>854</v>
      </c>
      <c r="O36" s="66">
        <f>22570</f>
        <v>22570</v>
      </c>
      <c r="P36" s="67" t="s">
        <v>873</v>
      </c>
      <c r="Q36" s="66">
        <f>22615</f>
        <v>22615</v>
      </c>
      <c r="R36" s="67" t="s">
        <v>873</v>
      </c>
      <c r="S36" s="68">
        <f>25226.5</f>
        <v>25226.5</v>
      </c>
      <c r="T36" s="65">
        <f>1105609</f>
        <v>1105609</v>
      </c>
      <c r="U36" s="65" t="str">
        <f>"－"</f>
        <v>－</v>
      </c>
      <c r="V36" s="65">
        <f>27650432735</f>
        <v>27650432735</v>
      </c>
      <c r="W36" s="65" t="str">
        <f>"－"</f>
        <v>－</v>
      </c>
      <c r="X36" s="69">
        <f>20</f>
        <v>20</v>
      </c>
    </row>
    <row r="37" spans="1:24">
      <c r="A37" s="60" t="s">
        <v>956</v>
      </c>
      <c r="B37" s="60" t="s">
        <v>151</v>
      </c>
      <c r="C37" s="60" t="s">
        <v>152</v>
      </c>
      <c r="D37" s="60" t="s">
        <v>153</v>
      </c>
      <c r="E37" s="61" t="s">
        <v>46</v>
      </c>
      <c r="F37" s="62" t="s">
        <v>46</v>
      </c>
      <c r="G37" s="63" t="s">
        <v>46</v>
      </c>
      <c r="H37" s="64"/>
      <c r="I37" s="64" t="s">
        <v>47</v>
      </c>
      <c r="J37" s="65">
        <v>1</v>
      </c>
      <c r="K37" s="66">
        <f>987</f>
        <v>987</v>
      </c>
      <c r="L37" s="67" t="s">
        <v>853</v>
      </c>
      <c r="M37" s="66">
        <f>1098</f>
        <v>1098</v>
      </c>
      <c r="N37" s="67" t="s">
        <v>873</v>
      </c>
      <c r="O37" s="66">
        <f>950</f>
        <v>950</v>
      </c>
      <c r="P37" s="67" t="s">
        <v>854</v>
      </c>
      <c r="Q37" s="66">
        <f>1095</f>
        <v>1095</v>
      </c>
      <c r="R37" s="67" t="s">
        <v>873</v>
      </c>
      <c r="S37" s="68">
        <f>989.5</f>
        <v>989.5</v>
      </c>
      <c r="T37" s="65">
        <f>12964105</f>
        <v>12964105</v>
      </c>
      <c r="U37" s="65">
        <f>105</f>
        <v>105</v>
      </c>
      <c r="V37" s="65">
        <f>12895606459</f>
        <v>12895606459</v>
      </c>
      <c r="W37" s="65">
        <f>103005</f>
        <v>103005</v>
      </c>
      <c r="X37" s="69">
        <f>20</f>
        <v>20</v>
      </c>
    </row>
    <row r="38" spans="1:24">
      <c r="A38" s="60" t="s">
        <v>956</v>
      </c>
      <c r="B38" s="60" t="s">
        <v>154</v>
      </c>
      <c r="C38" s="60" t="s">
        <v>155</v>
      </c>
      <c r="D38" s="60" t="s">
        <v>156</v>
      </c>
      <c r="E38" s="61" t="s">
        <v>46</v>
      </c>
      <c r="F38" s="62" t="s">
        <v>46</v>
      </c>
      <c r="G38" s="63" t="s">
        <v>46</v>
      </c>
      <c r="H38" s="64"/>
      <c r="I38" s="64" t="s">
        <v>47</v>
      </c>
      <c r="J38" s="65">
        <v>1</v>
      </c>
      <c r="K38" s="66">
        <f>20350</f>
        <v>20350</v>
      </c>
      <c r="L38" s="67" t="s">
        <v>853</v>
      </c>
      <c r="M38" s="66">
        <f>20990</f>
        <v>20990</v>
      </c>
      <c r="N38" s="67" t="s">
        <v>854</v>
      </c>
      <c r="O38" s="66">
        <f>18245</f>
        <v>18245</v>
      </c>
      <c r="P38" s="67" t="s">
        <v>873</v>
      </c>
      <c r="Q38" s="66">
        <f>18310</f>
        <v>18310</v>
      </c>
      <c r="R38" s="67" t="s">
        <v>873</v>
      </c>
      <c r="S38" s="68">
        <f>20193.75</f>
        <v>20193.75</v>
      </c>
      <c r="T38" s="65">
        <f>215093</f>
        <v>215093</v>
      </c>
      <c r="U38" s="65">
        <f>109</f>
        <v>109</v>
      </c>
      <c r="V38" s="65">
        <f>4317826925</f>
        <v>4317826925</v>
      </c>
      <c r="W38" s="65">
        <f>2055085</f>
        <v>2055085</v>
      </c>
      <c r="X38" s="69">
        <f>20</f>
        <v>20</v>
      </c>
    </row>
    <row r="39" spans="1:24">
      <c r="A39" s="60" t="s">
        <v>956</v>
      </c>
      <c r="B39" s="60" t="s">
        <v>157</v>
      </c>
      <c r="C39" s="60" t="s">
        <v>158</v>
      </c>
      <c r="D39" s="60" t="s">
        <v>159</v>
      </c>
      <c r="E39" s="61" t="s">
        <v>46</v>
      </c>
      <c r="F39" s="62" t="s">
        <v>46</v>
      </c>
      <c r="G39" s="63" t="s">
        <v>46</v>
      </c>
      <c r="H39" s="64"/>
      <c r="I39" s="64" t="s">
        <v>47</v>
      </c>
      <c r="J39" s="65">
        <v>1</v>
      </c>
      <c r="K39" s="66">
        <f>1457</f>
        <v>1457</v>
      </c>
      <c r="L39" s="67" t="s">
        <v>853</v>
      </c>
      <c r="M39" s="66">
        <f>1610</f>
        <v>1610</v>
      </c>
      <c r="N39" s="67" t="s">
        <v>873</v>
      </c>
      <c r="O39" s="66">
        <f>1407</f>
        <v>1407</v>
      </c>
      <c r="P39" s="67" t="s">
        <v>854</v>
      </c>
      <c r="Q39" s="66">
        <f>1606</f>
        <v>1606</v>
      </c>
      <c r="R39" s="67" t="s">
        <v>873</v>
      </c>
      <c r="S39" s="68">
        <f>1464.8</f>
        <v>1464.8</v>
      </c>
      <c r="T39" s="65">
        <f>939815</f>
        <v>939815</v>
      </c>
      <c r="U39" s="65" t="str">
        <f>"－"</f>
        <v>－</v>
      </c>
      <c r="V39" s="65">
        <f>1378392780</f>
        <v>1378392780</v>
      </c>
      <c r="W39" s="65" t="str">
        <f>"－"</f>
        <v>－</v>
      </c>
      <c r="X39" s="69">
        <f>20</f>
        <v>20</v>
      </c>
    </row>
    <row r="40" spans="1:24">
      <c r="A40" s="60" t="s">
        <v>956</v>
      </c>
      <c r="B40" s="60" t="s">
        <v>160</v>
      </c>
      <c r="C40" s="60" t="s">
        <v>161</v>
      </c>
      <c r="D40" s="60" t="s">
        <v>162</v>
      </c>
      <c r="E40" s="61" t="s">
        <v>46</v>
      </c>
      <c r="F40" s="62" t="s">
        <v>46</v>
      </c>
      <c r="G40" s="63" t="s">
        <v>46</v>
      </c>
      <c r="H40" s="64"/>
      <c r="I40" s="64" t="s">
        <v>47</v>
      </c>
      <c r="J40" s="65">
        <v>1</v>
      </c>
      <c r="K40" s="66">
        <f>29570</f>
        <v>29570</v>
      </c>
      <c r="L40" s="67" t="s">
        <v>853</v>
      </c>
      <c r="M40" s="66">
        <f>30100</f>
        <v>30100</v>
      </c>
      <c r="N40" s="67" t="s">
        <v>854</v>
      </c>
      <c r="O40" s="66">
        <f>27950</f>
        <v>27950</v>
      </c>
      <c r="P40" s="67" t="s">
        <v>873</v>
      </c>
      <c r="Q40" s="66">
        <f>28000</f>
        <v>28000</v>
      </c>
      <c r="R40" s="67" t="s">
        <v>873</v>
      </c>
      <c r="S40" s="68">
        <f>29513.25</f>
        <v>29513.25</v>
      </c>
      <c r="T40" s="65">
        <f>345382</f>
        <v>345382</v>
      </c>
      <c r="U40" s="65">
        <f>240883</f>
        <v>240883</v>
      </c>
      <c r="V40" s="65">
        <f>10163826452</f>
        <v>10163826452</v>
      </c>
      <c r="W40" s="65">
        <f>7134603027</f>
        <v>7134603027</v>
      </c>
      <c r="X40" s="69">
        <f>20</f>
        <v>20</v>
      </c>
    </row>
    <row r="41" spans="1:24">
      <c r="A41" s="60" t="s">
        <v>956</v>
      </c>
      <c r="B41" s="60" t="s">
        <v>163</v>
      </c>
      <c r="C41" s="60" t="s">
        <v>164</v>
      </c>
      <c r="D41" s="60" t="s">
        <v>165</v>
      </c>
      <c r="E41" s="61" t="s">
        <v>46</v>
      </c>
      <c r="F41" s="62" t="s">
        <v>46</v>
      </c>
      <c r="G41" s="63" t="s">
        <v>46</v>
      </c>
      <c r="H41" s="64"/>
      <c r="I41" s="64" t="s">
        <v>47</v>
      </c>
      <c r="J41" s="65">
        <v>1</v>
      </c>
      <c r="K41" s="66">
        <f>5650</f>
        <v>5650</v>
      </c>
      <c r="L41" s="67" t="s">
        <v>853</v>
      </c>
      <c r="M41" s="66">
        <f>5810</f>
        <v>5810</v>
      </c>
      <c r="N41" s="67" t="s">
        <v>48</v>
      </c>
      <c r="O41" s="66">
        <f>5300</f>
        <v>5300</v>
      </c>
      <c r="P41" s="67" t="s">
        <v>873</v>
      </c>
      <c r="Q41" s="66">
        <f>5370</f>
        <v>5370</v>
      </c>
      <c r="R41" s="67" t="s">
        <v>873</v>
      </c>
      <c r="S41" s="68">
        <f>5686.5</f>
        <v>5686.5</v>
      </c>
      <c r="T41" s="65">
        <f>6822</f>
        <v>6822</v>
      </c>
      <c r="U41" s="65">
        <f>2</f>
        <v>2</v>
      </c>
      <c r="V41" s="65">
        <f>38326077</f>
        <v>38326077</v>
      </c>
      <c r="W41" s="65">
        <f>11530</f>
        <v>11530</v>
      </c>
      <c r="X41" s="69">
        <f>20</f>
        <v>20</v>
      </c>
    </row>
    <row r="42" spans="1:24">
      <c r="A42" s="60" t="s">
        <v>956</v>
      </c>
      <c r="B42" s="60" t="s">
        <v>166</v>
      </c>
      <c r="C42" s="60" t="s">
        <v>167</v>
      </c>
      <c r="D42" s="60" t="s">
        <v>168</v>
      </c>
      <c r="E42" s="61" t="s">
        <v>46</v>
      </c>
      <c r="F42" s="62" t="s">
        <v>46</v>
      </c>
      <c r="G42" s="63" t="s">
        <v>46</v>
      </c>
      <c r="H42" s="64"/>
      <c r="I42" s="64" t="s">
        <v>47</v>
      </c>
      <c r="J42" s="65">
        <v>1</v>
      </c>
      <c r="K42" s="66">
        <f>10190</f>
        <v>10190</v>
      </c>
      <c r="L42" s="67" t="s">
        <v>853</v>
      </c>
      <c r="M42" s="66">
        <f>10500</f>
        <v>10500</v>
      </c>
      <c r="N42" s="67" t="s">
        <v>84</v>
      </c>
      <c r="O42" s="66">
        <f>9690</f>
        <v>9690</v>
      </c>
      <c r="P42" s="67" t="s">
        <v>873</v>
      </c>
      <c r="Q42" s="66">
        <f>9690</f>
        <v>9690</v>
      </c>
      <c r="R42" s="67" t="s">
        <v>873</v>
      </c>
      <c r="S42" s="68">
        <f>10183.4</f>
        <v>10183.4</v>
      </c>
      <c r="T42" s="65">
        <f>2784</f>
        <v>2784</v>
      </c>
      <c r="U42" s="65" t="str">
        <f>"－"</f>
        <v>－</v>
      </c>
      <c r="V42" s="65">
        <f>28297729</f>
        <v>28297729</v>
      </c>
      <c r="W42" s="65" t="str">
        <f>"－"</f>
        <v>－</v>
      </c>
      <c r="X42" s="69">
        <f>20</f>
        <v>20</v>
      </c>
    </row>
    <row r="43" spans="1:24">
      <c r="A43" s="60" t="s">
        <v>956</v>
      </c>
      <c r="B43" s="60" t="s">
        <v>169</v>
      </c>
      <c r="C43" s="60" t="s">
        <v>170</v>
      </c>
      <c r="D43" s="60" t="s">
        <v>171</v>
      </c>
      <c r="E43" s="61" t="s">
        <v>46</v>
      </c>
      <c r="F43" s="62" t="s">
        <v>46</v>
      </c>
      <c r="G43" s="63" t="s">
        <v>46</v>
      </c>
      <c r="H43" s="64"/>
      <c r="I43" s="64" t="s">
        <v>47</v>
      </c>
      <c r="J43" s="65">
        <v>1</v>
      </c>
      <c r="K43" s="66">
        <f>20010</f>
        <v>20010</v>
      </c>
      <c r="L43" s="67" t="s">
        <v>857</v>
      </c>
      <c r="M43" s="66">
        <f>20420</f>
        <v>20420</v>
      </c>
      <c r="N43" s="67" t="s">
        <v>84</v>
      </c>
      <c r="O43" s="66">
        <f>18980</f>
        <v>18980</v>
      </c>
      <c r="P43" s="67" t="s">
        <v>50</v>
      </c>
      <c r="Q43" s="66">
        <f>19265</f>
        <v>19265</v>
      </c>
      <c r="R43" s="67" t="s">
        <v>873</v>
      </c>
      <c r="S43" s="68">
        <f>19982.73</f>
        <v>19982.73</v>
      </c>
      <c r="T43" s="65">
        <f>206</f>
        <v>206</v>
      </c>
      <c r="U43" s="65" t="str">
        <f>"－"</f>
        <v>－</v>
      </c>
      <c r="V43" s="65">
        <f>4148825</f>
        <v>4148825</v>
      </c>
      <c r="W43" s="65" t="str">
        <f>"－"</f>
        <v>－</v>
      </c>
      <c r="X43" s="69">
        <f>11</f>
        <v>11</v>
      </c>
    </row>
    <row r="44" spans="1:24">
      <c r="A44" s="60" t="s">
        <v>956</v>
      </c>
      <c r="B44" s="60" t="s">
        <v>173</v>
      </c>
      <c r="C44" s="60" t="s">
        <v>174</v>
      </c>
      <c r="D44" s="60" t="s">
        <v>175</v>
      </c>
      <c r="E44" s="61" t="s">
        <v>46</v>
      </c>
      <c r="F44" s="62" t="s">
        <v>46</v>
      </c>
      <c r="G44" s="63" t="s">
        <v>46</v>
      </c>
      <c r="H44" s="64"/>
      <c r="I44" s="64" t="s">
        <v>47</v>
      </c>
      <c r="J44" s="65">
        <v>1</v>
      </c>
      <c r="K44" s="66">
        <f>17880</f>
        <v>17880</v>
      </c>
      <c r="L44" s="67" t="s">
        <v>853</v>
      </c>
      <c r="M44" s="66">
        <f>18680</f>
        <v>18680</v>
      </c>
      <c r="N44" s="67" t="s">
        <v>84</v>
      </c>
      <c r="O44" s="66">
        <f>15970</f>
        <v>15970</v>
      </c>
      <c r="P44" s="67" t="s">
        <v>50</v>
      </c>
      <c r="Q44" s="66">
        <f>16720</f>
        <v>16720</v>
      </c>
      <c r="R44" s="67" t="s">
        <v>50</v>
      </c>
      <c r="S44" s="68">
        <f>17630</f>
        <v>17630</v>
      </c>
      <c r="T44" s="65">
        <f>55</f>
        <v>55</v>
      </c>
      <c r="U44" s="65">
        <f>2</f>
        <v>2</v>
      </c>
      <c r="V44" s="65">
        <f>973630</f>
        <v>973630</v>
      </c>
      <c r="W44" s="65">
        <f>36000</f>
        <v>36000</v>
      </c>
      <c r="X44" s="69">
        <f>9</f>
        <v>9</v>
      </c>
    </row>
    <row r="45" spans="1:24">
      <c r="A45" s="60" t="s">
        <v>956</v>
      </c>
      <c r="B45" s="60" t="s">
        <v>177</v>
      </c>
      <c r="C45" s="60" t="s">
        <v>178</v>
      </c>
      <c r="D45" s="60" t="s">
        <v>179</v>
      </c>
      <c r="E45" s="61" t="s">
        <v>46</v>
      </c>
      <c r="F45" s="62" t="s">
        <v>46</v>
      </c>
      <c r="G45" s="63" t="s">
        <v>46</v>
      </c>
      <c r="H45" s="64"/>
      <c r="I45" s="64" t="s">
        <v>47</v>
      </c>
      <c r="J45" s="65">
        <v>1</v>
      </c>
      <c r="K45" s="66">
        <f>10460</f>
        <v>10460</v>
      </c>
      <c r="L45" s="67" t="s">
        <v>853</v>
      </c>
      <c r="M45" s="66">
        <f>10580</f>
        <v>10580</v>
      </c>
      <c r="N45" s="67" t="s">
        <v>855</v>
      </c>
      <c r="O45" s="66">
        <f>9850</f>
        <v>9850</v>
      </c>
      <c r="P45" s="67" t="s">
        <v>50</v>
      </c>
      <c r="Q45" s="66">
        <f>9920</f>
        <v>9920</v>
      </c>
      <c r="R45" s="67" t="s">
        <v>873</v>
      </c>
      <c r="S45" s="68">
        <f>10374</f>
        <v>10374</v>
      </c>
      <c r="T45" s="65">
        <f>1001</f>
        <v>1001</v>
      </c>
      <c r="U45" s="65">
        <f>2</f>
        <v>2</v>
      </c>
      <c r="V45" s="65">
        <f>10389367</f>
        <v>10389367</v>
      </c>
      <c r="W45" s="65">
        <f>20910</f>
        <v>20910</v>
      </c>
      <c r="X45" s="69">
        <f>20</f>
        <v>20</v>
      </c>
    </row>
    <row r="46" spans="1:24">
      <c r="A46" s="60" t="s">
        <v>956</v>
      </c>
      <c r="B46" s="60" t="s">
        <v>180</v>
      </c>
      <c r="C46" s="60" t="s">
        <v>181</v>
      </c>
      <c r="D46" s="60" t="s">
        <v>182</v>
      </c>
      <c r="E46" s="61" t="s">
        <v>46</v>
      </c>
      <c r="F46" s="62" t="s">
        <v>46</v>
      </c>
      <c r="G46" s="63" t="s">
        <v>46</v>
      </c>
      <c r="H46" s="64"/>
      <c r="I46" s="64" t="s">
        <v>47</v>
      </c>
      <c r="J46" s="65">
        <v>1</v>
      </c>
      <c r="K46" s="66">
        <f>5550</f>
        <v>5550</v>
      </c>
      <c r="L46" s="67" t="s">
        <v>853</v>
      </c>
      <c r="M46" s="66">
        <f>5630</f>
        <v>5630</v>
      </c>
      <c r="N46" s="67" t="s">
        <v>857</v>
      </c>
      <c r="O46" s="66">
        <f>5166</f>
        <v>5166</v>
      </c>
      <c r="P46" s="67" t="s">
        <v>873</v>
      </c>
      <c r="Q46" s="66">
        <f>5166</f>
        <v>5166</v>
      </c>
      <c r="R46" s="67" t="s">
        <v>873</v>
      </c>
      <c r="S46" s="68">
        <f>5467.58</f>
        <v>5467.58</v>
      </c>
      <c r="T46" s="65">
        <f>2581</f>
        <v>2581</v>
      </c>
      <c r="U46" s="65">
        <f>2</f>
        <v>2</v>
      </c>
      <c r="V46" s="65">
        <f>14066717</f>
        <v>14066717</v>
      </c>
      <c r="W46" s="65">
        <f>11030</f>
        <v>11030</v>
      </c>
      <c r="X46" s="69">
        <f>19</f>
        <v>19</v>
      </c>
    </row>
    <row r="47" spans="1:24">
      <c r="A47" s="60" t="s">
        <v>956</v>
      </c>
      <c r="B47" s="60" t="s">
        <v>183</v>
      </c>
      <c r="C47" s="60" t="s">
        <v>184</v>
      </c>
      <c r="D47" s="60" t="s">
        <v>185</v>
      </c>
      <c r="E47" s="61" t="s">
        <v>46</v>
      </c>
      <c r="F47" s="62" t="s">
        <v>46</v>
      </c>
      <c r="G47" s="63" t="s">
        <v>46</v>
      </c>
      <c r="H47" s="64"/>
      <c r="I47" s="64" t="s">
        <v>47</v>
      </c>
      <c r="J47" s="65">
        <v>1</v>
      </c>
      <c r="K47" s="66">
        <f>2946</f>
        <v>2946</v>
      </c>
      <c r="L47" s="67" t="s">
        <v>853</v>
      </c>
      <c r="M47" s="66">
        <f>3035</f>
        <v>3035</v>
      </c>
      <c r="N47" s="67" t="s">
        <v>100</v>
      </c>
      <c r="O47" s="66">
        <f>2880</f>
        <v>2880</v>
      </c>
      <c r="P47" s="67" t="s">
        <v>873</v>
      </c>
      <c r="Q47" s="66">
        <f>2880</f>
        <v>2880</v>
      </c>
      <c r="R47" s="67" t="s">
        <v>873</v>
      </c>
      <c r="S47" s="68">
        <f>2968.3</f>
        <v>2968.3</v>
      </c>
      <c r="T47" s="65">
        <f>5631</f>
        <v>5631</v>
      </c>
      <c r="U47" s="65">
        <f>4</f>
        <v>4</v>
      </c>
      <c r="V47" s="65">
        <f>16686198</f>
        <v>16686198</v>
      </c>
      <c r="W47" s="65">
        <f>11934</f>
        <v>11934</v>
      </c>
      <c r="X47" s="69">
        <f>20</f>
        <v>20</v>
      </c>
    </row>
    <row r="48" spans="1:24">
      <c r="A48" s="60" t="s">
        <v>956</v>
      </c>
      <c r="B48" s="60" t="s">
        <v>186</v>
      </c>
      <c r="C48" s="60" t="s">
        <v>187</v>
      </c>
      <c r="D48" s="60" t="s">
        <v>188</v>
      </c>
      <c r="E48" s="61" t="s">
        <v>46</v>
      </c>
      <c r="F48" s="62" t="s">
        <v>46</v>
      </c>
      <c r="G48" s="63" t="s">
        <v>46</v>
      </c>
      <c r="H48" s="64"/>
      <c r="I48" s="64" t="s">
        <v>47</v>
      </c>
      <c r="J48" s="65">
        <v>1</v>
      </c>
      <c r="K48" s="66">
        <f>2796</f>
        <v>2796</v>
      </c>
      <c r="L48" s="67" t="s">
        <v>853</v>
      </c>
      <c r="M48" s="66">
        <f>2817</f>
        <v>2817</v>
      </c>
      <c r="N48" s="67" t="s">
        <v>48</v>
      </c>
      <c r="O48" s="66">
        <f>2663</f>
        <v>2663</v>
      </c>
      <c r="P48" s="67" t="s">
        <v>873</v>
      </c>
      <c r="Q48" s="66">
        <f>2675</f>
        <v>2675</v>
      </c>
      <c r="R48" s="67" t="s">
        <v>873</v>
      </c>
      <c r="S48" s="68">
        <f>2777.65</f>
        <v>2777.65</v>
      </c>
      <c r="T48" s="65">
        <f>1195</f>
        <v>1195</v>
      </c>
      <c r="U48" s="65">
        <f>2</f>
        <v>2</v>
      </c>
      <c r="V48" s="65">
        <f>3302394</f>
        <v>3302394</v>
      </c>
      <c r="W48" s="65">
        <f>5542</f>
        <v>5542</v>
      </c>
      <c r="X48" s="69">
        <f>20</f>
        <v>20</v>
      </c>
    </row>
    <row r="49" spans="1:24">
      <c r="A49" s="60" t="s">
        <v>956</v>
      </c>
      <c r="B49" s="60" t="s">
        <v>189</v>
      </c>
      <c r="C49" s="60" t="s">
        <v>190</v>
      </c>
      <c r="D49" s="60" t="s">
        <v>191</v>
      </c>
      <c r="E49" s="61" t="s">
        <v>46</v>
      </c>
      <c r="F49" s="62" t="s">
        <v>46</v>
      </c>
      <c r="G49" s="63" t="s">
        <v>46</v>
      </c>
      <c r="H49" s="64"/>
      <c r="I49" s="64" t="s">
        <v>47</v>
      </c>
      <c r="J49" s="65">
        <v>1</v>
      </c>
      <c r="K49" s="66">
        <f>52200</f>
        <v>52200</v>
      </c>
      <c r="L49" s="67" t="s">
        <v>853</v>
      </c>
      <c r="M49" s="66">
        <f>64200</f>
        <v>64200</v>
      </c>
      <c r="N49" s="67" t="s">
        <v>132</v>
      </c>
      <c r="O49" s="66">
        <f>51700</f>
        <v>51700</v>
      </c>
      <c r="P49" s="67" t="s">
        <v>853</v>
      </c>
      <c r="Q49" s="66">
        <f>55500</f>
        <v>55500</v>
      </c>
      <c r="R49" s="67" t="s">
        <v>873</v>
      </c>
      <c r="S49" s="68">
        <f>54259.5</f>
        <v>54259.5</v>
      </c>
      <c r="T49" s="65">
        <f>2427</f>
        <v>2427</v>
      </c>
      <c r="U49" s="65" t="str">
        <f>"－"</f>
        <v>－</v>
      </c>
      <c r="V49" s="65">
        <f>134917990</f>
        <v>134917990</v>
      </c>
      <c r="W49" s="65" t="str">
        <f>"－"</f>
        <v>－</v>
      </c>
      <c r="X49" s="69">
        <f>20</f>
        <v>20</v>
      </c>
    </row>
    <row r="50" spans="1:24">
      <c r="A50" s="60" t="s">
        <v>956</v>
      </c>
      <c r="B50" s="60" t="s">
        <v>192</v>
      </c>
      <c r="C50" s="60" t="s">
        <v>193</v>
      </c>
      <c r="D50" s="60" t="s">
        <v>194</v>
      </c>
      <c r="E50" s="61" t="s">
        <v>46</v>
      </c>
      <c r="F50" s="62" t="s">
        <v>46</v>
      </c>
      <c r="G50" s="63" t="s">
        <v>46</v>
      </c>
      <c r="H50" s="64"/>
      <c r="I50" s="64" t="s">
        <v>47</v>
      </c>
      <c r="J50" s="65">
        <v>1</v>
      </c>
      <c r="K50" s="66">
        <f>37700</f>
        <v>37700</v>
      </c>
      <c r="L50" s="67" t="s">
        <v>48</v>
      </c>
      <c r="M50" s="66">
        <f>38350</f>
        <v>38350</v>
      </c>
      <c r="N50" s="67" t="s">
        <v>856</v>
      </c>
      <c r="O50" s="66">
        <f>36650</f>
        <v>36650</v>
      </c>
      <c r="P50" s="67" t="s">
        <v>50</v>
      </c>
      <c r="Q50" s="66">
        <f>37210</f>
        <v>37210</v>
      </c>
      <c r="R50" s="67" t="s">
        <v>873</v>
      </c>
      <c r="S50" s="68">
        <f>37444.38</f>
        <v>37444.379999999997</v>
      </c>
      <c r="T50" s="65">
        <f>370</f>
        <v>370</v>
      </c>
      <c r="U50" s="65">
        <f>2</f>
        <v>2</v>
      </c>
      <c r="V50" s="65">
        <f>13823350</f>
        <v>13823350</v>
      </c>
      <c r="W50" s="65">
        <f>75150</f>
        <v>75150</v>
      </c>
      <c r="X50" s="69">
        <f>16</f>
        <v>16</v>
      </c>
    </row>
    <row r="51" spans="1:24">
      <c r="A51" s="60" t="s">
        <v>956</v>
      </c>
      <c r="B51" s="60" t="s">
        <v>195</v>
      </c>
      <c r="C51" s="60" t="s">
        <v>196</v>
      </c>
      <c r="D51" s="60" t="s">
        <v>197</v>
      </c>
      <c r="E51" s="61" t="s">
        <v>46</v>
      </c>
      <c r="F51" s="62" t="s">
        <v>46</v>
      </c>
      <c r="G51" s="63" t="s">
        <v>46</v>
      </c>
      <c r="H51" s="64"/>
      <c r="I51" s="64" t="s">
        <v>47</v>
      </c>
      <c r="J51" s="65">
        <v>1</v>
      </c>
      <c r="K51" s="66">
        <f>29680</f>
        <v>29680</v>
      </c>
      <c r="L51" s="67" t="s">
        <v>853</v>
      </c>
      <c r="M51" s="66">
        <f>30200</f>
        <v>30200</v>
      </c>
      <c r="N51" s="67" t="s">
        <v>855</v>
      </c>
      <c r="O51" s="66">
        <f>28240</f>
        <v>28240</v>
      </c>
      <c r="P51" s="67" t="s">
        <v>873</v>
      </c>
      <c r="Q51" s="66">
        <f>28250</f>
        <v>28250</v>
      </c>
      <c r="R51" s="67" t="s">
        <v>873</v>
      </c>
      <c r="S51" s="68">
        <f>29627.94</f>
        <v>29627.94</v>
      </c>
      <c r="T51" s="65">
        <f>320979</f>
        <v>320979</v>
      </c>
      <c r="U51" s="65">
        <f>303400</f>
        <v>303400</v>
      </c>
      <c r="V51" s="65">
        <f>9617725895</f>
        <v>9617725895</v>
      </c>
      <c r="W51" s="65">
        <f>9096873460</f>
        <v>9096873460</v>
      </c>
      <c r="X51" s="69">
        <f>17</f>
        <v>17</v>
      </c>
    </row>
    <row r="52" spans="1:24">
      <c r="A52" s="60" t="s">
        <v>956</v>
      </c>
      <c r="B52" s="60" t="s">
        <v>198</v>
      </c>
      <c r="C52" s="60" t="s">
        <v>199</v>
      </c>
      <c r="D52" s="60" t="s">
        <v>200</v>
      </c>
      <c r="E52" s="61" t="s">
        <v>46</v>
      </c>
      <c r="F52" s="62" t="s">
        <v>46</v>
      </c>
      <c r="G52" s="63" t="s">
        <v>46</v>
      </c>
      <c r="H52" s="64"/>
      <c r="I52" s="64" t="s">
        <v>47</v>
      </c>
      <c r="J52" s="65">
        <v>10</v>
      </c>
      <c r="K52" s="66">
        <f>2137</f>
        <v>2137</v>
      </c>
      <c r="L52" s="67" t="s">
        <v>853</v>
      </c>
      <c r="M52" s="66">
        <f>2145</f>
        <v>2145</v>
      </c>
      <c r="N52" s="67" t="s">
        <v>84</v>
      </c>
      <c r="O52" s="66">
        <f>2065</f>
        <v>2065</v>
      </c>
      <c r="P52" s="67" t="s">
        <v>873</v>
      </c>
      <c r="Q52" s="66">
        <f>2065</f>
        <v>2065</v>
      </c>
      <c r="R52" s="67" t="s">
        <v>873</v>
      </c>
      <c r="S52" s="68">
        <f>2110.93</f>
        <v>2110.9299999999998</v>
      </c>
      <c r="T52" s="65">
        <f>220880</f>
        <v>220880</v>
      </c>
      <c r="U52" s="65">
        <f>16630</f>
        <v>16630</v>
      </c>
      <c r="V52" s="65">
        <f>466601785</f>
        <v>466601785</v>
      </c>
      <c r="W52" s="65">
        <f>35297175</f>
        <v>35297175</v>
      </c>
      <c r="X52" s="69">
        <f>20</f>
        <v>20</v>
      </c>
    </row>
    <row r="53" spans="1:24">
      <c r="A53" s="60" t="s">
        <v>956</v>
      </c>
      <c r="B53" s="60" t="s">
        <v>201</v>
      </c>
      <c r="C53" s="60" t="s">
        <v>202</v>
      </c>
      <c r="D53" s="60" t="s">
        <v>203</v>
      </c>
      <c r="E53" s="61" t="s">
        <v>46</v>
      </c>
      <c r="F53" s="62" t="s">
        <v>46</v>
      </c>
      <c r="G53" s="63" t="s">
        <v>46</v>
      </c>
      <c r="H53" s="64"/>
      <c r="I53" s="64" t="s">
        <v>47</v>
      </c>
      <c r="J53" s="65">
        <v>10</v>
      </c>
      <c r="K53" s="66">
        <f>1570</f>
        <v>1570</v>
      </c>
      <c r="L53" s="67" t="s">
        <v>853</v>
      </c>
      <c r="M53" s="66">
        <f>1583</f>
        <v>1583</v>
      </c>
      <c r="N53" s="67" t="s">
        <v>48</v>
      </c>
      <c r="O53" s="66">
        <f>1483</f>
        <v>1483</v>
      </c>
      <c r="P53" s="67" t="s">
        <v>50</v>
      </c>
      <c r="Q53" s="66">
        <f>1506.5</f>
        <v>1506.5</v>
      </c>
      <c r="R53" s="67" t="s">
        <v>873</v>
      </c>
      <c r="S53" s="68">
        <f>1544.61</f>
        <v>1544.61</v>
      </c>
      <c r="T53" s="65">
        <f>9640</f>
        <v>9640</v>
      </c>
      <c r="U53" s="65">
        <f>20</f>
        <v>20</v>
      </c>
      <c r="V53" s="65">
        <f>14577800</f>
        <v>14577800</v>
      </c>
      <c r="W53" s="65">
        <f>30790</f>
        <v>30790</v>
      </c>
      <c r="X53" s="69">
        <f>19</f>
        <v>19</v>
      </c>
    </row>
    <row r="54" spans="1:24">
      <c r="A54" s="60" t="s">
        <v>956</v>
      </c>
      <c r="B54" s="60" t="s">
        <v>204</v>
      </c>
      <c r="C54" s="60" t="s">
        <v>205</v>
      </c>
      <c r="D54" s="60" t="s">
        <v>206</v>
      </c>
      <c r="E54" s="61" t="s">
        <v>46</v>
      </c>
      <c r="F54" s="62" t="s">
        <v>46</v>
      </c>
      <c r="G54" s="63" t="s">
        <v>46</v>
      </c>
      <c r="H54" s="64"/>
      <c r="I54" s="64" t="s">
        <v>47</v>
      </c>
      <c r="J54" s="65">
        <v>1</v>
      </c>
      <c r="K54" s="66">
        <f>4165</f>
        <v>4165</v>
      </c>
      <c r="L54" s="67" t="s">
        <v>853</v>
      </c>
      <c r="M54" s="66">
        <f>4400</f>
        <v>4400</v>
      </c>
      <c r="N54" s="67" t="s">
        <v>873</v>
      </c>
      <c r="O54" s="66">
        <f>4090</f>
        <v>4090</v>
      </c>
      <c r="P54" s="67" t="s">
        <v>854</v>
      </c>
      <c r="Q54" s="66">
        <f>4395</f>
        <v>4395</v>
      </c>
      <c r="R54" s="67" t="s">
        <v>873</v>
      </c>
      <c r="S54" s="68">
        <f>4176.25</f>
        <v>4176.25</v>
      </c>
      <c r="T54" s="65">
        <f>242036</f>
        <v>242036</v>
      </c>
      <c r="U54" s="65">
        <f>5000</f>
        <v>5000</v>
      </c>
      <c r="V54" s="65">
        <f>1027466120</f>
        <v>1027466120</v>
      </c>
      <c r="W54" s="65">
        <f>20786000</f>
        <v>20786000</v>
      </c>
      <c r="X54" s="69">
        <f>20</f>
        <v>20</v>
      </c>
    </row>
    <row r="55" spans="1:24">
      <c r="A55" s="60" t="s">
        <v>956</v>
      </c>
      <c r="B55" s="60" t="s">
        <v>207</v>
      </c>
      <c r="C55" s="60" t="s">
        <v>208</v>
      </c>
      <c r="D55" s="60" t="s">
        <v>209</v>
      </c>
      <c r="E55" s="61" t="s">
        <v>46</v>
      </c>
      <c r="F55" s="62" t="s">
        <v>46</v>
      </c>
      <c r="G55" s="63" t="s">
        <v>46</v>
      </c>
      <c r="H55" s="64"/>
      <c r="I55" s="64" t="s">
        <v>47</v>
      </c>
      <c r="J55" s="65">
        <v>1</v>
      </c>
      <c r="K55" s="66">
        <f>4990</f>
        <v>4990</v>
      </c>
      <c r="L55" s="67" t="s">
        <v>853</v>
      </c>
      <c r="M55" s="66">
        <f>5250</f>
        <v>5250</v>
      </c>
      <c r="N55" s="67" t="s">
        <v>873</v>
      </c>
      <c r="O55" s="66">
        <f>4915</f>
        <v>4915</v>
      </c>
      <c r="P55" s="67" t="s">
        <v>854</v>
      </c>
      <c r="Q55" s="66">
        <f>5250</f>
        <v>5250</v>
      </c>
      <c r="R55" s="67" t="s">
        <v>873</v>
      </c>
      <c r="S55" s="68">
        <f>5011.75</f>
        <v>5011.75</v>
      </c>
      <c r="T55" s="65">
        <f>214991</f>
        <v>214991</v>
      </c>
      <c r="U55" s="65">
        <f>100000</f>
        <v>100000</v>
      </c>
      <c r="V55" s="65">
        <f>1073543235</f>
        <v>1073543235</v>
      </c>
      <c r="W55" s="65">
        <f>497979430</f>
        <v>497979430</v>
      </c>
      <c r="X55" s="69">
        <f>20</f>
        <v>20</v>
      </c>
    </row>
    <row r="56" spans="1:24">
      <c r="A56" s="60" t="s">
        <v>956</v>
      </c>
      <c r="B56" s="60" t="s">
        <v>210</v>
      </c>
      <c r="C56" s="60" t="s">
        <v>211</v>
      </c>
      <c r="D56" s="60" t="s">
        <v>212</v>
      </c>
      <c r="E56" s="61" t="s">
        <v>46</v>
      </c>
      <c r="F56" s="62" t="s">
        <v>46</v>
      </c>
      <c r="G56" s="63" t="s">
        <v>46</v>
      </c>
      <c r="H56" s="64"/>
      <c r="I56" s="64" t="s">
        <v>47</v>
      </c>
      <c r="J56" s="65">
        <v>1</v>
      </c>
      <c r="K56" s="66">
        <f>19260</f>
        <v>19260</v>
      </c>
      <c r="L56" s="67" t="s">
        <v>853</v>
      </c>
      <c r="M56" s="66">
        <f>19940</f>
        <v>19940</v>
      </c>
      <c r="N56" s="67" t="s">
        <v>854</v>
      </c>
      <c r="O56" s="66">
        <f>17135</f>
        <v>17135</v>
      </c>
      <c r="P56" s="67" t="s">
        <v>873</v>
      </c>
      <c r="Q56" s="66">
        <f>17170</f>
        <v>17170</v>
      </c>
      <c r="R56" s="67" t="s">
        <v>873</v>
      </c>
      <c r="S56" s="68">
        <f>19157</f>
        <v>19157</v>
      </c>
      <c r="T56" s="65">
        <f>18415373</f>
        <v>18415373</v>
      </c>
      <c r="U56" s="65">
        <f>6024</f>
        <v>6024</v>
      </c>
      <c r="V56" s="65">
        <f>353766091265</f>
        <v>353766091265</v>
      </c>
      <c r="W56" s="65">
        <f>100822135</f>
        <v>100822135</v>
      </c>
      <c r="X56" s="69">
        <f>20</f>
        <v>20</v>
      </c>
    </row>
    <row r="57" spans="1:24">
      <c r="A57" s="60" t="s">
        <v>956</v>
      </c>
      <c r="B57" s="60" t="s">
        <v>213</v>
      </c>
      <c r="C57" s="60" t="s">
        <v>214</v>
      </c>
      <c r="D57" s="60" t="s">
        <v>215</v>
      </c>
      <c r="E57" s="61" t="s">
        <v>46</v>
      </c>
      <c r="F57" s="62" t="s">
        <v>46</v>
      </c>
      <c r="G57" s="63" t="s">
        <v>46</v>
      </c>
      <c r="H57" s="64"/>
      <c r="I57" s="64" t="s">
        <v>47</v>
      </c>
      <c r="J57" s="65">
        <v>1</v>
      </c>
      <c r="K57" s="66">
        <f>1510</f>
        <v>1510</v>
      </c>
      <c r="L57" s="67" t="s">
        <v>853</v>
      </c>
      <c r="M57" s="66">
        <f>1683</f>
        <v>1683</v>
      </c>
      <c r="N57" s="67" t="s">
        <v>873</v>
      </c>
      <c r="O57" s="66">
        <f>1456</f>
        <v>1456</v>
      </c>
      <c r="P57" s="67" t="s">
        <v>854</v>
      </c>
      <c r="Q57" s="66">
        <f>1682</f>
        <v>1682</v>
      </c>
      <c r="R57" s="67" t="s">
        <v>873</v>
      </c>
      <c r="S57" s="68">
        <f>1517</f>
        <v>1517</v>
      </c>
      <c r="T57" s="65">
        <f>201786910</f>
        <v>201786910</v>
      </c>
      <c r="U57" s="65">
        <f>550406</f>
        <v>550406</v>
      </c>
      <c r="V57" s="65">
        <f>306570818335</f>
        <v>306570818335</v>
      </c>
      <c r="W57" s="65">
        <f>863364859</f>
        <v>863364859</v>
      </c>
      <c r="X57" s="69">
        <f>20</f>
        <v>20</v>
      </c>
    </row>
    <row r="58" spans="1:24">
      <c r="A58" s="60" t="s">
        <v>956</v>
      </c>
      <c r="B58" s="60" t="s">
        <v>219</v>
      </c>
      <c r="C58" s="60" t="s">
        <v>220</v>
      </c>
      <c r="D58" s="60" t="s">
        <v>221</v>
      </c>
      <c r="E58" s="61" t="s">
        <v>46</v>
      </c>
      <c r="F58" s="62" t="s">
        <v>46</v>
      </c>
      <c r="G58" s="63" t="s">
        <v>46</v>
      </c>
      <c r="H58" s="64"/>
      <c r="I58" s="64" t="s">
        <v>47</v>
      </c>
      <c r="J58" s="65">
        <v>1</v>
      </c>
      <c r="K58" s="66">
        <f>16240</f>
        <v>16240</v>
      </c>
      <c r="L58" s="67" t="s">
        <v>853</v>
      </c>
      <c r="M58" s="66">
        <f>16610</f>
        <v>16610</v>
      </c>
      <c r="N58" s="67" t="s">
        <v>854</v>
      </c>
      <c r="O58" s="66">
        <f>14600</f>
        <v>14600</v>
      </c>
      <c r="P58" s="67" t="s">
        <v>873</v>
      </c>
      <c r="Q58" s="66">
        <f>14600</f>
        <v>14600</v>
      </c>
      <c r="R58" s="67" t="s">
        <v>873</v>
      </c>
      <c r="S58" s="68">
        <f>16066.25</f>
        <v>16066.25</v>
      </c>
      <c r="T58" s="65">
        <f>4968</f>
        <v>4968</v>
      </c>
      <c r="U58" s="65">
        <f>2</f>
        <v>2</v>
      </c>
      <c r="V58" s="65">
        <f>79079855</f>
        <v>79079855</v>
      </c>
      <c r="W58" s="65">
        <f>32190</f>
        <v>32190</v>
      </c>
      <c r="X58" s="69">
        <f>20</f>
        <v>20</v>
      </c>
    </row>
    <row r="59" spans="1:24">
      <c r="A59" s="60" t="s">
        <v>956</v>
      </c>
      <c r="B59" s="60" t="s">
        <v>222</v>
      </c>
      <c r="C59" s="60" t="s">
        <v>223</v>
      </c>
      <c r="D59" s="60" t="s">
        <v>224</v>
      </c>
      <c r="E59" s="61" t="s">
        <v>46</v>
      </c>
      <c r="F59" s="62" t="s">
        <v>46</v>
      </c>
      <c r="G59" s="63" t="s">
        <v>46</v>
      </c>
      <c r="H59" s="64"/>
      <c r="I59" s="64" t="s">
        <v>47</v>
      </c>
      <c r="J59" s="65">
        <v>1</v>
      </c>
      <c r="K59" s="66">
        <f>4850</f>
        <v>4850</v>
      </c>
      <c r="L59" s="67" t="s">
        <v>853</v>
      </c>
      <c r="M59" s="66">
        <f>4990</f>
        <v>4990</v>
      </c>
      <c r="N59" s="67" t="s">
        <v>50</v>
      </c>
      <c r="O59" s="66">
        <f>4790</f>
        <v>4790</v>
      </c>
      <c r="P59" s="67" t="s">
        <v>96</v>
      </c>
      <c r="Q59" s="66">
        <f>4955</f>
        <v>4955</v>
      </c>
      <c r="R59" s="67" t="s">
        <v>873</v>
      </c>
      <c r="S59" s="68">
        <f>4866.43</f>
        <v>4866.43</v>
      </c>
      <c r="T59" s="65">
        <f>846</f>
        <v>846</v>
      </c>
      <c r="U59" s="65" t="str">
        <f>"－"</f>
        <v>－</v>
      </c>
      <c r="V59" s="65">
        <f>4087360</f>
        <v>4087360</v>
      </c>
      <c r="W59" s="65" t="str">
        <f>"－"</f>
        <v>－</v>
      </c>
      <c r="X59" s="69">
        <f>14</f>
        <v>14</v>
      </c>
    </row>
    <row r="60" spans="1:24">
      <c r="A60" s="60" t="s">
        <v>956</v>
      </c>
      <c r="B60" s="60" t="s">
        <v>225</v>
      </c>
      <c r="C60" s="60" t="s">
        <v>226</v>
      </c>
      <c r="D60" s="60" t="s">
        <v>227</v>
      </c>
      <c r="E60" s="61" t="s">
        <v>46</v>
      </c>
      <c r="F60" s="62" t="s">
        <v>46</v>
      </c>
      <c r="G60" s="63" t="s">
        <v>46</v>
      </c>
      <c r="H60" s="64"/>
      <c r="I60" s="64" t="s">
        <v>47</v>
      </c>
      <c r="J60" s="65">
        <v>1</v>
      </c>
      <c r="K60" s="66">
        <f>1914</f>
        <v>1914</v>
      </c>
      <c r="L60" s="67" t="s">
        <v>853</v>
      </c>
      <c r="M60" s="66">
        <f>2073</f>
        <v>2073</v>
      </c>
      <c r="N60" s="67" t="s">
        <v>873</v>
      </c>
      <c r="O60" s="66">
        <f>1830</f>
        <v>1830</v>
      </c>
      <c r="P60" s="67" t="s">
        <v>48</v>
      </c>
      <c r="Q60" s="66">
        <f>2073</f>
        <v>2073</v>
      </c>
      <c r="R60" s="67" t="s">
        <v>873</v>
      </c>
      <c r="S60" s="68">
        <f>1899.8</f>
        <v>1899.8</v>
      </c>
      <c r="T60" s="65">
        <f>21168</f>
        <v>21168</v>
      </c>
      <c r="U60" s="65">
        <f>4</f>
        <v>4</v>
      </c>
      <c r="V60" s="65">
        <f>40645517</f>
        <v>40645517</v>
      </c>
      <c r="W60" s="65">
        <f>7425</f>
        <v>7425</v>
      </c>
      <c r="X60" s="69">
        <f>20</f>
        <v>20</v>
      </c>
    </row>
    <row r="61" spans="1:24">
      <c r="A61" s="60" t="s">
        <v>956</v>
      </c>
      <c r="B61" s="60" t="s">
        <v>228</v>
      </c>
      <c r="C61" s="60" t="s">
        <v>229</v>
      </c>
      <c r="D61" s="60" t="s">
        <v>230</v>
      </c>
      <c r="E61" s="61" t="s">
        <v>46</v>
      </c>
      <c r="F61" s="62" t="s">
        <v>46</v>
      </c>
      <c r="G61" s="63" t="s">
        <v>46</v>
      </c>
      <c r="H61" s="64"/>
      <c r="I61" s="64" t="s">
        <v>47</v>
      </c>
      <c r="J61" s="65">
        <v>10</v>
      </c>
      <c r="K61" s="66">
        <f>15380</f>
        <v>15380</v>
      </c>
      <c r="L61" s="67" t="s">
        <v>853</v>
      </c>
      <c r="M61" s="66">
        <f>15480</f>
        <v>15480</v>
      </c>
      <c r="N61" s="67" t="s">
        <v>69</v>
      </c>
      <c r="O61" s="66">
        <f>13800</f>
        <v>13800</v>
      </c>
      <c r="P61" s="67" t="s">
        <v>873</v>
      </c>
      <c r="Q61" s="66">
        <f>13800</f>
        <v>13800</v>
      </c>
      <c r="R61" s="67" t="s">
        <v>873</v>
      </c>
      <c r="S61" s="68">
        <f>14983.06</f>
        <v>14983.06</v>
      </c>
      <c r="T61" s="65">
        <f>3360</f>
        <v>3360</v>
      </c>
      <c r="U61" s="65">
        <f>20</f>
        <v>20</v>
      </c>
      <c r="V61" s="65">
        <f>50401150</f>
        <v>50401150</v>
      </c>
      <c r="W61" s="65">
        <f>305500</f>
        <v>305500</v>
      </c>
      <c r="X61" s="69">
        <f>18</f>
        <v>18</v>
      </c>
    </row>
    <row r="62" spans="1:24">
      <c r="A62" s="60" t="s">
        <v>956</v>
      </c>
      <c r="B62" s="60" t="s">
        <v>231</v>
      </c>
      <c r="C62" s="60" t="s">
        <v>232</v>
      </c>
      <c r="D62" s="60" t="s">
        <v>233</v>
      </c>
      <c r="E62" s="61" t="s">
        <v>46</v>
      </c>
      <c r="F62" s="62" t="s">
        <v>46</v>
      </c>
      <c r="G62" s="63" t="s">
        <v>46</v>
      </c>
      <c r="H62" s="64"/>
      <c r="I62" s="64" t="s">
        <v>47</v>
      </c>
      <c r="J62" s="65">
        <v>10</v>
      </c>
      <c r="K62" s="66">
        <f>4675</f>
        <v>4675</v>
      </c>
      <c r="L62" s="67" t="s">
        <v>853</v>
      </c>
      <c r="M62" s="66">
        <f>4726</f>
        <v>4726</v>
      </c>
      <c r="N62" s="67" t="s">
        <v>873</v>
      </c>
      <c r="O62" s="66">
        <f>4665</f>
        <v>4665</v>
      </c>
      <c r="P62" s="67" t="s">
        <v>856</v>
      </c>
      <c r="Q62" s="66">
        <f>4726</f>
        <v>4726</v>
      </c>
      <c r="R62" s="67" t="s">
        <v>873</v>
      </c>
      <c r="S62" s="68">
        <f>4688.67</f>
        <v>4688.67</v>
      </c>
      <c r="T62" s="65">
        <f>190</f>
        <v>190</v>
      </c>
      <c r="U62" s="65">
        <f>10</f>
        <v>10</v>
      </c>
      <c r="V62" s="65">
        <f>893170</f>
        <v>893170</v>
      </c>
      <c r="W62" s="65">
        <f>46750</f>
        <v>46750</v>
      </c>
      <c r="X62" s="69">
        <f>3</f>
        <v>3</v>
      </c>
    </row>
    <row r="63" spans="1:24">
      <c r="A63" s="60" t="s">
        <v>956</v>
      </c>
      <c r="B63" s="60" t="s">
        <v>234</v>
      </c>
      <c r="C63" s="60" t="s">
        <v>235</v>
      </c>
      <c r="D63" s="60" t="s">
        <v>236</v>
      </c>
      <c r="E63" s="61" t="s">
        <v>46</v>
      </c>
      <c r="F63" s="62" t="s">
        <v>46</v>
      </c>
      <c r="G63" s="63" t="s">
        <v>46</v>
      </c>
      <c r="H63" s="64"/>
      <c r="I63" s="64" t="s">
        <v>47</v>
      </c>
      <c r="J63" s="65">
        <v>10</v>
      </c>
      <c r="K63" s="66">
        <f>1942</f>
        <v>1942</v>
      </c>
      <c r="L63" s="67" t="s">
        <v>853</v>
      </c>
      <c r="M63" s="66">
        <f>2050</f>
        <v>2050</v>
      </c>
      <c r="N63" s="67" t="s">
        <v>873</v>
      </c>
      <c r="O63" s="66">
        <f>1812</f>
        <v>1812</v>
      </c>
      <c r="P63" s="67" t="s">
        <v>854</v>
      </c>
      <c r="Q63" s="66">
        <f>2050</f>
        <v>2050</v>
      </c>
      <c r="R63" s="67" t="s">
        <v>873</v>
      </c>
      <c r="S63" s="68">
        <f>1875.48</f>
        <v>1875.48</v>
      </c>
      <c r="T63" s="65">
        <f>78800</f>
        <v>78800</v>
      </c>
      <c r="U63" s="65" t="str">
        <f>"－"</f>
        <v>－</v>
      </c>
      <c r="V63" s="65">
        <f>151095155</f>
        <v>151095155</v>
      </c>
      <c r="W63" s="65" t="str">
        <f>"－"</f>
        <v>－</v>
      </c>
      <c r="X63" s="69">
        <f>20</f>
        <v>20</v>
      </c>
    </row>
    <row r="64" spans="1:24">
      <c r="A64" s="60" t="s">
        <v>956</v>
      </c>
      <c r="B64" s="60" t="s">
        <v>241</v>
      </c>
      <c r="C64" s="60" t="s">
        <v>242</v>
      </c>
      <c r="D64" s="60" t="s">
        <v>243</v>
      </c>
      <c r="E64" s="61" t="s">
        <v>46</v>
      </c>
      <c r="F64" s="62" t="s">
        <v>46</v>
      </c>
      <c r="G64" s="63" t="s">
        <v>46</v>
      </c>
      <c r="H64" s="64"/>
      <c r="I64" s="64" t="s">
        <v>47</v>
      </c>
      <c r="J64" s="65">
        <v>1</v>
      </c>
      <c r="K64" s="66">
        <f>3095</f>
        <v>3095</v>
      </c>
      <c r="L64" s="67" t="s">
        <v>853</v>
      </c>
      <c r="M64" s="66">
        <f>3305</f>
        <v>3305</v>
      </c>
      <c r="N64" s="67" t="s">
        <v>50</v>
      </c>
      <c r="O64" s="66">
        <f>3095</f>
        <v>3095</v>
      </c>
      <c r="P64" s="67" t="s">
        <v>853</v>
      </c>
      <c r="Q64" s="66">
        <f>3285</f>
        <v>3285</v>
      </c>
      <c r="R64" s="67" t="s">
        <v>873</v>
      </c>
      <c r="S64" s="68">
        <f>3158.53</f>
        <v>3158.53</v>
      </c>
      <c r="T64" s="65">
        <f>1957</f>
        <v>1957</v>
      </c>
      <c r="U64" s="65">
        <f>2</f>
        <v>2</v>
      </c>
      <c r="V64" s="65">
        <f>6174765</f>
        <v>6174765</v>
      </c>
      <c r="W64" s="65">
        <f>6250</f>
        <v>6250</v>
      </c>
      <c r="X64" s="69">
        <f>17</f>
        <v>17</v>
      </c>
    </row>
    <row r="65" spans="1:24">
      <c r="A65" s="60" t="s">
        <v>956</v>
      </c>
      <c r="B65" s="60" t="s">
        <v>244</v>
      </c>
      <c r="C65" s="60" t="s">
        <v>245</v>
      </c>
      <c r="D65" s="60" t="s">
        <v>246</v>
      </c>
      <c r="E65" s="61" t="s">
        <v>46</v>
      </c>
      <c r="F65" s="62" t="s">
        <v>46</v>
      </c>
      <c r="G65" s="63" t="s">
        <v>46</v>
      </c>
      <c r="H65" s="64"/>
      <c r="I65" s="64" t="s">
        <v>47</v>
      </c>
      <c r="J65" s="65">
        <v>1</v>
      </c>
      <c r="K65" s="66">
        <f>771</f>
        <v>771</v>
      </c>
      <c r="L65" s="67" t="s">
        <v>853</v>
      </c>
      <c r="M65" s="66">
        <f>825</f>
        <v>825</v>
      </c>
      <c r="N65" s="67" t="s">
        <v>873</v>
      </c>
      <c r="O65" s="66">
        <f>729</f>
        <v>729</v>
      </c>
      <c r="P65" s="67" t="s">
        <v>859</v>
      </c>
      <c r="Q65" s="66">
        <f>824</f>
        <v>824</v>
      </c>
      <c r="R65" s="67" t="s">
        <v>873</v>
      </c>
      <c r="S65" s="68">
        <f>757.55</f>
        <v>757.55</v>
      </c>
      <c r="T65" s="65">
        <f>68396</f>
        <v>68396</v>
      </c>
      <c r="U65" s="65">
        <f>8</f>
        <v>8</v>
      </c>
      <c r="V65" s="65">
        <f>52264264</f>
        <v>52264264</v>
      </c>
      <c r="W65" s="65">
        <f>6021</f>
        <v>6021</v>
      </c>
      <c r="X65" s="69">
        <f>20</f>
        <v>20</v>
      </c>
    </row>
    <row r="66" spans="1:24">
      <c r="A66" s="60" t="s">
        <v>956</v>
      </c>
      <c r="B66" s="60" t="s">
        <v>247</v>
      </c>
      <c r="C66" s="60" t="s">
        <v>248</v>
      </c>
      <c r="D66" s="60" t="s">
        <v>249</v>
      </c>
      <c r="E66" s="61" t="s">
        <v>46</v>
      </c>
      <c r="F66" s="62" t="s">
        <v>46</v>
      </c>
      <c r="G66" s="63" t="s">
        <v>46</v>
      </c>
      <c r="H66" s="64"/>
      <c r="I66" s="64" t="s">
        <v>47</v>
      </c>
      <c r="J66" s="65">
        <v>10</v>
      </c>
      <c r="K66" s="66">
        <f>2086</f>
        <v>2086</v>
      </c>
      <c r="L66" s="67" t="s">
        <v>853</v>
      </c>
      <c r="M66" s="66">
        <f>2102</f>
        <v>2102</v>
      </c>
      <c r="N66" s="67" t="s">
        <v>854</v>
      </c>
      <c r="O66" s="66">
        <f>1966</f>
        <v>1966</v>
      </c>
      <c r="P66" s="67" t="s">
        <v>873</v>
      </c>
      <c r="Q66" s="66">
        <f>1966</f>
        <v>1966</v>
      </c>
      <c r="R66" s="67" t="s">
        <v>873</v>
      </c>
      <c r="S66" s="68">
        <f>2065.08</f>
        <v>2065.08</v>
      </c>
      <c r="T66" s="65">
        <f>7611120</f>
        <v>7611120</v>
      </c>
      <c r="U66" s="65">
        <f>5636640</f>
        <v>5636640</v>
      </c>
      <c r="V66" s="65">
        <f>15768790471</f>
        <v>15768790471</v>
      </c>
      <c r="W66" s="65">
        <f>11754803486</f>
        <v>11754803486</v>
      </c>
      <c r="X66" s="69">
        <f>20</f>
        <v>20</v>
      </c>
    </row>
    <row r="67" spans="1:24">
      <c r="A67" s="60" t="s">
        <v>956</v>
      </c>
      <c r="B67" s="60" t="s">
        <v>250</v>
      </c>
      <c r="C67" s="60" t="s">
        <v>251</v>
      </c>
      <c r="D67" s="60" t="s">
        <v>252</v>
      </c>
      <c r="E67" s="61" t="s">
        <v>46</v>
      </c>
      <c r="F67" s="62" t="s">
        <v>46</v>
      </c>
      <c r="G67" s="63" t="s">
        <v>46</v>
      </c>
      <c r="H67" s="64"/>
      <c r="I67" s="64" t="s">
        <v>47</v>
      </c>
      <c r="J67" s="65">
        <v>1</v>
      </c>
      <c r="K67" s="66">
        <f>18610</f>
        <v>18610</v>
      </c>
      <c r="L67" s="67" t="s">
        <v>853</v>
      </c>
      <c r="M67" s="66">
        <f>18950</f>
        <v>18950</v>
      </c>
      <c r="N67" s="67" t="s">
        <v>856</v>
      </c>
      <c r="O67" s="66">
        <f>17845</f>
        <v>17845</v>
      </c>
      <c r="P67" s="67" t="s">
        <v>873</v>
      </c>
      <c r="Q67" s="66">
        <f>17845</f>
        <v>17845</v>
      </c>
      <c r="R67" s="67" t="s">
        <v>873</v>
      </c>
      <c r="S67" s="68">
        <f>18520</f>
        <v>18520</v>
      </c>
      <c r="T67" s="65">
        <f>38993</f>
        <v>38993</v>
      </c>
      <c r="U67" s="65">
        <f>10001</f>
        <v>10001</v>
      </c>
      <c r="V67" s="65">
        <f>725082845</f>
        <v>725082845</v>
      </c>
      <c r="W67" s="65">
        <f>185668610</f>
        <v>185668610</v>
      </c>
      <c r="X67" s="69">
        <f>20</f>
        <v>20</v>
      </c>
    </row>
    <row r="68" spans="1:24">
      <c r="A68" s="60" t="s">
        <v>956</v>
      </c>
      <c r="B68" s="60" t="s">
        <v>253</v>
      </c>
      <c r="C68" s="60" t="s">
        <v>254</v>
      </c>
      <c r="D68" s="60" t="s">
        <v>255</v>
      </c>
      <c r="E68" s="61" t="s">
        <v>46</v>
      </c>
      <c r="F68" s="62" t="s">
        <v>46</v>
      </c>
      <c r="G68" s="63" t="s">
        <v>46</v>
      </c>
      <c r="H68" s="64"/>
      <c r="I68" s="64" t="s">
        <v>47</v>
      </c>
      <c r="J68" s="65">
        <v>1</v>
      </c>
      <c r="K68" s="66">
        <f>2089</f>
        <v>2089</v>
      </c>
      <c r="L68" s="67" t="s">
        <v>853</v>
      </c>
      <c r="M68" s="66">
        <f>2117</f>
        <v>2117</v>
      </c>
      <c r="N68" s="67" t="s">
        <v>854</v>
      </c>
      <c r="O68" s="66">
        <f>1977</f>
        <v>1977</v>
      </c>
      <c r="P68" s="67" t="s">
        <v>873</v>
      </c>
      <c r="Q68" s="66">
        <f>1979</f>
        <v>1979</v>
      </c>
      <c r="R68" s="67" t="s">
        <v>873</v>
      </c>
      <c r="S68" s="68">
        <f>2075.25</f>
        <v>2075.25</v>
      </c>
      <c r="T68" s="65">
        <f>3872304</f>
        <v>3872304</v>
      </c>
      <c r="U68" s="65">
        <f>629162</f>
        <v>629162</v>
      </c>
      <c r="V68" s="65">
        <f>8015017194</f>
        <v>8015017194</v>
      </c>
      <c r="W68" s="65">
        <f>1306132980</f>
        <v>1306132980</v>
      </c>
      <c r="X68" s="69">
        <f>20</f>
        <v>20</v>
      </c>
    </row>
    <row r="69" spans="1:24">
      <c r="A69" s="60" t="s">
        <v>956</v>
      </c>
      <c r="B69" s="60" t="s">
        <v>256</v>
      </c>
      <c r="C69" s="60" t="s">
        <v>257</v>
      </c>
      <c r="D69" s="60" t="s">
        <v>258</v>
      </c>
      <c r="E69" s="61" t="s">
        <v>46</v>
      </c>
      <c r="F69" s="62" t="s">
        <v>46</v>
      </c>
      <c r="G69" s="63" t="s">
        <v>46</v>
      </c>
      <c r="H69" s="64"/>
      <c r="I69" s="64" t="s">
        <v>47</v>
      </c>
      <c r="J69" s="65">
        <v>1</v>
      </c>
      <c r="K69" s="66">
        <f>2168</f>
        <v>2168</v>
      </c>
      <c r="L69" s="67" t="s">
        <v>853</v>
      </c>
      <c r="M69" s="66">
        <f>2170</f>
        <v>2170</v>
      </c>
      <c r="N69" s="67" t="s">
        <v>84</v>
      </c>
      <c r="O69" s="66">
        <f>2063</f>
        <v>2063</v>
      </c>
      <c r="P69" s="67" t="s">
        <v>50</v>
      </c>
      <c r="Q69" s="66">
        <f>2065</f>
        <v>2065</v>
      </c>
      <c r="R69" s="67" t="s">
        <v>873</v>
      </c>
      <c r="S69" s="68">
        <f>2122.5</f>
        <v>2122.5</v>
      </c>
      <c r="T69" s="65">
        <f>5287033</f>
        <v>5287033</v>
      </c>
      <c r="U69" s="65">
        <f>565714</f>
        <v>565714</v>
      </c>
      <c r="V69" s="65">
        <f>11221504092</f>
        <v>11221504092</v>
      </c>
      <c r="W69" s="65">
        <f>1204946245</f>
        <v>1204946245</v>
      </c>
      <c r="X69" s="69">
        <f>20</f>
        <v>20</v>
      </c>
    </row>
    <row r="70" spans="1:24">
      <c r="A70" s="60" t="s">
        <v>956</v>
      </c>
      <c r="B70" s="60" t="s">
        <v>259</v>
      </c>
      <c r="C70" s="60" t="s">
        <v>260</v>
      </c>
      <c r="D70" s="60" t="s">
        <v>261</v>
      </c>
      <c r="E70" s="61" t="s">
        <v>46</v>
      </c>
      <c r="F70" s="62" t="s">
        <v>46</v>
      </c>
      <c r="G70" s="63" t="s">
        <v>46</v>
      </c>
      <c r="H70" s="64"/>
      <c r="I70" s="64" t="s">
        <v>47</v>
      </c>
      <c r="J70" s="65">
        <v>1</v>
      </c>
      <c r="K70" s="66">
        <f>1921</f>
        <v>1921</v>
      </c>
      <c r="L70" s="67" t="s">
        <v>853</v>
      </c>
      <c r="M70" s="66">
        <f>1945</f>
        <v>1945</v>
      </c>
      <c r="N70" s="67" t="s">
        <v>854</v>
      </c>
      <c r="O70" s="66">
        <f>1846</f>
        <v>1846</v>
      </c>
      <c r="P70" s="67" t="s">
        <v>873</v>
      </c>
      <c r="Q70" s="66">
        <f>1846</f>
        <v>1846</v>
      </c>
      <c r="R70" s="67" t="s">
        <v>873</v>
      </c>
      <c r="S70" s="68">
        <f>1917.05</f>
        <v>1917.05</v>
      </c>
      <c r="T70" s="65">
        <f>22138</f>
        <v>22138</v>
      </c>
      <c r="U70" s="65">
        <f>12630</f>
        <v>12630</v>
      </c>
      <c r="V70" s="65">
        <f>41367065</f>
        <v>41367065</v>
      </c>
      <c r="W70" s="65">
        <f>23259114</f>
        <v>23259114</v>
      </c>
      <c r="X70" s="69">
        <f>20</f>
        <v>20</v>
      </c>
    </row>
    <row r="71" spans="1:24">
      <c r="A71" s="60" t="s">
        <v>956</v>
      </c>
      <c r="B71" s="60" t="s">
        <v>262</v>
      </c>
      <c r="C71" s="60" t="s">
        <v>263</v>
      </c>
      <c r="D71" s="60" t="s">
        <v>264</v>
      </c>
      <c r="E71" s="61" t="s">
        <v>46</v>
      </c>
      <c r="F71" s="62" t="s">
        <v>46</v>
      </c>
      <c r="G71" s="63" t="s">
        <v>46</v>
      </c>
      <c r="H71" s="64"/>
      <c r="I71" s="64" t="s">
        <v>47</v>
      </c>
      <c r="J71" s="65">
        <v>1</v>
      </c>
      <c r="K71" s="66">
        <f>2234</f>
        <v>2234</v>
      </c>
      <c r="L71" s="67" t="s">
        <v>853</v>
      </c>
      <c r="M71" s="66">
        <f>2254</f>
        <v>2254</v>
      </c>
      <c r="N71" s="67" t="s">
        <v>853</v>
      </c>
      <c r="O71" s="66">
        <f>2086</f>
        <v>2086</v>
      </c>
      <c r="P71" s="67" t="s">
        <v>873</v>
      </c>
      <c r="Q71" s="66">
        <f>2087</f>
        <v>2087</v>
      </c>
      <c r="R71" s="67" t="s">
        <v>873</v>
      </c>
      <c r="S71" s="68">
        <f>2193</f>
        <v>2193</v>
      </c>
      <c r="T71" s="65">
        <f>262624</f>
        <v>262624</v>
      </c>
      <c r="U71" s="65">
        <f>91002</f>
        <v>91002</v>
      </c>
      <c r="V71" s="65">
        <f>573359846</f>
        <v>573359846</v>
      </c>
      <c r="W71" s="65">
        <f>199843429</f>
        <v>199843429</v>
      </c>
      <c r="X71" s="69">
        <f>20</f>
        <v>20</v>
      </c>
    </row>
    <row r="72" spans="1:24">
      <c r="A72" s="60" t="s">
        <v>956</v>
      </c>
      <c r="B72" s="60" t="s">
        <v>265</v>
      </c>
      <c r="C72" s="60" t="s">
        <v>266</v>
      </c>
      <c r="D72" s="60" t="s">
        <v>267</v>
      </c>
      <c r="E72" s="61" t="s">
        <v>46</v>
      </c>
      <c r="F72" s="62" t="s">
        <v>46</v>
      </c>
      <c r="G72" s="63" t="s">
        <v>46</v>
      </c>
      <c r="H72" s="64"/>
      <c r="I72" s="64" t="s">
        <v>47</v>
      </c>
      <c r="J72" s="65">
        <v>1</v>
      </c>
      <c r="K72" s="66">
        <f>25430</f>
        <v>25430</v>
      </c>
      <c r="L72" s="67" t="s">
        <v>853</v>
      </c>
      <c r="M72" s="66">
        <f>25930</f>
        <v>25930</v>
      </c>
      <c r="N72" s="67" t="s">
        <v>69</v>
      </c>
      <c r="O72" s="66">
        <f>24750</f>
        <v>24750</v>
      </c>
      <c r="P72" s="67" t="s">
        <v>50</v>
      </c>
      <c r="Q72" s="66">
        <f>24840</f>
        <v>24840</v>
      </c>
      <c r="R72" s="67" t="s">
        <v>873</v>
      </c>
      <c r="S72" s="68">
        <f>25497.06</f>
        <v>25497.06</v>
      </c>
      <c r="T72" s="65">
        <f>218</f>
        <v>218</v>
      </c>
      <c r="U72" s="65">
        <f>3</f>
        <v>3</v>
      </c>
      <c r="V72" s="65">
        <f>5613630</f>
        <v>5613630</v>
      </c>
      <c r="W72" s="65">
        <f>76120</f>
        <v>76120</v>
      </c>
      <c r="X72" s="69">
        <f>17</f>
        <v>17</v>
      </c>
    </row>
    <row r="73" spans="1:24">
      <c r="A73" s="60" t="s">
        <v>956</v>
      </c>
      <c r="B73" s="60" t="s">
        <v>269</v>
      </c>
      <c r="C73" s="60" t="s">
        <v>270</v>
      </c>
      <c r="D73" s="60" t="s">
        <v>271</v>
      </c>
      <c r="E73" s="61" t="s">
        <v>46</v>
      </c>
      <c r="F73" s="62" t="s">
        <v>46</v>
      </c>
      <c r="G73" s="63" t="s">
        <v>46</v>
      </c>
      <c r="H73" s="64"/>
      <c r="I73" s="64" t="s">
        <v>47</v>
      </c>
      <c r="J73" s="65">
        <v>1</v>
      </c>
      <c r="K73" s="66">
        <f>20460</f>
        <v>20460</v>
      </c>
      <c r="L73" s="67" t="s">
        <v>853</v>
      </c>
      <c r="M73" s="66">
        <f>20760</f>
        <v>20760</v>
      </c>
      <c r="N73" s="67" t="s">
        <v>69</v>
      </c>
      <c r="O73" s="66">
        <f>19780</f>
        <v>19780</v>
      </c>
      <c r="P73" s="67" t="s">
        <v>873</v>
      </c>
      <c r="Q73" s="66">
        <f>19780</f>
        <v>19780</v>
      </c>
      <c r="R73" s="67" t="s">
        <v>873</v>
      </c>
      <c r="S73" s="68">
        <f>20489</f>
        <v>20489</v>
      </c>
      <c r="T73" s="65">
        <f>138</f>
        <v>138</v>
      </c>
      <c r="U73" s="65">
        <f>2</f>
        <v>2</v>
      </c>
      <c r="V73" s="65">
        <f>2828910</f>
        <v>2828910</v>
      </c>
      <c r="W73" s="65">
        <f>41320</f>
        <v>41320</v>
      </c>
      <c r="X73" s="69">
        <f>10</f>
        <v>10</v>
      </c>
    </row>
    <row r="74" spans="1:24">
      <c r="A74" s="60" t="s">
        <v>956</v>
      </c>
      <c r="B74" s="60" t="s">
        <v>272</v>
      </c>
      <c r="C74" s="60" t="s">
        <v>273</v>
      </c>
      <c r="D74" s="60" t="s">
        <v>274</v>
      </c>
      <c r="E74" s="61" t="s">
        <v>46</v>
      </c>
      <c r="F74" s="62" t="s">
        <v>46</v>
      </c>
      <c r="G74" s="63" t="s">
        <v>46</v>
      </c>
      <c r="H74" s="64"/>
      <c r="I74" s="64" t="s">
        <v>47</v>
      </c>
      <c r="J74" s="65">
        <v>1</v>
      </c>
      <c r="K74" s="66">
        <f>2021</f>
        <v>2021</v>
      </c>
      <c r="L74" s="67" t="s">
        <v>853</v>
      </c>
      <c r="M74" s="66">
        <f>2075</f>
        <v>2075</v>
      </c>
      <c r="N74" s="67" t="s">
        <v>856</v>
      </c>
      <c r="O74" s="66">
        <f>1975</f>
        <v>1975</v>
      </c>
      <c r="P74" s="67" t="s">
        <v>873</v>
      </c>
      <c r="Q74" s="66">
        <f>1975</f>
        <v>1975</v>
      </c>
      <c r="R74" s="67" t="s">
        <v>873</v>
      </c>
      <c r="S74" s="68">
        <f>2042.5</f>
        <v>2042.5</v>
      </c>
      <c r="T74" s="65">
        <f>495</f>
        <v>495</v>
      </c>
      <c r="U74" s="65" t="str">
        <f>"－"</f>
        <v>－</v>
      </c>
      <c r="V74" s="65">
        <f>1010054</f>
        <v>1010054</v>
      </c>
      <c r="W74" s="65" t="str">
        <f>"－"</f>
        <v>－</v>
      </c>
      <c r="X74" s="69">
        <f>20</f>
        <v>20</v>
      </c>
    </row>
    <row r="75" spans="1:24">
      <c r="A75" s="60" t="s">
        <v>956</v>
      </c>
      <c r="B75" s="60" t="s">
        <v>275</v>
      </c>
      <c r="C75" s="60" t="s">
        <v>276</v>
      </c>
      <c r="D75" s="60" t="s">
        <v>277</v>
      </c>
      <c r="E75" s="61" t="s">
        <v>46</v>
      </c>
      <c r="F75" s="62" t="s">
        <v>46</v>
      </c>
      <c r="G75" s="63" t="s">
        <v>46</v>
      </c>
      <c r="H75" s="64"/>
      <c r="I75" s="64" t="s">
        <v>47</v>
      </c>
      <c r="J75" s="65">
        <v>1</v>
      </c>
      <c r="K75" s="66">
        <f>2329</f>
        <v>2329</v>
      </c>
      <c r="L75" s="67" t="s">
        <v>853</v>
      </c>
      <c r="M75" s="66">
        <f>2354</f>
        <v>2354</v>
      </c>
      <c r="N75" s="67" t="s">
        <v>860</v>
      </c>
      <c r="O75" s="66">
        <f>2311</f>
        <v>2311</v>
      </c>
      <c r="P75" s="67" t="s">
        <v>856</v>
      </c>
      <c r="Q75" s="66">
        <f>2349</f>
        <v>2349</v>
      </c>
      <c r="R75" s="67" t="s">
        <v>873</v>
      </c>
      <c r="S75" s="68">
        <f>2332.9</f>
        <v>2332.9</v>
      </c>
      <c r="T75" s="65">
        <f>4291044</f>
        <v>4291044</v>
      </c>
      <c r="U75" s="65">
        <f>2159000</f>
        <v>2159000</v>
      </c>
      <c r="V75" s="65">
        <f>9986487150</f>
        <v>9986487150</v>
      </c>
      <c r="W75" s="65">
        <f>5025670592</f>
        <v>5025670592</v>
      </c>
      <c r="X75" s="69">
        <f>20</f>
        <v>20</v>
      </c>
    </row>
    <row r="76" spans="1:24">
      <c r="A76" s="60" t="s">
        <v>956</v>
      </c>
      <c r="B76" s="60" t="s">
        <v>278</v>
      </c>
      <c r="C76" s="60" t="s">
        <v>279</v>
      </c>
      <c r="D76" s="60" t="s">
        <v>280</v>
      </c>
      <c r="E76" s="61" t="s">
        <v>46</v>
      </c>
      <c r="F76" s="62" t="s">
        <v>46</v>
      </c>
      <c r="G76" s="63" t="s">
        <v>46</v>
      </c>
      <c r="H76" s="64"/>
      <c r="I76" s="64" t="s">
        <v>47</v>
      </c>
      <c r="J76" s="65">
        <v>1</v>
      </c>
      <c r="K76" s="66">
        <f>2012</f>
        <v>2012</v>
      </c>
      <c r="L76" s="67" t="s">
        <v>853</v>
      </c>
      <c r="M76" s="66">
        <f>2075</f>
        <v>2075</v>
      </c>
      <c r="N76" s="67" t="s">
        <v>240</v>
      </c>
      <c r="O76" s="66">
        <f>1981</f>
        <v>1981</v>
      </c>
      <c r="P76" s="67" t="s">
        <v>859</v>
      </c>
      <c r="Q76" s="66">
        <f>1986</f>
        <v>1986</v>
      </c>
      <c r="R76" s="67" t="s">
        <v>873</v>
      </c>
      <c r="S76" s="68">
        <f>2040.78</f>
        <v>2040.78</v>
      </c>
      <c r="T76" s="65">
        <f>687</f>
        <v>687</v>
      </c>
      <c r="U76" s="65">
        <f>2</f>
        <v>2</v>
      </c>
      <c r="V76" s="65">
        <f>1390494</f>
        <v>1390494</v>
      </c>
      <c r="W76" s="65">
        <f>4089</f>
        <v>4089</v>
      </c>
      <c r="X76" s="69">
        <f>18</f>
        <v>18</v>
      </c>
    </row>
    <row r="77" spans="1:24">
      <c r="A77" s="60" t="s">
        <v>956</v>
      </c>
      <c r="B77" s="60" t="s">
        <v>281</v>
      </c>
      <c r="C77" s="60" t="s">
        <v>282</v>
      </c>
      <c r="D77" s="60" t="s">
        <v>283</v>
      </c>
      <c r="E77" s="61" t="s">
        <v>46</v>
      </c>
      <c r="F77" s="62" t="s">
        <v>46</v>
      </c>
      <c r="G77" s="63" t="s">
        <v>46</v>
      </c>
      <c r="H77" s="64"/>
      <c r="I77" s="64" t="s">
        <v>47</v>
      </c>
      <c r="J77" s="65">
        <v>10</v>
      </c>
      <c r="K77" s="66">
        <f>1989</f>
        <v>1989</v>
      </c>
      <c r="L77" s="67" t="s">
        <v>853</v>
      </c>
      <c r="M77" s="66">
        <f>2045</f>
        <v>2045</v>
      </c>
      <c r="N77" s="67" t="s">
        <v>132</v>
      </c>
      <c r="O77" s="66">
        <f>1953</f>
        <v>1953</v>
      </c>
      <c r="P77" s="67" t="s">
        <v>873</v>
      </c>
      <c r="Q77" s="66">
        <f>1953</f>
        <v>1953</v>
      </c>
      <c r="R77" s="67" t="s">
        <v>873</v>
      </c>
      <c r="S77" s="68">
        <f>2014.68</f>
        <v>2014.68</v>
      </c>
      <c r="T77" s="65">
        <f>53780</f>
        <v>53780</v>
      </c>
      <c r="U77" s="65">
        <f>32000</f>
        <v>32000</v>
      </c>
      <c r="V77" s="65">
        <f>108218824</f>
        <v>108218824</v>
      </c>
      <c r="W77" s="65">
        <f>64260779</f>
        <v>64260779</v>
      </c>
      <c r="X77" s="69">
        <f>20</f>
        <v>20</v>
      </c>
    </row>
    <row r="78" spans="1:24">
      <c r="A78" s="60" t="s">
        <v>956</v>
      </c>
      <c r="B78" s="60" t="s">
        <v>284</v>
      </c>
      <c r="C78" s="60" t="s">
        <v>285</v>
      </c>
      <c r="D78" s="60" t="s">
        <v>286</v>
      </c>
      <c r="E78" s="61" t="s">
        <v>46</v>
      </c>
      <c r="F78" s="62" t="s">
        <v>46</v>
      </c>
      <c r="G78" s="63" t="s">
        <v>46</v>
      </c>
      <c r="H78" s="64"/>
      <c r="I78" s="64" t="s">
        <v>47</v>
      </c>
      <c r="J78" s="65">
        <v>1</v>
      </c>
      <c r="K78" s="66">
        <f>31200</f>
        <v>31200</v>
      </c>
      <c r="L78" s="67" t="s">
        <v>84</v>
      </c>
      <c r="M78" s="66">
        <f>32150</f>
        <v>32150</v>
      </c>
      <c r="N78" s="67" t="s">
        <v>856</v>
      </c>
      <c r="O78" s="66">
        <f>30750</f>
        <v>30750</v>
      </c>
      <c r="P78" s="67" t="s">
        <v>240</v>
      </c>
      <c r="Q78" s="66">
        <f>30750</f>
        <v>30750</v>
      </c>
      <c r="R78" s="67" t="s">
        <v>240</v>
      </c>
      <c r="S78" s="68">
        <f>31366.67</f>
        <v>31366.67</v>
      </c>
      <c r="T78" s="65">
        <f>5</f>
        <v>5</v>
      </c>
      <c r="U78" s="65">
        <f>1</f>
        <v>1</v>
      </c>
      <c r="V78" s="65">
        <f>156500</f>
        <v>156500</v>
      </c>
      <c r="W78" s="65">
        <f>31200</f>
        <v>31200</v>
      </c>
      <c r="X78" s="69">
        <f>3</f>
        <v>3</v>
      </c>
    </row>
    <row r="79" spans="1:24">
      <c r="A79" s="60" t="s">
        <v>956</v>
      </c>
      <c r="B79" s="60" t="s">
        <v>287</v>
      </c>
      <c r="C79" s="60" t="s">
        <v>288</v>
      </c>
      <c r="D79" s="60" t="s">
        <v>289</v>
      </c>
      <c r="E79" s="61" t="s">
        <v>46</v>
      </c>
      <c r="F79" s="62" t="s">
        <v>46</v>
      </c>
      <c r="G79" s="63" t="s">
        <v>46</v>
      </c>
      <c r="H79" s="64"/>
      <c r="I79" s="64" t="s">
        <v>47</v>
      </c>
      <c r="J79" s="65">
        <v>1</v>
      </c>
      <c r="K79" s="66">
        <f>21990</f>
        <v>21990</v>
      </c>
      <c r="L79" s="67" t="s">
        <v>853</v>
      </c>
      <c r="M79" s="66">
        <f>22100</f>
        <v>22100</v>
      </c>
      <c r="N79" s="67" t="s">
        <v>240</v>
      </c>
      <c r="O79" s="66">
        <f>21880</f>
        <v>21880</v>
      </c>
      <c r="P79" s="67" t="s">
        <v>859</v>
      </c>
      <c r="Q79" s="66">
        <f>21990</f>
        <v>21990</v>
      </c>
      <c r="R79" s="67" t="s">
        <v>873</v>
      </c>
      <c r="S79" s="68">
        <f>21975</f>
        <v>21975</v>
      </c>
      <c r="T79" s="65">
        <f>207894</f>
        <v>207894</v>
      </c>
      <c r="U79" s="65">
        <f>110837</f>
        <v>110837</v>
      </c>
      <c r="V79" s="65">
        <f>4570442303</f>
        <v>4570442303</v>
      </c>
      <c r="W79" s="65">
        <f>2439331303</f>
        <v>2439331303</v>
      </c>
      <c r="X79" s="69">
        <f>20</f>
        <v>20</v>
      </c>
    </row>
    <row r="80" spans="1:24">
      <c r="A80" s="60" t="s">
        <v>956</v>
      </c>
      <c r="B80" s="60" t="s">
        <v>290</v>
      </c>
      <c r="C80" s="60" t="s">
        <v>291</v>
      </c>
      <c r="D80" s="60" t="s">
        <v>292</v>
      </c>
      <c r="E80" s="61" t="s">
        <v>46</v>
      </c>
      <c r="F80" s="62" t="s">
        <v>46</v>
      </c>
      <c r="G80" s="63" t="s">
        <v>46</v>
      </c>
      <c r="H80" s="64"/>
      <c r="I80" s="64" t="s">
        <v>47</v>
      </c>
      <c r="J80" s="65">
        <v>1</v>
      </c>
      <c r="K80" s="66">
        <f>18180</f>
        <v>18180</v>
      </c>
      <c r="L80" s="67" t="s">
        <v>853</v>
      </c>
      <c r="M80" s="66">
        <f>18360</f>
        <v>18360</v>
      </c>
      <c r="N80" s="67" t="s">
        <v>860</v>
      </c>
      <c r="O80" s="66">
        <f>18030</f>
        <v>18030</v>
      </c>
      <c r="P80" s="67" t="s">
        <v>856</v>
      </c>
      <c r="Q80" s="66">
        <f>18350</f>
        <v>18350</v>
      </c>
      <c r="R80" s="67" t="s">
        <v>873</v>
      </c>
      <c r="S80" s="68">
        <f>18203</f>
        <v>18203</v>
      </c>
      <c r="T80" s="65">
        <f>335334</f>
        <v>335334</v>
      </c>
      <c r="U80" s="65">
        <f>117002</f>
        <v>117002</v>
      </c>
      <c r="V80" s="65">
        <f>6107384634</f>
        <v>6107384634</v>
      </c>
      <c r="W80" s="65">
        <f>2136989434</f>
        <v>2136989434</v>
      </c>
      <c r="X80" s="69">
        <f>20</f>
        <v>20</v>
      </c>
    </row>
    <row r="81" spans="1:24">
      <c r="A81" s="60" t="s">
        <v>956</v>
      </c>
      <c r="B81" s="60" t="s">
        <v>293</v>
      </c>
      <c r="C81" s="60" t="s">
        <v>294</v>
      </c>
      <c r="D81" s="60" t="s">
        <v>295</v>
      </c>
      <c r="E81" s="61" t="s">
        <v>46</v>
      </c>
      <c r="F81" s="62" t="s">
        <v>46</v>
      </c>
      <c r="G81" s="63" t="s">
        <v>46</v>
      </c>
      <c r="H81" s="64"/>
      <c r="I81" s="64" t="s">
        <v>47</v>
      </c>
      <c r="J81" s="65">
        <v>10</v>
      </c>
      <c r="K81" s="66">
        <f>2160</f>
        <v>2160</v>
      </c>
      <c r="L81" s="67" t="s">
        <v>853</v>
      </c>
      <c r="M81" s="66">
        <f>2173</f>
        <v>2173</v>
      </c>
      <c r="N81" s="67" t="s">
        <v>856</v>
      </c>
      <c r="O81" s="66">
        <f>2000.5</f>
        <v>2000.5</v>
      </c>
      <c r="P81" s="67" t="s">
        <v>873</v>
      </c>
      <c r="Q81" s="66">
        <f>2000.5</f>
        <v>2000.5</v>
      </c>
      <c r="R81" s="67" t="s">
        <v>873</v>
      </c>
      <c r="S81" s="68">
        <f>2123.25</f>
        <v>2123.25</v>
      </c>
      <c r="T81" s="65">
        <f>2604080</f>
        <v>2604080</v>
      </c>
      <c r="U81" s="65">
        <f>217000</f>
        <v>217000</v>
      </c>
      <c r="V81" s="65">
        <f>5547699817</f>
        <v>5547699817</v>
      </c>
      <c r="W81" s="65">
        <f>457342662</f>
        <v>457342662</v>
      </c>
      <c r="X81" s="69">
        <f>20</f>
        <v>20</v>
      </c>
    </row>
    <row r="82" spans="1:24">
      <c r="A82" s="60" t="s">
        <v>956</v>
      </c>
      <c r="B82" s="60" t="s">
        <v>296</v>
      </c>
      <c r="C82" s="60" t="s">
        <v>297</v>
      </c>
      <c r="D82" s="60" t="s">
        <v>298</v>
      </c>
      <c r="E82" s="61" t="s">
        <v>46</v>
      </c>
      <c r="F82" s="62" t="s">
        <v>46</v>
      </c>
      <c r="G82" s="63" t="s">
        <v>46</v>
      </c>
      <c r="H82" s="64"/>
      <c r="I82" s="64" t="s">
        <v>47</v>
      </c>
      <c r="J82" s="65">
        <v>1</v>
      </c>
      <c r="K82" s="66">
        <f>37100</f>
        <v>37100</v>
      </c>
      <c r="L82" s="67" t="s">
        <v>853</v>
      </c>
      <c r="M82" s="66">
        <f>37250</f>
        <v>37250</v>
      </c>
      <c r="N82" s="67" t="s">
        <v>853</v>
      </c>
      <c r="O82" s="66">
        <f>34970</f>
        <v>34970</v>
      </c>
      <c r="P82" s="67" t="s">
        <v>873</v>
      </c>
      <c r="Q82" s="66">
        <f>34970</f>
        <v>34970</v>
      </c>
      <c r="R82" s="67" t="s">
        <v>873</v>
      </c>
      <c r="S82" s="68">
        <f>36276.5</f>
        <v>36276.5</v>
      </c>
      <c r="T82" s="65">
        <f>27209</f>
        <v>27209</v>
      </c>
      <c r="U82" s="65">
        <f>15</f>
        <v>15</v>
      </c>
      <c r="V82" s="65">
        <f>978438630</f>
        <v>978438630</v>
      </c>
      <c r="W82" s="65">
        <f>532650</f>
        <v>532650</v>
      </c>
      <c r="X82" s="69">
        <f>20</f>
        <v>20</v>
      </c>
    </row>
    <row r="83" spans="1:24">
      <c r="A83" s="60" t="s">
        <v>956</v>
      </c>
      <c r="B83" s="60" t="s">
        <v>299</v>
      </c>
      <c r="C83" s="60" t="s">
        <v>300</v>
      </c>
      <c r="D83" s="60" t="s">
        <v>301</v>
      </c>
      <c r="E83" s="61" t="s">
        <v>46</v>
      </c>
      <c r="F83" s="62" t="s">
        <v>46</v>
      </c>
      <c r="G83" s="63" t="s">
        <v>46</v>
      </c>
      <c r="H83" s="64"/>
      <c r="I83" s="64" t="s">
        <v>47</v>
      </c>
      <c r="J83" s="65">
        <v>10</v>
      </c>
      <c r="K83" s="66">
        <f>7300</f>
        <v>7300</v>
      </c>
      <c r="L83" s="67" t="s">
        <v>857</v>
      </c>
      <c r="M83" s="66">
        <f>7390</f>
        <v>7390</v>
      </c>
      <c r="N83" s="67" t="s">
        <v>48</v>
      </c>
      <c r="O83" s="66">
        <f>7300</f>
        <v>7300</v>
      </c>
      <c r="P83" s="67" t="s">
        <v>857</v>
      </c>
      <c r="Q83" s="66">
        <f>7390</f>
        <v>7390</v>
      </c>
      <c r="R83" s="67" t="s">
        <v>48</v>
      </c>
      <c r="S83" s="68">
        <f>7345</f>
        <v>7345</v>
      </c>
      <c r="T83" s="65">
        <f>20</f>
        <v>20</v>
      </c>
      <c r="U83" s="65" t="str">
        <f>"－"</f>
        <v>－</v>
      </c>
      <c r="V83" s="65">
        <f>146900</f>
        <v>146900</v>
      </c>
      <c r="W83" s="65" t="str">
        <f>"－"</f>
        <v>－</v>
      </c>
      <c r="X83" s="69">
        <f>2</f>
        <v>2</v>
      </c>
    </row>
    <row r="84" spans="1:24">
      <c r="A84" s="60" t="s">
        <v>956</v>
      </c>
      <c r="B84" s="60" t="s">
        <v>302</v>
      </c>
      <c r="C84" s="60" t="s">
        <v>303</v>
      </c>
      <c r="D84" s="60" t="s">
        <v>304</v>
      </c>
      <c r="E84" s="61" t="s">
        <v>46</v>
      </c>
      <c r="F84" s="62" t="s">
        <v>46</v>
      </c>
      <c r="G84" s="63" t="s">
        <v>46</v>
      </c>
      <c r="H84" s="64"/>
      <c r="I84" s="64" t="s">
        <v>47</v>
      </c>
      <c r="J84" s="65">
        <v>1</v>
      </c>
      <c r="K84" s="66">
        <f>17120</f>
        <v>17120</v>
      </c>
      <c r="L84" s="67" t="s">
        <v>853</v>
      </c>
      <c r="M84" s="66">
        <f>17700</f>
        <v>17700</v>
      </c>
      <c r="N84" s="67" t="s">
        <v>96</v>
      </c>
      <c r="O84" s="66">
        <f>16250</f>
        <v>16250</v>
      </c>
      <c r="P84" s="67" t="s">
        <v>873</v>
      </c>
      <c r="Q84" s="66">
        <f>16250</f>
        <v>16250</v>
      </c>
      <c r="R84" s="67" t="s">
        <v>873</v>
      </c>
      <c r="S84" s="68">
        <f>17085.5</f>
        <v>17085.5</v>
      </c>
      <c r="T84" s="65">
        <f>872</f>
        <v>872</v>
      </c>
      <c r="U84" s="65">
        <f>2</f>
        <v>2</v>
      </c>
      <c r="V84" s="65">
        <f>14880910</f>
        <v>14880910</v>
      </c>
      <c r="W84" s="65">
        <f>34350</f>
        <v>34350</v>
      </c>
      <c r="X84" s="69">
        <f>20</f>
        <v>20</v>
      </c>
    </row>
    <row r="85" spans="1:24">
      <c r="A85" s="60" t="s">
        <v>956</v>
      </c>
      <c r="B85" s="60" t="s">
        <v>305</v>
      </c>
      <c r="C85" s="60" t="s">
        <v>306</v>
      </c>
      <c r="D85" s="60" t="s">
        <v>307</v>
      </c>
      <c r="E85" s="61" t="s">
        <v>46</v>
      </c>
      <c r="F85" s="62" t="s">
        <v>46</v>
      </c>
      <c r="G85" s="63" t="s">
        <v>46</v>
      </c>
      <c r="H85" s="64"/>
      <c r="I85" s="64" t="s">
        <v>47</v>
      </c>
      <c r="J85" s="65">
        <v>1</v>
      </c>
      <c r="K85" s="66">
        <f>16960</f>
        <v>16960</v>
      </c>
      <c r="L85" s="67" t="s">
        <v>853</v>
      </c>
      <c r="M85" s="66">
        <f>17420</f>
        <v>17420</v>
      </c>
      <c r="N85" s="67" t="s">
        <v>48</v>
      </c>
      <c r="O85" s="66">
        <f>16070</f>
        <v>16070</v>
      </c>
      <c r="P85" s="67" t="s">
        <v>50</v>
      </c>
      <c r="Q85" s="66">
        <f>16075</f>
        <v>16075</v>
      </c>
      <c r="R85" s="67" t="s">
        <v>873</v>
      </c>
      <c r="S85" s="68">
        <f>16869</f>
        <v>16869</v>
      </c>
      <c r="T85" s="65">
        <f>1692</f>
        <v>1692</v>
      </c>
      <c r="U85" s="65">
        <f>2</f>
        <v>2</v>
      </c>
      <c r="V85" s="65">
        <f>28227290</f>
        <v>28227290</v>
      </c>
      <c r="W85" s="65">
        <f>33960</f>
        <v>33960</v>
      </c>
      <c r="X85" s="69">
        <f>20</f>
        <v>20</v>
      </c>
    </row>
    <row r="86" spans="1:24">
      <c r="A86" s="60" t="s">
        <v>956</v>
      </c>
      <c r="B86" s="60" t="s">
        <v>308</v>
      </c>
      <c r="C86" s="60" t="s">
        <v>309</v>
      </c>
      <c r="D86" s="60" t="s">
        <v>310</v>
      </c>
      <c r="E86" s="61" t="s">
        <v>46</v>
      </c>
      <c r="F86" s="62" t="s">
        <v>46</v>
      </c>
      <c r="G86" s="63" t="s">
        <v>46</v>
      </c>
      <c r="H86" s="64"/>
      <c r="I86" s="64" t="s">
        <v>47</v>
      </c>
      <c r="J86" s="65">
        <v>1</v>
      </c>
      <c r="K86" s="66">
        <f>19300</f>
        <v>19300</v>
      </c>
      <c r="L86" s="67" t="s">
        <v>853</v>
      </c>
      <c r="M86" s="66">
        <f>19500</f>
        <v>19500</v>
      </c>
      <c r="N86" s="67" t="s">
        <v>857</v>
      </c>
      <c r="O86" s="66">
        <f>17895</f>
        <v>17895</v>
      </c>
      <c r="P86" s="67" t="s">
        <v>873</v>
      </c>
      <c r="Q86" s="66">
        <f>17895</f>
        <v>17895</v>
      </c>
      <c r="R86" s="67" t="s">
        <v>873</v>
      </c>
      <c r="S86" s="68">
        <f>18838.5</f>
        <v>18838.5</v>
      </c>
      <c r="T86" s="65">
        <f>5871</f>
        <v>5871</v>
      </c>
      <c r="U86" s="65">
        <f>18</f>
        <v>18</v>
      </c>
      <c r="V86" s="65">
        <f>109554245</f>
        <v>109554245</v>
      </c>
      <c r="W86" s="65">
        <f>325760</f>
        <v>325760</v>
      </c>
      <c r="X86" s="69">
        <f>20</f>
        <v>20</v>
      </c>
    </row>
    <row r="87" spans="1:24">
      <c r="A87" s="60" t="s">
        <v>956</v>
      </c>
      <c r="B87" s="60" t="s">
        <v>311</v>
      </c>
      <c r="C87" s="60" t="s">
        <v>312</v>
      </c>
      <c r="D87" s="60" t="s">
        <v>313</v>
      </c>
      <c r="E87" s="61" t="s">
        <v>46</v>
      </c>
      <c r="F87" s="62" t="s">
        <v>46</v>
      </c>
      <c r="G87" s="63" t="s">
        <v>46</v>
      </c>
      <c r="H87" s="64"/>
      <c r="I87" s="64" t="s">
        <v>47</v>
      </c>
      <c r="J87" s="65">
        <v>10</v>
      </c>
      <c r="K87" s="66">
        <f>10600</f>
        <v>10600</v>
      </c>
      <c r="L87" s="67" t="s">
        <v>853</v>
      </c>
      <c r="M87" s="66">
        <f>10780</f>
        <v>10780</v>
      </c>
      <c r="N87" s="67" t="s">
        <v>856</v>
      </c>
      <c r="O87" s="66">
        <f>10410</f>
        <v>10410</v>
      </c>
      <c r="P87" s="67" t="s">
        <v>857</v>
      </c>
      <c r="Q87" s="66">
        <f>10430</f>
        <v>10430</v>
      </c>
      <c r="R87" s="67" t="s">
        <v>873</v>
      </c>
      <c r="S87" s="68">
        <f>10546</f>
        <v>10546</v>
      </c>
      <c r="T87" s="65">
        <f>7800</f>
        <v>7800</v>
      </c>
      <c r="U87" s="65">
        <f>50</f>
        <v>50</v>
      </c>
      <c r="V87" s="65">
        <f>82343850</f>
        <v>82343850</v>
      </c>
      <c r="W87" s="65">
        <f>525300</f>
        <v>525300</v>
      </c>
      <c r="X87" s="69">
        <f>20</f>
        <v>20</v>
      </c>
    </row>
    <row r="88" spans="1:24">
      <c r="A88" s="60" t="s">
        <v>956</v>
      </c>
      <c r="B88" s="60" t="s">
        <v>314</v>
      </c>
      <c r="C88" s="60" t="s">
        <v>315</v>
      </c>
      <c r="D88" s="60" t="s">
        <v>316</v>
      </c>
      <c r="E88" s="61" t="s">
        <v>46</v>
      </c>
      <c r="F88" s="62" t="s">
        <v>46</v>
      </c>
      <c r="G88" s="63" t="s">
        <v>46</v>
      </c>
      <c r="H88" s="64"/>
      <c r="I88" s="64" t="s">
        <v>47</v>
      </c>
      <c r="J88" s="65">
        <v>1</v>
      </c>
      <c r="K88" s="66">
        <f>2581</f>
        <v>2581</v>
      </c>
      <c r="L88" s="67" t="s">
        <v>853</v>
      </c>
      <c r="M88" s="66">
        <f>2612</f>
        <v>2612</v>
      </c>
      <c r="N88" s="67" t="s">
        <v>860</v>
      </c>
      <c r="O88" s="66">
        <f>2539</f>
        <v>2539</v>
      </c>
      <c r="P88" s="67" t="s">
        <v>856</v>
      </c>
      <c r="Q88" s="66">
        <f>2585</f>
        <v>2585</v>
      </c>
      <c r="R88" s="67" t="s">
        <v>873</v>
      </c>
      <c r="S88" s="68">
        <f>2575.4</f>
        <v>2575.4</v>
      </c>
      <c r="T88" s="65">
        <f>299188</f>
        <v>299188</v>
      </c>
      <c r="U88" s="65">
        <f>170097</f>
        <v>170097</v>
      </c>
      <c r="V88" s="65">
        <f>769862852</f>
        <v>769862852</v>
      </c>
      <c r="W88" s="65">
        <f>437671773</f>
        <v>437671773</v>
      </c>
      <c r="X88" s="69">
        <f>20</f>
        <v>20</v>
      </c>
    </row>
    <row r="89" spans="1:24">
      <c r="A89" s="60" t="s">
        <v>956</v>
      </c>
      <c r="B89" s="60" t="s">
        <v>317</v>
      </c>
      <c r="C89" s="60" t="s">
        <v>318</v>
      </c>
      <c r="D89" s="60" t="s">
        <v>319</v>
      </c>
      <c r="E89" s="61" t="s">
        <v>46</v>
      </c>
      <c r="F89" s="62" t="s">
        <v>46</v>
      </c>
      <c r="G89" s="63" t="s">
        <v>46</v>
      </c>
      <c r="H89" s="64"/>
      <c r="I89" s="64" t="s">
        <v>47</v>
      </c>
      <c r="J89" s="65">
        <v>1</v>
      </c>
      <c r="K89" s="66">
        <f>2349</f>
        <v>2349</v>
      </c>
      <c r="L89" s="67" t="s">
        <v>853</v>
      </c>
      <c r="M89" s="66">
        <f>2362</f>
        <v>2362</v>
      </c>
      <c r="N89" s="67" t="s">
        <v>96</v>
      </c>
      <c r="O89" s="66">
        <f>2312</f>
        <v>2312</v>
      </c>
      <c r="P89" s="67" t="s">
        <v>50</v>
      </c>
      <c r="Q89" s="66">
        <f>2322</f>
        <v>2322</v>
      </c>
      <c r="R89" s="67" t="s">
        <v>873</v>
      </c>
      <c r="S89" s="68">
        <f>2342.95</f>
        <v>2342.9499999999998</v>
      </c>
      <c r="T89" s="65">
        <f>127309</f>
        <v>127309</v>
      </c>
      <c r="U89" s="65">
        <f>102</f>
        <v>102</v>
      </c>
      <c r="V89" s="65">
        <f>297795025</f>
        <v>297795025</v>
      </c>
      <c r="W89" s="65">
        <f>222156</f>
        <v>222156</v>
      </c>
      <c r="X89" s="69">
        <f>20</f>
        <v>20</v>
      </c>
    </row>
    <row r="90" spans="1:24">
      <c r="A90" s="60" t="s">
        <v>956</v>
      </c>
      <c r="B90" s="60" t="s">
        <v>320</v>
      </c>
      <c r="C90" s="60" t="s">
        <v>321</v>
      </c>
      <c r="D90" s="60" t="s">
        <v>322</v>
      </c>
      <c r="E90" s="61" t="s">
        <v>46</v>
      </c>
      <c r="F90" s="62" t="s">
        <v>46</v>
      </c>
      <c r="G90" s="63" t="s">
        <v>46</v>
      </c>
      <c r="H90" s="64"/>
      <c r="I90" s="64" t="s">
        <v>47</v>
      </c>
      <c r="J90" s="65">
        <v>1</v>
      </c>
      <c r="K90" s="66">
        <f>15730</f>
        <v>15730</v>
      </c>
      <c r="L90" s="67" t="s">
        <v>853</v>
      </c>
      <c r="M90" s="66">
        <f>16500</f>
        <v>16500</v>
      </c>
      <c r="N90" s="67" t="s">
        <v>96</v>
      </c>
      <c r="O90" s="66">
        <f>14945</f>
        <v>14945</v>
      </c>
      <c r="P90" s="67" t="s">
        <v>873</v>
      </c>
      <c r="Q90" s="66">
        <f>14955</f>
        <v>14955</v>
      </c>
      <c r="R90" s="67" t="s">
        <v>873</v>
      </c>
      <c r="S90" s="68">
        <f>15705.25</f>
        <v>15705.25</v>
      </c>
      <c r="T90" s="65">
        <f>53480</f>
        <v>53480</v>
      </c>
      <c r="U90" s="65">
        <f>9614</f>
        <v>9614</v>
      </c>
      <c r="V90" s="65">
        <f>838258605</f>
        <v>838258605</v>
      </c>
      <c r="W90" s="65">
        <f>150018435</f>
        <v>150018435</v>
      </c>
      <c r="X90" s="69">
        <f>20</f>
        <v>20</v>
      </c>
    </row>
    <row r="91" spans="1:24">
      <c r="A91" s="60" t="s">
        <v>956</v>
      </c>
      <c r="B91" s="60" t="s">
        <v>323</v>
      </c>
      <c r="C91" s="60" t="s">
        <v>324</v>
      </c>
      <c r="D91" s="60" t="s">
        <v>325</v>
      </c>
      <c r="E91" s="61" t="s">
        <v>46</v>
      </c>
      <c r="F91" s="62" t="s">
        <v>46</v>
      </c>
      <c r="G91" s="63" t="s">
        <v>46</v>
      </c>
      <c r="H91" s="64"/>
      <c r="I91" s="64" t="s">
        <v>47</v>
      </c>
      <c r="J91" s="65">
        <v>1</v>
      </c>
      <c r="K91" s="66">
        <f>8100</f>
        <v>8100</v>
      </c>
      <c r="L91" s="67" t="s">
        <v>853</v>
      </c>
      <c r="M91" s="66">
        <f>8210</f>
        <v>8210</v>
      </c>
      <c r="N91" s="67" t="s">
        <v>48</v>
      </c>
      <c r="O91" s="66">
        <f>8030</f>
        <v>8030</v>
      </c>
      <c r="P91" s="67" t="s">
        <v>50</v>
      </c>
      <c r="Q91" s="66">
        <f>8139</f>
        <v>8139</v>
      </c>
      <c r="R91" s="67" t="s">
        <v>873</v>
      </c>
      <c r="S91" s="68">
        <f>8131.9</f>
        <v>8131.9</v>
      </c>
      <c r="T91" s="65">
        <f>1541</f>
        <v>1541</v>
      </c>
      <c r="U91" s="65">
        <f>7</f>
        <v>7</v>
      </c>
      <c r="V91" s="65">
        <f>12522628</f>
        <v>12522628</v>
      </c>
      <c r="W91" s="65">
        <f>56840</f>
        <v>56840</v>
      </c>
      <c r="X91" s="69">
        <f>20</f>
        <v>20</v>
      </c>
    </row>
    <row r="92" spans="1:24">
      <c r="A92" s="60" t="s">
        <v>956</v>
      </c>
      <c r="B92" s="60" t="s">
        <v>326</v>
      </c>
      <c r="C92" s="60" t="s">
        <v>327</v>
      </c>
      <c r="D92" s="60" t="s">
        <v>328</v>
      </c>
      <c r="E92" s="61" t="s">
        <v>46</v>
      </c>
      <c r="F92" s="62" t="s">
        <v>46</v>
      </c>
      <c r="G92" s="63" t="s">
        <v>46</v>
      </c>
      <c r="H92" s="64"/>
      <c r="I92" s="64" t="s">
        <v>47</v>
      </c>
      <c r="J92" s="65">
        <v>1</v>
      </c>
      <c r="K92" s="66">
        <f>6170</f>
        <v>6170</v>
      </c>
      <c r="L92" s="67" t="s">
        <v>853</v>
      </c>
      <c r="M92" s="66">
        <f>6540</f>
        <v>6540</v>
      </c>
      <c r="N92" s="67" t="s">
        <v>100</v>
      </c>
      <c r="O92" s="66">
        <f>6160</f>
        <v>6160</v>
      </c>
      <c r="P92" s="67" t="s">
        <v>853</v>
      </c>
      <c r="Q92" s="66">
        <f>6225</f>
        <v>6225</v>
      </c>
      <c r="R92" s="67" t="s">
        <v>873</v>
      </c>
      <c r="S92" s="68">
        <f>6344.7</f>
        <v>6344.7</v>
      </c>
      <c r="T92" s="65">
        <f>2657262</f>
        <v>2657262</v>
      </c>
      <c r="U92" s="65">
        <f>216</f>
        <v>216</v>
      </c>
      <c r="V92" s="65">
        <f>16843754390</f>
        <v>16843754390</v>
      </c>
      <c r="W92" s="65">
        <f>1404164</f>
        <v>1404164</v>
      </c>
      <c r="X92" s="69">
        <f>20</f>
        <v>20</v>
      </c>
    </row>
    <row r="93" spans="1:24">
      <c r="A93" s="60" t="s">
        <v>956</v>
      </c>
      <c r="B93" s="60" t="s">
        <v>329</v>
      </c>
      <c r="C93" s="60" t="s">
        <v>330</v>
      </c>
      <c r="D93" s="60" t="s">
        <v>331</v>
      </c>
      <c r="E93" s="61" t="s">
        <v>46</v>
      </c>
      <c r="F93" s="62" t="s">
        <v>46</v>
      </c>
      <c r="G93" s="63" t="s">
        <v>46</v>
      </c>
      <c r="H93" s="64"/>
      <c r="I93" s="64" t="s">
        <v>47</v>
      </c>
      <c r="J93" s="65">
        <v>1</v>
      </c>
      <c r="K93" s="66">
        <f>3470</f>
        <v>3470</v>
      </c>
      <c r="L93" s="67" t="s">
        <v>853</v>
      </c>
      <c r="M93" s="66">
        <f>3720</f>
        <v>3720</v>
      </c>
      <c r="N93" s="67" t="s">
        <v>131</v>
      </c>
      <c r="O93" s="66">
        <f>3270</f>
        <v>3270</v>
      </c>
      <c r="P93" s="67" t="s">
        <v>873</v>
      </c>
      <c r="Q93" s="66">
        <f>3270</f>
        <v>3270</v>
      </c>
      <c r="R93" s="67" t="s">
        <v>873</v>
      </c>
      <c r="S93" s="68">
        <f>3547</f>
        <v>3547</v>
      </c>
      <c r="T93" s="65">
        <f>720614</f>
        <v>720614</v>
      </c>
      <c r="U93" s="65">
        <f>6000</f>
        <v>6000</v>
      </c>
      <c r="V93" s="65">
        <f>2544012965</f>
        <v>2544012965</v>
      </c>
      <c r="W93" s="65">
        <f>20040000</f>
        <v>20040000</v>
      </c>
      <c r="X93" s="69">
        <f>20</f>
        <v>20</v>
      </c>
    </row>
    <row r="94" spans="1:24">
      <c r="A94" s="60" t="s">
        <v>956</v>
      </c>
      <c r="B94" s="60" t="s">
        <v>332</v>
      </c>
      <c r="C94" s="60" t="s">
        <v>333</v>
      </c>
      <c r="D94" s="60" t="s">
        <v>334</v>
      </c>
      <c r="E94" s="61" t="s">
        <v>46</v>
      </c>
      <c r="F94" s="62" t="s">
        <v>46</v>
      </c>
      <c r="G94" s="63" t="s">
        <v>46</v>
      </c>
      <c r="H94" s="64"/>
      <c r="I94" s="64" t="s">
        <v>47</v>
      </c>
      <c r="J94" s="65">
        <v>1</v>
      </c>
      <c r="K94" s="66">
        <f>8150</f>
        <v>8150</v>
      </c>
      <c r="L94" s="67" t="s">
        <v>853</v>
      </c>
      <c r="M94" s="66">
        <f>8700</f>
        <v>8700</v>
      </c>
      <c r="N94" s="67" t="s">
        <v>69</v>
      </c>
      <c r="O94" s="66">
        <f>7813</f>
        <v>7813</v>
      </c>
      <c r="P94" s="67" t="s">
        <v>873</v>
      </c>
      <c r="Q94" s="66">
        <f>7813</f>
        <v>7813</v>
      </c>
      <c r="R94" s="67" t="s">
        <v>873</v>
      </c>
      <c r="S94" s="68">
        <f>8314.15</f>
        <v>8314.15</v>
      </c>
      <c r="T94" s="65">
        <f>245426</f>
        <v>245426</v>
      </c>
      <c r="U94" s="65">
        <f>9</f>
        <v>9</v>
      </c>
      <c r="V94" s="65">
        <f>2047407048</f>
        <v>2047407048</v>
      </c>
      <c r="W94" s="65">
        <f>76980</f>
        <v>76980</v>
      </c>
      <c r="X94" s="69">
        <f>20</f>
        <v>20</v>
      </c>
    </row>
    <row r="95" spans="1:24">
      <c r="A95" s="60" t="s">
        <v>956</v>
      </c>
      <c r="B95" s="60" t="s">
        <v>335</v>
      </c>
      <c r="C95" s="60" t="s">
        <v>336</v>
      </c>
      <c r="D95" s="60" t="s">
        <v>337</v>
      </c>
      <c r="E95" s="61" t="s">
        <v>46</v>
      </c>
      <c r="F95" s="62" t="s">
        <v>46</v>
      </c>
      <c r="G95" s="63" t="s">
        <v>46</v>
      </c>
      <c r="H95" s="64"/>
      <c r="I95" s="64" t="s">
        <v>47</v>
      </c>
      <c r="J95" s="65">
        <v>1</v>
      </c>
      <c r="K95" s="66">
        <f>67100</f>
        <v>67100</v>
      </c>
      <c r="L95" s="67" t="s">
        <v>853</v>
      </c>
      <c r="M95" s="66">
        <f>74100</f>
        <v>74100</v>
      </c>
      <c r="N95" s="67" t="s">
        <v>100</v>
      </c>
      <c r="O95" s="66">
        <f>61200</f>
        <v>61200</v>
      </c>
      <c r="P95" s="67" t="s">
        <v>50</v>
      </c>
      <c r="Q95" s="66">
        <f>61920</f>
        <v>61920</v>
      </c>
      <c r="R95" s="67" t="s">
        <v>873</v>
      </c>
      <c r="S95" s="68">
        <f>68686.5</f>
        <v>68686.5</v>
      </c>
      <c r="T95" s="65">
        <f>7594</f>
        <v>7594</v>
      </c>
      <c r="U95" s="65" t="str">
        <f>"－"</f>
        <v>－</v>
      </c>
      <c r="V95" s="65">
        <f>517640430</f>
        <v>517640430</v>
      </c>
      <c r="W95" s="65" t="str">
        <f>"－"</f>
        <v>－</v>
      </c>
      <c r="X95" s="69">
        <f>20</f>
        <v>20</v>
      </c>
    </row>
    <row r="96" spans="1:24">
      <c r="A96" s="60" t="s">
        <v>956</v>
      </c>
      <c r="B96" s="60" t="s">
        <v>338</v>
      </c>
      <c r="C96" s="60" t="s">
        <v>339</v>
      </c>
      <c r="D96" s="60" t="s">
        <v>340</v>
      </c>
      <c r="E96" s="61" t="s">
        <v>46</v>
      </c>
      <c r="F96" s="62" t="s">
        <v>46</v>
      </c>
      <c r="G96" s="63" t="s">
        <v>46</v>
      </c>
      <c r="H96" s="64"/>
      <c r="I96" s="64" t="s">
        <v>47</v>
      </c>
      <c r="J96" s="65">
        <v>1</v>
      </c>
      <c r="K96" s="66">
        <f>18370</f>
        <v>18370</v>
      </c>
      <c r="L96" s="67" t="s">
        <v>853</v>
      </c>
      <c r="M96" s="66">
        <f>19240</f>
        <v>19240</v>
      </c>
      <c r="N96" s="67" t="s">
        <v>132</v>
      </c>
      <c r="O96" s="66">
        <f>18270</f>
        <v>18270</v>
      </c>
      <c r="P96" s="67" t="s">
        <v>857</v>
      </c>
      <c r="Q96" s="66">
        <f>18700</f>
        <v>18700</v>
      </c>
      <c r="R96" s="67" t="s">
        <v>873</v>
      </c>
      <c r="S96" s="68">
        <f>18771.25</f>
        <v>18771.25</v>
      </c>
      <c r="T96" s="65">
        <f>1943624</f>
        <v>1943624</v>
      </c>
      <c r="U96" s="65">
        <f>23121</f>
        <v>23121</v>
      </c>
      <c r="V96" s="65">
        <f>36533451878</f>
        <v>36533451878</v>
      </c>
      <c r="W96" s="65">
        <f>433236068</f>
        <v>433236068</v>
      </c>
      <c r="X96" s="69">
        <f>20</f>
        <v>20</v>
      </c>
    </row>
    <row r="97" spans="1:24">
      <c r="A97" s="60" t="s">
        <v>956</v>
      </c>
      <c r="B97" s="60" t="s">
        <v>341</v>
      </c>
      <c r="C97" s="60" t="s">
        <v>342</v>
      </c>
      <c r="D97" s="60" t="s">
        <v>343</v>
      </c>
      <c r="E97" s="61" t="s">
        <v>46</v>
      </c>
      <c r="F97" s="62" t="s">
        <v>46</v>
      </c>
      <c r="G97" s="63" t="s">
        <v>46</v>
      </c>
      <c r="H97" s="64"/>
      <c r="I97" s="64" t="s">
        <v>47</v>
      </c>
      <c r="J97" s="65">
        <v>1</v>
      </c>
      <c r="K97" s="66">
        <f>39950</f>
        <v>39950</v>
      </c>
      <c r="L97" s="67" t="s">
        <v>853</v>
      </c>
      <c r="M97" s="66">
        <f>40600</f>
        <v>40600</v>
      </c>
      <c r="N97" s="67" t="s">
        <v>855</v>
      </c>
      <c r="O97" s="66">
        <f>38330</f>
        <v>38330</v>
      </c>
      <c r="P97" s="67" t="s">
        <v>873</v>
      </c>
      <c r="Q97" s="66">
        <f>38330</f>
        <v>38330</v>
      </c>
      <c r="R97" s="67" t="s">
        <v>873</v>
      </c>
      <c r="S97" s="68">
        <f>39893.5</f>
        <v>39893.5</v>
      </c>
      <c r="T97" s="65">
        <f>246023</f>
        <v>246023</v>
      </c>
      <c r="U97" s="65">
        <f>13400</f>
        <v>13400</v>
      </c>
      <c r="V97" s="65">
        <f>9764273830</f>
        <v>9764273830</v>
      </c>
      <c r="W97" s="65">
        <f>533233340</f>
        <v>533233340</v>
      </c>
      <c r="X97" s="69">
        <f>20</f>
        <v>20</v>
      </c>
    </row>
    <row r="98" spans="1:24">
      <c r="A98" s="60" t="s">
        <v>956</v>
      </c>
      <c r="B98" s="60" t="s">
        <v>344</v>
      </c>
      <c r="C98" s="60" t="s">
        <v>345</v>
      </c>
      <c r="D98" s="60" t="s">
        <v>346</v>
      </c>
      <c r="E98" s="61" t="s">
        <v>46</v>
      </c>
      <c r="F98" s="62" t="s">
        <v>46</v>
      </c>
      <c r="G98" s="63" t="s">
        <v>46</v>
      </c>
      <c r="H98" s="64"/>
      <c r="I98" s="64" t="s">
        <v>47</v>
      </c>
      <c r="J98" s="65">
        <v>10</v>
      </c>
      <c r="K98" s="66">
        <f>5740</f>
        <v>5740</v>
      </c>
      <c r="L98" s="67" t="s">
        <v>853</v>
      </c>
      <c r="M98" s="66">
        <f>5940</f>
        <v>5940</v>
      </c>
      <c r="N98" s="67" t="s">
        <v>176</v>
      </c>
      <c r="O98" s="66">
        <f>5689</f>
        <v>5689</v>
      </c>
      <c r="P98" s="67" t="s">
        <v>873</v>
      </c>
      <c r="Q98" s="66">
        <f>5689</f>
        <v>5689</v>
      </c>
      <c r="R98" s="67" t="s">
        <v>873</v>
      </c>
      <c r="S98" s="68">
        <f>5806.7</f>
        <v>5806.7</v>
      </c>
      <c r="T98" s="65">
        <f>2157040</f>
        <v>2157040</v>
      </c>
      <c r="U98" s="65">
        <f>59660</f>
        <v>59660</v>
      </c>
      <c r="V98" s="65">
        <f>12536216760</f>
        <v>12536216760</v>
      </c>
      <c r="W98" s="65">
        <f>344708200</f>
        <v>344708200</v>
      </c>
      <c r="X98" s="69">
        <f>20</f>
        <v>20</v>
      </c>
    </row>
    <row r="99" spans="1:24">
      <c r="A99" s="60" t="s">
        <v>956</v>
      </c>
      <c r="B99" s="60" t="s">
        <v>347</v>
      </c>
      <c r="C99" s="60" t="s">
        <v>348</v>
      </c>
      <c r="D99" s="60" t="s">
        <v>349</v>
      </c>
      <c r="E99" s="61" t="s">
        <v>46</v>
      </c>
      <c r="F99" s="62" t="s">
        <v>46</v>
      </c>
      <c r="G99" s="63" t="s">
        <v>46</v>
      </c>
      <c r="H99" s="64"/>
      <c r="I99" s="64" t="s">
        <v>47</v>
      </c>
      <c r="J99" s="65">
        <v>10</v>
      </c>
      <c r="K99" s="66">
        <f>3740</f>
        <v>3740</v>
      </c>
      <c r="L99" s="67" t="s">
        <v>853</v>
      </c>
      <c r="M99" s="66">
        <f>3835</f>
        <v>3835</v>
      </c>
      <c r="N99" s="67" t="s">
        <v>855</v>
      </c>
      <c r="O99" s="66">
        <f>3670</f>
        <v>3670</v>
      </c>
      <c r="P99" s="67" t="s">
        <v>873</v>
      </c>
      <c r="Q99" s="66">
        <f>3684</f>
        <v>3684</v>
      </c>
      <c r="R99" s="67" t="s">
        <v>873</v>
      </c>
      <c r="S99" s="68">
        <f>3772.5</f>
        <v>3772.5</v>
      </c>
      <c r="T99" s="65">
        <f>108540</f>
        <v>108540</v>
      </c>
      <c r="U99" s="65" t="str">
        <f>"－"</f>
        <v>－</v>
      </c>
      <c r="V99" s="65">
        <f>409026610</f>
        <v>409026610</v>
      </c>
      <c r="W99" s="65" t="str">
        <f>"－"</f>
        <v>－</v>
      </c>
      <c r="X99" s="69">
        <f>20</f>
        <v>20</v>
      </c>
    </row>
    <row r="100" spans="1:24">
      <c r="A100" s="60" t="s">
        <v>956</v>
      </c>
      <c r="B100" s="60" t="s">
        <v>350</v>
      </c>
      <c r="C100" s="60" t="s">
        <v>351</v>
      </c>
      <c r="D100" s="60" t="s">
        <v>352</v>
      </c>
      <c r="E100" s="61" t="s">
        <v>46</v>
      </c>
      <c r="F100" s="62" t="s">
        <v>46</v>
      </c>
      <c r="G100" s="63" t="s">
        <v>46</v>
      </c>
      <c r="H100" s="64"/>
      <c r="I100" s="64" t="s">
        <v>47</v>
      </c>
      <c r="J100" s="65">
        <v>10</v>
      </c>
      <c r="K100" s="66">
        <f>5780</f>
        <v>5780</v>
      </c>
      <c r="L100" s="67" t="s">
        <v>853</v>
      </c>
      <c r="M100" s="66">
        <f>6060</f>
        <v>6060</v>
      </c>
      <c r="N100" s="67" t="s">
        <v>132</v>
      </c>
      <c r="O100" s="66">
        <f>5501</f>
        <v>5501</v>
      </c>
      <c r="P100" s="67" t="s">
        <v>50</v>
      </c>
      <c r="Q100" s="66">
        <f>5695</f>
        <v>5695</v>
      </c>
      <c r="R100" s="67" t="s">
        <v>873</v>
      </c>
      <c r="S100" s="68">
        <f>5863.35</f>
        <v>5863.35</v>
      </c>
      <c r="T100" s="65">
        <f>15940</f>
        <v>15940</v>
      </c>
      <c r="U100" s="65">
        <f>40</f>
        <v>40</v>
      </c>
      <c r="V100" s="65">
        <f>93150100</f>
        <v>93150100</v>
      </c>
      <c r="W100" s="65">
        <f>234500</f>
        <v>234500</v>
      </c>
      <c r="X100" s="69">
        <f>20</f>
        <v>20</v>
      </c>
    </row>
    <row r="101" spans="1:24">
      <c r="A101" s="60" t="s">
        <v>956</v>
      </c>
      <c r="B101" s="60" t="s">
        <v>353</v>
      </c>
      <c r="C101" s="60" t="s">
        <v>354</v>
      </c>
      <c r="D101" s="60" t="s">
        <v>355</v>
      </c>
      <c r="E101" s="61" t="s">
        <v>46</v>
      </c>
      <c r="F101" s="62" t="s">
        <v>46</v>
      </c>
      <c r="G101" s="63" t="s">
        <v>46</v>
      </c>
      <c r="H101" s="64" t="s">
        <v>540</v>
      </c>
      <c r="I101" s="64" t="s">
        <v>47</v>
      </c>
      <c r="J101" s="65">
        <v>1</v>
      </c>
      <c r="K101" s="66">
        <f>1950</f>
        <v>1950</v>
      </c>
      <c r="L101" s="67" t="s">
        <v>853</v>
      </c>
      <c r="M101" s="66">
        <f>2197</f>
        <v>2197</v>
      </c>
      <c r="N101" s="67" t="s">
        <v>50</v>
      </c>
      <c r="O101" s="66">
        <f>1803</f>
        <v>1803</v>
      </c>
      <c r="P101" s="67" t="s">
        <v>48</v>
      </c>
      <c r="Q101" s="66">
        <f>2165</f>
        <v>2165</v>
      </c>
      <c r="R101" s="67" t="s">
        <v>873</v>
      </c>
      <c r="S101" s="68">
        <f>1923.85</f>
        <v>1923.85</v>
      </c>
      <c r="T101" s="65">
        <f>23694605</f>
        <v>23694605</v>
      </c>
      <c r="U101" s="65">
        <f>31323</f>
        <v>31323</v>
      </c>
      <c r="V101" s="65">
        <f>46794333370</f>
        <v>46794333370</v>
      </c>
      <c r="W101" s="65">
        <f>65540384</f>
        <v>65540384</v>
      </c>
      <c r="X101" s="69">
        <f>20</f>
        <v>20</v>
      </c>
    </row>
    <row r="102" spans="1:24">
      <c r="A102" s="60" t="s">
        <v>956</v>
      </c>
      <c r="B102" s="60" t="s">
        <v>356</v>
      </c>
      <c r="C102" s="60" t="s">
        <v>357</v>
      </c>
      <c r="D102" s="60" t="s">
        <v>358</v>
      </c>
      <c r="E102" s="61" t="s">
        <v>46</v>
      </c>
      <c r="F102" s="62" t="s">
        <v>46</v>
      </c>
      <c r="G102" s="63" t="s">
        <v>46</v>
      </c>
      <c r="H102" s="64"/>
      <c r="I102" s="64" t="s">
        <v>47</v>
      </c>
      <c r="J102" s="65">
        <v>10</v>
      </c>
      <c r="K102" s="66">
        <f>3205</f>
        <v>3205</v>
      </c>
      <c r="L102" s="67" t="s">
        <v>853</v>
      </c>
      <c r="M102" s="66">
        <f>3280</f>
        <v>3280</v>
      </c>
      <c r="N102" s="67" t="s">
        <v>855</v>
      </c>
      <c r="O102" s="66">
        <f>3115</f>
        <v>3115</v>
      </c>
      <c r="P102" s="67" t="s">
        <v>50</v>
      </c>
      <c r="Q102" s="66">
        <f>3117</f>
        <v>3117</v>
      </c>
      <c r="R102" s="67" t="s">
        <v>873</v>
      </c>
      <c r="S102" s="68">
        <f>3222.1</f>
        <v>3222.1</v>
      </c>
      <c r="T102" s="65">
        <f>133810</f>
        <v>133810</v>
      </c>
      <c r="U102" s="65">
        <f>40</f>
        <v>40</v>
      </c>
      <c r="V102" s="65">
        <f>430232590</f>
        <v>430232590</v>
      </c>
      <c r="W102" s="65">
        <f>129000</f>
        <v>129000</v>
      </c>
      <c r="X102" s="69">
        <f>20</f>
        <v>20</v>
      </c>
    </row>
    <row r="103" spans="1:24">
      <c r="A103" s="60" t="s">
        <v>956</v>
      </c>
      <c r="B103" s="60" t="s">
        <v>359</v>
      </c>
      <c r="C103" s="60" t="s">
        <v>360</v>
      </c>
      <c r="D103" s="60" t="s">
        <v>361</v>
      </c>
      <c r="E103" s="61" t="s">
        <v>46</v>
      </c>
      <c r="F103" s="62" t="s">
        <v>46</v>
      </c>
      <c r="G103" s="63" t="s">
        <v>46</v>
      </c>
      <c r="H103" s="64"/>
      <c r="I103" s="64" t="s">
        <v>47</v>
      </c>
      <c r="J103" s="65">
        <v>10</v>
      </c>
      <c r="K103" s="66">
        <f>1838</f>
        <v>1838</v>
      </c>
      <c r="L103" s="67" t="s">
        <v>853</v>
      </c>
      <c r="M103" s="66">
        <f>1895</f>
        <v>1895</v>
      </c>
      <c r="N103" s="67" t="s">
        <v>84</v>
      </c>
      <c r="O103" s="66">
        <f>1777</f>
        <v>1777</v>
      </c>
      <c r="P103" s="67" t="s">
        <v>873</v>
      </c>
      <c r="Q103" s="66">
        <f>1794.5</f>
        <v>1794.5</v>
      </c>
      <c r="R103" s="67" t="s">
        <v>873</v>
      </c>
      <c r="S103" s="68">
        <f>1842.38</f>
        <v>1842.38</v>
      </c>
      <c r="T103" s="65">
        <f>87780</f>
        <v>87780</v>
      </c>
      <c r="U103" s="65">
        <f>10</f>
        <v>10</v>
      </c>
      <c r="V103" s="65">
        <f>162018100</f>
        <v>162018100</v>
      </c>
      <c r="W103" s="65">
        <f>18300</f>
        <v>18300</v>
      </c>
      <c r="X103" s="69">
        <f>20</f>
        <v>20</v>
      </c>
    </row>
    <row r="104" spans="1:24">
      <c r="A104" s="60" t="s">
        <v>956</v>
      </c>
      <c r="B104" s="60" t="s">
        <v>362</v>
      </c>
      <c r="C104" s="60" t="s">
        <v>363</v>
      </c>
      <c r="D104" s="60" t="s">
        <v>364</v>
      </c>
      <c r="E104" s="61" t="s">
        <v>46</v>
      </c>
      <c r="F104" s="62" t="s">
        <v>46</v>
      </c>
      <c r="G104" s="63" t="s">
        <v>46</v>
      </c>
      <c r="H104" s="64"/>
      <c r="I104" s="64" t="s">
        <v>47</v>
      </c>
      <c r="J104" s="65">
        <v>1</v>
      </c>
      <c r="K104" s="66">
        <f>52500</f>
        <v>52500</v>
      </c>
      <c r="L104" s="67" t="s">
        <v>853</v>
      </c>
      <c r="M104" s="66">
        <f>54400</f>
        <v>54400</v>
      </c>
      <c r="N104" s="67" t="s">
        <v>176</v>
      </c>
      <c r="O104" s="66">
        <f>52080</f>
        <v>52080</v>
      </c>
      <c r="P104" s="67" t="s">
        <v>873</v>
      </c>
      <c r="Q104" s="66">
        <f>52100</f>
        <v>52100</v>
      </c>
      <c r="R104" s="67" t="s">
        <v>873</v>
      </c>
      <c r="S104" s="68">
        <f>53190.5</f>
        <v>53190.5</v>
      </c>
      <c r="T104" s="65">
        <f>187653</f>
        <v>187653</v>
      </c>
      <c r="U104" s="65">
        <f>18000</f>
        <v>18000</v>
      </c>
      <c r="V104" s="65">
        <f>9956772538</f>
        <v>9956772538</v>
      </c>
      <c r="W104" s="65">
        <f>953681958</f>
        <v>953681958</v>
      </c>
      <c r="X104" s="69">
        <f>20</f>
        <v>20</v>
      </c>
    </row>
    <row r="105" spans="1:24">
      <c r="A105" s="60" t="s">
        <v>956</v>
      </c>
      <c r="B105" s="60" t="s">
        <v>365</v>
      </c>
      <c r="C105" s="60" t="s">
        <v>366</v>
      </c>
      <c r="D105" s="60" t="s">
        <v>367</v>
      </c>
      <c r="E105" s="61" t="s">
        <v>46</v>
      </c>
      <c r="F105" s="62" t="s">
        <v>46</v>
      </c>
      <c r="G105" s="63" t="s">
        <v>46</v>
      </c>
      <c r="H105" s="64"/>
      <c r="I105" s="64" t="s">
        <v>47</v>
      </c>
      <c r="J105" s="65">
        <v>1</v>
      </c>
      <c r="K105" s="66">
        <f>3085</f>
        <v>3085</v>
      </c>
      <c r="L105" s="67" t="s">
        <v>853</v>
      </c>
      <c r="M105" s="66">
        <f>3150</f>
        <v>3150</v>
      </c>
      <c r="N105" s="67" t="s">
        <v>613</v>
      </c>
      <c r="O105" s="66">
        <f>2941</f>
        <v>2941</v>
      </c>
      <c r="P105" s="67" t="s">
        <v>50</v>
      </c>
      <c r="Q105" s="66">
        <f>3010</f>
        <v>3010</v>
      </c>
      <c r="R105" s="67" t="s">
        <v>873</v>
      </c>
      <c r="S105" s="68">
        <f>3087.75</f>
        <v>3087.75</v>
      </c>
      <c r="T105" s="65">
        <f>6056</f>
        <v>6056</v>
      </c>
      <c r="U105" s="65" t="str">
        <f>"－"</f>
        <v>－</v>
      </c>
      <c r="V105" s="65">
        <f>18683059</f>
        <v>18683059</v>
      </c>
      <c r="W105" s="65" t="str">
        <f>"－"</f>
        <v>－</v>
      </c>
      <c r="X105" s="69">
        <f>20</f>
        <v>20</v>
      </c>
    </row>
    <row r="106" spans="1:24">
      <c r="A106" s="60" t="s">
        <v>956</v>
      </c>
      <c r="B106" s="60" t="s">
        <v>368</v>
      </c>
      <c r="C106" s="60" t="s">
        <v>369</v>
      </c>
      <c r="D106" s="60" t="s">
        <v>370</v>
      </c>
      <c r="E106" s="61" t="s">
        <v>46</v>
      </c>
      <c r="F106" s="62" t="s">
        <v>46</v>
      </c>
      <c r="G106" s="63" t="s">
        <v>46</v>
      </c>
      <c r="H106" s="64"/>
      <c r="I106" s="64" t="s">
        <v>47</v>
      </c>
      <c r="J106" s="65">
        <v>1</v>
      </c>
      <c r="K106" s="66">
        <f>4150</f>
        <v>4150</v>
      </c>
      <c r="L106" s="67" t="s">
        <v>853</v>
      </c>
      <c r="M106" s="66">
        <f>4250</f>
        <v>4250</v>
      </c>
      <c r="N106" s="67" t="s">
        <v>859</v>
      </c>
      <c r="O106" s="66">
        <f>3960</f>
        <v>3960</v>
      </c>
      <c r="P106" s="67" t="s">
        <v>50</v>
      </c>
      <c r="Q106" s="66">
        <f>3995</f>
        <v>3995</v>
      </c>
      <c r="R106" s="67" t="s">
        <v>873</v>
      </c>
      <c r="S106" s="68">
        <f>4092</f>
        <v>4092</v>
      </c>
      <c r="T106" s="65">
        <f>5298</f>
        <v>5298</v>
      </c>
      <c r="U106" s="65">
        <f>12</f>
        <v>12</v>
      </c>
      <c r="V106" s="65">
        <f>21763150</f>
        <v>21763150</v>
      </c>
      <c r="W106" s="65">
        <f>49435</f>
        <v>49435</v>
      </c>
      <c r="X106" s="69">
        <f>20</f>
        <v>20</v>
      </c>
    </row>
    <row r="107" spans="1:24">
      <c r="A107" s="60" t="s">
        <v>956</v>
      </c>
      <c r="B107" s="60" t="s">
        <v>372</v>
      </c>
      <c r="C107" s="60" t="s">
        <v>373</v>
      </c>
      <c r="D107" s="60" t="s">
        <v>374</v>
      </c>
      <c r="E107" s="61" t="s">
        <v>46</v>
      </c>
      <c r="F107" s="62" t="s">
        <v>46</v>
      </c>
      <c r="G107" s="63" t="s">
        <v>46</v>
      </c>
      <c r="H107" s="64"/>
      <c r="I107" s="64" t="s">
        <v>47</v>
      </c>
      <c r="J107" s="65">
        <v>1</v>
      </c>
      <c r="K107" s="66">
        <f>4400</f>
        <v>4400</v>
      </c>
      <c r="L107" s="67" t="s">
        <v>853</v>
      </c>
      <c r="M107" s="66">
        <f>4745</f>
        <v>4745</v>
      </c>
      <c r="N107" s="67" t="s">
        <v>69</v>
      </c>
      <c r="O107" s="66">
        <f>4035</f>
        <v>4035</v>
      </c>
      <c r="P107" s="67" t="s">
        <v>873</v>
      </c>
      <c r="Q107" s="66">
        <f>4035</f>
        <v>4035</v>
      </c>
      <c r="R107" s="67" t="s">
        <v>873</v>
      </c>
      <c r="S107" s="68">
        <f>4396.75</f>
        <v>4396.75</v>
      </c>
      <c r="T107" s="65">
        <f>370880</f>
        <v>370880</v>
      </c>
      <c r="U107" s="65" t="str">
        <f>"－"</f>
        <v>－</v>
      </c>
      <c r="V107" s="65">
        <f>1643737965</f>
        <v>1643737965</v>
      </c>
      <c r="W107" s="65" t="str">
        <f>"－"</f>
        <v>－</v>
      </c>
      <c r="X107" s="69">
        <f>20</f>
        <v>20</v>
      </c>
    </row>
    <row r="108" spans="1:24">
      <c r="A108" s="60" t="s">
        <v>956</v>
      </c>
      <c r="B108" s="60" t="s">
        <v>375</v>
      </c>
      <c r="C108" s="60" t="s">
        <v>376</v>
      </c>
      <c r="D108" s="60" t="s">
        <v>377</v>
      </c>
      <c r="E108" s="61" t="s">
        <v>46</v>
      </c>
      <c r="F108" s="62" t="s">
        <v>46</v>
      </c>
      <c r="G108" s="63" t="s">
        <v>46</v>
      </c>
      <c r="H108" s="64"/>
      <c r="I108" s="64" t="s">
        <v>47</v>
      </c>
      <c r="J108" s="65">
        <v>1</v>
      </c>
      <c r="K108" s="66">
        <f>43900</f>
        <v>43900</v>
      </c>
      <c r="L108" s="67" t="s">
        <v>853</v>
      </c>
      <c r="M108" s="66">
        <f>44050</f>
        <v>44050</v>
      </c>
      <c r="N108" s="67" t="s">
        <v>96</v>
      </c>
      <c r="O108" s="66">
        <f>42150</f>
        <v>42150</v>
      </c>
      <c r="P108" s="67" t="s">
        <v>50</v>
      </c>
      <c r="Q108" s="66">
        <f>42390</f>
        <v>42390</v>
      </c>
      <c r="R108" s="67" t="s">
        <v>873</v>
      </c>
      <c r="S108" s="68">
        <f>43334.5</f>
        <v>43334.5</v>
      </c>
      <c r="T108" s="65">
        <f>30329</f>
        <v>30329</v>
      </c>
      <c r="U108" s="65">
        <f>569</f>
        <v>569</v>
      </c>
      <c r="V108" s="65">
        <f>1314311898</f>
        <v>1314311898</v>
      </c>
      <c r="W108" s="65">
        <f>24959298</f>
        <v>24959298</v>
      </c>
      <c r="X108" s="69">
        <f>20</f>
        <v>20</v>
      </c>
    </row>
    <row r="109" spans="1:24">
      <c r="A109" s="60" t="s">
        <v>956</v>
      </c>
      <c r="B109" s="60" t="s">
        <v>381</v>
      </c>
      <c r="C109" s="60" t="s">
        <v>382</v>
      </c>
      <c r="D109" s="60" t="s">
        <v>383</v>
      </c>
      <c r="E109" s="61" t="s">
        <v>46</v>
      </c>
      <c r="F109" s="62" t="s">
        <v>46</v>
      </c>
      <c r="G109" s="63" t="s">
        <v>46</v>
      </c>
      <c r="H109" s="64"/>
      <c r="I109" s="64" t="s">
        <v>47</v>
      </c>
      <c r="J109" s="65">
        <v>10</v>
      </c>
      <c r="K109" s="66">
        <f>26250</f>
        <v>26250</v>
      </c>
      <c r="L109" s="67" t="s">
        <v>853</v>
      </c>
      <c r="M109" s="66">
        <f>27030</f>
        <v>27030</v>
      </c>
      <c r="N109" s="67" t="s">
        <v>854</v>
      </c>
      <c r="O109" s="66">
        <f>23440</f>
        <v>23440</v>
      </c>
      <c r="P109" s="67" t="s">
        <v>873</v>
      </c>
      <c r="Q109" s="66">
        <f>23485</f>
        <v>23485</v>
      </c>
      <c r="R109" s="67" t="s">
        <v>873</v>
      </c>
      <c r="S109" s="68">
        <f>25981.5</f>
        <v>25981.5</v>
      </c>
      <c r="T109" s="65">
        <f>2397680</f>
        <v>2397680</v>
      </c>
      <c r="U109" s="65">
        <f>19110</f>
        <v>19110</v>
      </c>
      <c r="V109" s="65">
        <f>61842906700</f>
        <v>61842906700</v>
      </c>
      <c r="W109" s="65">
        <f>500993200</f>
        <v>500993200</v>
      </c>
      <c r="X109" s="69">
        <f>20</f>
        <v>20</v>
      </c>
    </row>
    <row r="110" spans="1:24">
      <c r="A110" s="60" t="s">
        <v>956</v>
      </c>
      <c r="B110" s="60" t="s">
        <v>384</v>
      </c>
      <c r="C110" s="60" t="s">
        <v>385</v>
      </c>
      <c r="D110" s="60" t="s">
        <v>386</v>
      </c>
      <c r="E110" s="61" t="s">
        <v>46</v>
      </c>
      <c r="F110" s="62" t="s">
        <v>46</v>
      </c>
      <c r="G110" s="63" t="s">
        <v>46</v>
      </c>
      <c r="H110" s="64"/>
      <c r="I110" s="64" t="s">
        <v>47</v>
      </c>
      <c r="J110" s="65">
        <v>10</v>
      </c>
      <c r="K110" s="66">
        <f>2088</f>
        <v>2088</v>
      </c>
      <c r="L110" s="67" t="s">
        <v>853</v>
      </c>
      <c r="M110" s="66">
        <f>2203</f>
        <v>2203</v>
      </c>
      <c r="N110" s="67" t="s">
        <v>873</v>
      </c>
      <c r="O110" s="66">
        <f>2059</f>
        <v>2059</v>
      </c>
      <c r="P110" s="67" t="s">
        <v>854</v>
      </c>
      <c r="Q110" s="66">
        <f>2203</f>
        <v>2203</v>
      </c>
      <c r="R110" s="67" t="s">
        <v>873</v>
      </c>
      <c r="S110" s="68">
        <f>2099.45</f>
        <v>2099.4499999999998</v>
      </c>
      <c r="T110" s="65">
        <f>273410</f>
        <v>273410</v>
      </c>
      <c r="U110" s="65">
        <f>71990</f>
        <v>71990</v>
      </c>
      <c r="V110" s="65">
        <f>575415647</f>
        <v>575415647</v>
      </c>
      <c r="W110" s="65">
        <f>151246967</f>
        <v>151246967</v>
      </c>
      <c r="X110" s="69">
        <f>20</f>
        <v>20</v>
      </c>
    </row>
    <row r="111" spans="1:24">
      <c r="A111" s="60" t="s">
        <v>956</v>
      </c>
      <c r="B111" s="60" t="s">
        <v>387</v>
      </c>
      <c r="C111" s="60" t="s">
        <v>388</v>
      </c>
      <c r="D111" s="60" t="s">
        <v>389</v>
      </c>
      <c r="E111" s="61" t="s">
        <v>46</v>
      </c>
      <c r="F111" s="62" t="s">
        <v>46</v>
      </c>
      <c r="G111" s="63" t="s">
        <v>46</v>
      </c>
      <c r="H111" s="64"/>
      <c r="I111" s="64" t="s">
        <v>47</v>
      </c>
      <c r="J111" s="65">
        <v>1</v>
      </c>
      <c r="K111" s="66">
        <f>16470</f>
        <v>16470</v>
      </c>
      <c r="L111" s="67" t="s">
        <v>853</v>
      </c>
      <c r="M111" s="66">
        <f>17030</f>
        <v>17030</v>
      </c>
      <c r="N111" s="67" t="s">
        <v>854</v>
      </c>
      <c r="O111" s="66">
        <f>14640</f>
        <v>14640</v>
      </c>
      <c r="P111" s="67" t="s">
        <v>873</v>
      </c>
      <c r="Q111" s="66">
        <f>14655</f>
        <v>14655</v>
      </c>
      <c r="R111" s="67" t="s">
        <v>873</v>
      </c>
      <c r="S111" s="68">
        <f>16360.75</f>
        <v>16360.75</v>
      </c>
      <c r="T111" s="65">
        <f>156578783</f>
        <v>156578783</v>
      </c>
      <c r="U111" s="65">
        <f>199356</f>
        <v>199356</v>
      </c>
      <c r="V111" s="65">
        <f>2553460419094</f>
        <v>2553460419094</v>
      </c>
      <c r="W111" s="65">
        <f>3206607509</f>
        <v>3206607509</v>
      </c>
      <c r="X111" s="69">
        <f>20</f>
        <v>20</v>
      </c>
    </row>
    <row r="112" spans="1:24">
      <c r="A112" s="60" t="s">
        <v>956</v>
      </c>
      <c r="B112" s="60" t="s">
        <v>390</v>
      </c>
      <c r="C112" s="60" t="s">
        <v>391</v>
      </c>
      <c r="D112" s="60" t="s">
        <v>392</v>
      </c>
      <c r="E112" s="61" t="s">
        <v>46</v>
      </c>
      <c r="F112" s="62" t="s">
        <v>46</v>
      </c>
      <c r="G112" s="63" t="s">
        <v>46</v>
      </c>
      <c r="H112" s="64"/>
      <c r="I112" s="64" t="s">
        <v>47</v>
      </c>
      <c r="J112" s="65">
        <v>1</v>
      </c>
      <c r="K112" s="66">
        <f>970</f>
        <v>970</v>
      </c>
      <c r="L112" s="67" t="s">
        <v>853</v>
      </c>
      <c r="M112" s="66">
        <f>1024</f>
        <v>1024</v>
      </c>
      <c r="N112" s="67" t="s">
        <v>873</v>
      </c>
      <c r="O112" s="66">
        <f>952</f>
        <v>952</v>
      </c>
      <c r="P112" s="67" t="s">
        <v>854</v>
      </c>
      <c r="Q112" s="66">
        <f>1024</f>
        <v>1024</v>
      </c>
      <c r="R112" s="67" t="s">
        <v>873</v>
      </c>
      <c r="S112" s="68">
        <f>971.5</f>
        <v>971.5</v>
      </c>
      <c r="T112" s="65">
        <f>14768107</f>
        <v>14768107</v>
      </c>
      <c r="U112" s="65">
        <f>3518338</f>
        <v>3518338</v>
      </c>
      <c r="V112" s="65">
        <f>14419620280</f>
        <v>14419620280</v>
      </c>
      <c r="W112" s="65">
        <f>3464715787</f>
        <v>3464715787</v>
      </c>
      <c r="X112" s="69">
        <f>20</f>
        <v>20</v>
      </c>
    </row>
    <row r="113" spans="1:24">
      <c r="A113" s="60" t="s">
        <v>956</v>
      </c>
      <c r="B113" s="60" t="s">
        <v>393</v>
      </c>
      <c r="C113" s="60" t="s">
        <v>394</v>
      </c>
      <c r="D113" s="60" t="s">
        <v>395</v>
      </c>
      <c r="E113" s="61" t="s">
        <v>46</v>
      </c>
      <c r="F113" s="62" t="s">
        <v>46</v>
      </c>
      <c r="G113" s="63" t="s">
        <v>46</v>
      </c>
      <c r="H113" s="64"/>
      <c r="I113" s="64" t="s">
        <v>47</v>
      </c>
      <c r="J113" s="65">
        <v>10</v>
      </c>
      <c r="K113" s="66">
        <f>8260</f>
        <v>8260</v>
      </c>
      <c r="L113" s="67" t="s">
        <v>853</v>
      </c>
      <c r="M113" s="66">
        <f>8770</f>
        <v>8770</v>
      </c>
      <c r="N113" s="67" t="s">
        <v>855</v>
      </c>
      <c r="O113" s="66">
        <f>7020</f>
        <v>7020</v>
      </c>
      <c r="P113" s="67" t="s">
        <v>873</v>
      </c>
      <c r="Q113" s="66">
        <f>7257</f>
        <v>7257</v>
      </c>
      <c r="R113" s="67" t="s">
        <v>873</v>
      </c>
      <c r="S113" s="68">
        <f>8070.35</f>
        <v>8070.35</v>
      </c>
      <c r="T113" s="65">
        <f>38290</f>
        <v>38290</v>
      </c>
      <c r="U113" s="65">
        <f>60</f>
        <v>60</v>
      </c>
      <c r="V113" s="65">
        <f>303449440</f>
        <v>303449440</v>
      </c>
      <c r="W113" s="65">
        <f>485600</f>
        <v>485600</v>
      </c>
      <c r="X113" s="69">
        <f>20</f>
        <v>20</v>
      </c>
    </row>
    <row r="114" spans="1:24">
      <c r="A114" s="60" t="s">
        <v>956</v>
      </c>
      <c r="B114" s="60" t="s">
        <v>396</v>
      </c>
      <c r="C114" s="60" t="s">
        <v>397</v>
      </c>
      <c r="D114" s="60" t="s">
        <v>398</v>
      </c>
      <c r="E114" s="61" t="s">
        <v>46</v>
      </c>
      <c r="F114" s="62" t="s">
        <v>46</v>
      </c>
      <c r="G114" s="63" t="s">
        <v>46</v>
      </c>
      <c r="H114" s="64"/>
      <c r="I114" s="64" t="s">
        <v>47</v>
      </c>
      <c r="J114" s="65">
        <v>10</v>
      </c>
      <c r="K114" s="66">
        <f>7880</f>
        <v>7880</v>
      </c>
      <c r="L114" s="67" t="s">
        <v>853</v>
      </c>
      <c r="M114" s="66">
        <f>8400</f>
        <v>8400</v>
      </c>
      <c r="N114" s="67" t="s">
        <v>873</v>
      </c>
      <c r="O114" s="66">
        <f>7710</f>
        <v>7710</v>
      </c>
      <c r="P114" s="67" t="s">
        <v>131</v>
      </c>
      <c r="Q114" s="66">
        <f>8389</f>
        <v>8389</v>
      </c>
      <c r="R114" s="67" t="s">
        <v>873</v>
      </c>
      <c r="S114" s="68">
        <f>7985.95</f>
        <v>7985.95</v>
      </c>
      <c r="T114" s="65">
        <f>19650</f>
        <v>19650</v>
      </c>
      <c r="U114" s="65">
        <f>170</f>
        <v>170</v>
      </c>
      <c r="V114" s="65">
        <f>157568050</f>
        <v>157568050</v>
      </c>
      <c r="W114" s="65">
        <f>1339000</f>
        <v>1339000</v>
      </c>
      <c r="X114" s="69">
        <f>20</f>
        <v>20</v>
      </c>
    </row>
    <row r="115" spans="1:24">
      <c r="A115" s="60" t="s">
        <v>956</v>
      </c>
      <c r="B115" s="60" t="s">
        <v>402</v>
      </c>
      <c r="C115" s="60" t="s">
        <v>403</v>
      </c>
      <c r="D115" s="60" t="s">
        <v>404</v>
      </c>
      <c r="E115" s="61" t="s">
        <v>46</v>
      </c>
      <c r="F115" s="62" t="s">
        <v>46</v>
      </c>
      <c r="G115" s="63" t="s">
        <v>46</v>
      </c>
      <c r="H115" s="64"/>
      <c r="I115" s="64" t="s">
        <v>47</v>
      </c>
      <c r="J115" s="65">
        <v>10</v>
      </c>
      <c r="K115" s="66">
        <f>792</f>
        <v>792</v>
      </c>
      <c r="L115" s="67" t="s">
        <v>853</v>
      </c>
      <c r="M115" s="66">
        <f>818</f>
        <v>818</v>
      </c>
      <c r="N115" s="67" t="s">
        <v>613</v>
      </c>
      <c r="O115" s="66">
        <f>751</f>
        <v>751</v>
      </c>
      <c r="P115" s="67" t="s">
        <v>859</v>
      </c>
      <c r="Q115" s="66">
        <f>785</f>
        <v>785</v>
      </c>
      <c r="R115" s="67" t="s">
        <v>873</v>
      </c>
      <c r="S115" s="68">
        <f>778.58</f>
        <v>778.58</v>
      </c>
      <c r="T115" s="65">
        <f>10880</f>
        <v>10880</v>
      </c>
      <c r="U115" s="65">
        <f>40</f>
        <v>40</v>
      </c>
      <c r="V115" s="65">
        <f>8494880</f>
        <v>8494880</v>
      </c>
      <c r="W115" s="65">
        <f>31020</f>
        <v>31020</v>
      </c>
      <c r="X115" s="69">
        <f>19</f>
        <v>19</v>
      </c>
    </row>
    <row r="116" spans="1:24">
      <c r="A116" s="60" t="s">
        <v>956</v>
      </c>
      <c r="B116" s="60" t="s">
        <v>408</v>
      </c>
      <c r="C116" s="60" t="s">
        <v>409</v>
      </c>
      <c r="D116" s="60" t="s">
        <v>410</v>
      </c>
      <c r="E116" s="61" t="s">
        <v>46</v>
      </c>
      <c r="F116" s="62" t="s">
        <v>46</v>
      </c>
      <c r="G116" s="63" t="s">
        <v>46</v>
      </c>
      <c r="H116" s="64"/>
      <c r="I116" s="64" t="s">
        <v>47</v>
      </c>
      <c r="J116" s="65">
        <v>1</v>
      </c>
      <c r="K116" s="66">
        <f>23380</f>
        <v>23380</v>
      </c>
      <c r="L116" s="67" t="s">
        <v>853</v>
      </c>
      <c r="M116" s="66">
        <f>23590</f>
        <v>23590</v>
      </c>
      <c r="N116" s="67" t="s">
        <v>48</v>
      </c>
      <c r="O116" s="66">
        <f>21735</f>
        <v>21735</v>
      </c>
      <c r="P116" s="67" t="s">
        <v>873</v>
      </c>
      <c r="Q116" s="66">
        <f>21770</f>
        <v>21770</v>
      </c>
      <c r="R116" s="67" t="s">
        <v>873</v>
      </c>
      <c r="S116" s="68">
        <f>22837.75</f>
        <v>22837.75</v>
      </c>
      <c r="T116" s="65">
        <f>44483</f>
        <v>44483</v>
      </c>
      <c r="U116" s="65">
        <f>13</f>
        <v>13</v>
      </c>
      <c r="V116" s="65">
        <f>1007128760</f>
        <v>1007128760</v>
      </c>
      <c r="W116" s="65">
        <f>297310</f>
        <v>297310</v>
      </c>
      <c r="X116" s="69">
        <f>20</f>
        <v>20</v>
      </c>
    </row>
    <row r="117" spans="1:24">
      <c r="A117" s="60" t="s">
        <v>956</v>
      </c>
      <c r="B117" s="60" t="s">
        <v>411</v>
      </c>
      <c r="C117" s="60" t="s">
        <v>412</v>
      </c>
      <c r="D117" s="60" t="s">
        <v>413</v>
      </c>
      <c r="E117" s="61" t="s">
        <v>46</v>
      </c>
      <c r="F117" s="62" t="s">
        <v>46</v>
      </c>
      <c r="G117" s="63" t="s">
        <v>46</v>
      </c>
      <c r="H117" s="64"/>
      <c r="I117" s="64" t="s">
        <v>47</v>
      </c>
      <c r="J117" s="65">
        <v>1</v>
      </c>
      <c r="K117" s="66">
        <f>2359</f>
        <v>2359</v>
      </c>
      <c r="L117" s="67" t="s">
        <v>853</v>
      </c>
      <c r="M117" s="66">
        <f>2400</f>
        <v>2400</v>
      </c>
      <c r="N117" s="67" t="s">
        <v>854</v>
      </c>
      <c r="O117" s="66">
        <f>2230</f>
        <v>2230</v>
      </c>
      <c r="P117" s="67" t="s">
        <v>873</v>
      </c>
      <c r="Q117" s="66">
        <f>2230</f>
        <v>2230</v>
      </c>
      <c r="R117" s="67" t="s">
        <v>873</v>
      </c>
      <c r="S117" s="68">
        <f>2356.15</f>
        <v>2356.15</v>
      </c>
      <c r="T117" s="65">
        <f>21420</f>
        <v>21420</v>
      </c>
      <c r="U117" s="65" t="str">
        <f>"－"</f>
        <v>－</v>
      </c>
      <c r="V117" s="65">
        <f>50369259</f>
        <v>50369259</v>
      </c>
      <c r="W117" s="65" t="str">
        <f>"－"</f>
        <v>－</v>
      </c>
      <c r="X117" s="69">
        <f>20</f>
        <v>20</v>
      </c>
    </row>
    <row r="118" spans="1:24">
      <c r="A118" s="60" t="s">
        <v>956</v>
      </c>
      <c r="B118" s="60" t="s">
        <v>414</v>
      </c>
      <c r="C118" s="60" t="s">
        <v>415</v>
      </c>
      <c r="D118" s="60" t="s">
        <v>416</v>
      </c>
      <c r="E118" s="61" t="s">
        <v>46</v>
      </c>
      <c r="F118" s="62" t="s">
        <v>46</v>
      </c>
      <c r="G118" s="63" t="s">
        <v>46</v>
      </c>
      <c r="H118" s="64"/>
      <c r="I118" s="64" t="s">
        <v>47</v>
      </c>
      <c r="J118" s="65">
        <v>10</v>
      </c>
      <c r="K118" s="66">
        <f>17600</f>
        <v>17600</v>
      </c>
      <c r="L118" s="67" t="s">
        <v>853</v>
      </c>
      <c r="M118" s="66">
        <f>18200</f>
        <v>18200</v>
      </c>
      <c r="N118" s="67" t="s">
        <v>854</v>
      </c>
      <c r="O118" s="66">
        <f>15645</f>
        <v>15645</v>
      </c>
      <c r="P118" s="67" t="s">
        <v>873</v>
      </c>
      <c r="Q118" s="66">
        <f>15670</f>
        <v>15670</v>
      </c>
      <c r="R118" s="67" t="s">
        <v>873</v>
      </c>
      <c r="S118" s="68">
        <f>17489.75</f>
        <v>17489.75</v>
      </c>
      <c r="T118" s="65">
        <f>22716180</f>
        <v>22716180</v>
      </c>
      <c r="U118" s="65">
        <f>180</f>
        <v>180</v>
      </c>
      <c r="V118" s="65">
        <f>397312743950</f>
        <v>397312743950</v>
      </c>
      <c r="W118" s="65">
        <f>3128450</f>
        <v>3128450</v>
      </c>
      <c r="X118" s="69">
        <f>20</f>
        <v>20</v>
      </c>
    </row>
    <row r="119" spans="1:24">
      <c r="A119" s="60" t="s">
        <v>956</v>
      </c>
      <c r="B119" s="60" t="s">
        <v>417</v>
      </c>
      <c r="C119" s="60" t="s">
        <v>418</v>
      </c>
      <c r="D119" s="60" t="s">
        <v>419</v>
      </c>
      <c r="E119" s="61" t="s">
        <v>46</v>
      </c>
      <c r="F119" s="62" t="s">
        <v>46</v>
      </c>
      <c r="G119" s="63" t="s">
        <v>46</v>
      </c>
      <c r="H119" s="64"/>
      <c r="I119" s="64" t="s">
        <v>47</v>
      </c>
      <c r="J119" s="65">
        <v>10</v>
      </c>
      <c r="K119" s="66">
        <f>2581</f>
        <v>2581</v>
      </c>
      <c r="L119" s="67" t="s">
        <v>853</v>
      </c>
      <c r="M119" s="66">
        <f>2725.5</f>
        <v>2725.5</v>
      </c>
      <c r="N119" s="67" t="s">
        <v>873</v>
      </c>
      <c r="O119" s="66">
        <f>2536</f>
        <v>2536</v>
      </c>
      <c r="P119" s="67" t="s">
        <v>854</v>
      </c>
      <c r="Q119" s="66">
        <f>2724.5</f>
        <v>2724.5</v>
      </c>
      <c r="R119" s="67" t="s">
        <v>873</v>
      </c>
      <c r="S119" s="68">
        <f>2586.88</f>
        <v>2586.88</v>
      </c>
      <c r="T119" s="65">
        <f>1244410</f>
        <v>1244410</v>
      </c>
      <c r="U119" s="65" t="str">
        <f>"－"</f>
        <v>－</v>
      </c>
      <c r="V119" s="65">
        <f>3239060350</f>
        <v>3239060350</v>
      </c>
      <c r="W119" s="65" t="str">
        <f>"－"</f>
        <v>－</v>
      </c>
      <c r="X119" s="69">
        <f>20</f>
        <v>20</v>
      </c>
    </row>
    <row r="120" spans="1:24">
      <c r="A120" s="60" t="s">
        <v>956</v>
      </c>
      <c r="B120" s="60" t="s">
        <v>420</v>
      </c>
      <c r="C120" s="60" t="s">
        <v>421</v>
      </c>
      <c r="D120" s="60" t="s">
        <v>422</v>
      </c>
      <c r="E120" s="61" t="s">
        <v>46</v>
      </c>
      <c r="F120" s="62" t="s">
        <v>46</v>
      </c>
      <c r="G120" s="63" t="s">
        <v>46</v>
      </c>
      <c r="H120" s="64"/>
      <c r="I120" s="64" t="s">
        <v>47</v>
      </c>
      <c r="J120" s="65">
        <v>10</v>
      </c>
      <c r="K120" s="66">
        <f>955</f>
        <v>955</v>
      </c>
      <c r="L120" s="67" t="s">
        <v>853</v>
      </c>
      <c r="M120" s="66">
        <f>970</f>
        <v>970</v>
      </c>
      <c r="N120" s="67" t="s">
        <v>853</v>
      </c>
      <c r="O120" s="66">
        <f>890</f>
        <v>890</v>
      </c>
      <c r="P120" s="67" t="s">
        <v>873</v>
      </c>
      <c r="Q120" s="66">
        <f>890</f>
        <v>890</v>
      </c>
      <c r="R120" s="67" t="s">
        <v>873</v>
      </c>
      <c r="S120" s="68">
        <f>936.5</f>
        <v>936.5</v>
      </c>
      <c r="T120" s="65">
        <f>560</f>
        <v>560</v>
      </c>
      <c r="U120" s="65">
        <f>10</f>
        <v>10</v>
      </c>
      <c r="V120" s="65">
        <f>523061</f>
        <v>523061</v>
      </c>
      <c r="W120" s="65">
        <f>9290</f>
        <v>9290</v>
      </c>
      <c r="X120" s="69">
        <f>12</f>
        <v>12</v>
      </c>
    </row>
    <row r="121" spans="1:24">
      <c r="A121" s="60" t="s">
        <v>956</v>
      </c>
      <c r="B121" s="60" t="s">
        <v>423</v>
      </c>
      <c r="C121" s="60" t="s">
        <v>424</v>
      </c>
      <c r="D121" s="60" t="s">
        <v>425</v>
      </c>
      <c r="E121" s="61" t="s">
        <v>46</v>
      </c>
      <c r="F121" s="62" t="s">
        <v>46</v>
      </c>
      <c r="G121" s="63" t="s">
        <v>46</v>
      </c>
      <c r="H121" s="64"/>
      <c r="I121" s="64" t="s">
        <v>47</v>
      </c>
      <c r="J121" s="65">
        <v>10</v>
      </c>
      <c r="K121" s="66">
        <f>1616</f>
        <v>1616</v>
      </c>
      <c r="L121" s="67" t="s">
        <v>853</v>
      </c>
      <c r="M121" s="66">
        <f>1626</f>
        <v>1626</v>
      </c>
      <c r="N121" s="67" t="s">
        <v>613</v>
      </c>
      <c r="O121" s="66">
        <f>1550</f>
        <v>1550</v>
      </c>
      <c r="P121" s="67" t="s">
        <v>50</v>
      </c>
      <c r="Q121" s="66">
        <f>1550</f>
        <v>1550</v>
      </c>
      <c r="R121" s="67" t="s">
        <v>50</v>
      </c>
      <c r="S121" s="68">
        <f>1600</f>
        <v>1600</v>
      </c>
      <c r="T121" s="65">
        <f>7440</f>
        <v>7440</v>
      </c>
      <c r="U121" s="65">
        <f>30</f>
        <v>30</v>
      </c>
      <c r="V121" s="65">
        <f>11938740</f>
        <v>11938740</v>
      </c>
      <c r="W121" s="65">
        <f>47820</f>
        <v>47820</v>
      </c>
      <c r="X121" s="69">
        <f>7</f>
        <v>7</v>
      </c>
    </row>
    <row r="122" spans="1:24">
      <c r="A122" s="60" t="s">
        <v>956</v>
      </c>
      <c r="B122" s="60" t="s">
        <v>426</v>
      </c>
      <c r="C122" s="60" t="s">
        <v>427</v>
      </c>
      <c r="D122" s="60" t="s">
        <v>428</v>
      </c>
      <c r="E122" s="61" t="s">
        <v>46</v>
      </c>
      <c r="F122" s="62" t="s">
        <v>46</v>
      </c>
      <c r="G122" s="63" t="s">
        <v>46</v>
      </c>
      <c r="H122" s="64"/>
      <c r="I122" s="64" t="s">
        <v>47</v>
      </c>
      <c r="J122" s="65">
        <v>1</v>
      </c>
      <c r="K122" s="66">
        <f>1830</f>
        <v>1830</v>
      </c>
      <c r="L122" s="67" t="s">
        <v>853</v>
      </c>
      <c r="M122" s="66">
        <f>1873</f>
        <v>1873</v>
      </c>
      <c r="N122" s="67" t="s">
        <v>48</v>
      </c>
      <c r="O122" s="66">
        <f>1705</f>
        <v>1705</v>
      </c>
      <c r="P122" s="67" t="s">
        <v>50</v>
      </c>
      <c r="Q122" s="66">
        <f>1748</f>
        <v>1748</v>
      </c>
      <c r="R122" s="67" t="s">
        <v>873</v>
      </c>
      <c r="S122" s="68">
        <f>1822.84</f>
        <v>1822.84</v>
      </c>
      <c r="T122" s="65">
        <f>386515</f>
        <v>386515</v>
      </c>
      <c r="U122" s="65">
        <f>385002</f>
        <v>385002</v>
      </c>
      <c r="V122" s="65">
        <f>701657325</f>
        <v>701657325</v>
      </c>
      <c r="W122" s="65">
        <f>698881738</f>
        <v>698881738</v>
      </c>
      <c r="X122" s="69">
        <f>19</f>
        <v>19</v>
      </c>
    </row>
    <row r="123" spans="1:24">
      <c r="A123" s="60" t="s">
        <v>956</v>
      </c>
      <c r="B123" s="60" t="s">
        <v>429</v>
      </c>
      <c r="C123" s="60" t="s">
        <v>430</v>
      </c>
      <c r="D123" s="60" t="s">
        <v>431</v>
      </c>
      <c r="E123" s="61" t="s">
        <v>46</v>
      </c>
      <c r="F123" s="62" t="s">
        <v>46</v>
      </c>
      <c r="G123" s="63" t="s">
        <v>46</v>
      </c>
      <c r="H123" s="64"/>
      <c r="I123" s="64" t="s">
        <v>47</v>
      </c>
      <c r="J123" s="65">
        <v>1</v>
      </c>
      <c r="K123" s="66">
        <f>18360</f>
        <v>18360</v>
      </c>
      <c r="L123" s="67" t="s">
        <v>853</v>
      </c>
      <c r="M123" s="66">
        <f>18630</f>
        <v>18630</v>
      </c>
      <c r="N123" s="67" t="s">
        <v>854</v>
      </c>
      <c r="O123" s="66">
        <f>17270</f>
        <v>17270</v>
      </c>
      <c r="P123" s="67" t="s">
        <v>873</v>
      </c>
      <c r="Q123" s="66">
        <f>17270</f>
        <v>17270</v>
      </c>
      <c r="R123" s="67" t="s">
        <v>873</v>
      </c>
      <c r="S123" s="68">
        <f>18283.75</f>
        <v>18283.75</v>
      </c>
      <c r="T123" s="65">
        <f>49160</f>
        <v>49160</v>
      </c>
      <c r="U123" s="65">
        <f>7</f>
        <v>7</v>
      </c>
      <c r="V123" s="65">
        <f>895232320</f>
        <v>895232320</v>
      </c>
      <c r="W123" s="65">
        <f>125305</f>
        <v>125305</v>
      </c>
      <c r="X123" s="69">
        <f>20</f>
        <v>20</v>
      </c>
    </row>
    <row r="124" spans="1:24">
      <c r="A124" s="60" t="s">
        <v>956</v>
      </c>
      <c r="B124" s="60" t="s">
        <v>432</v>
      </c>
      <c r="C124" s="60" t="s">
        <v>433</v>
      </c>
      <c r="D124" s="60" t="s">
        <v>434</v>
      </c>
      <c r="E124" s="61" t="s">
        <v>46</v>
      </c>
      <c r="F124" s="62" t="s">
        <v>46</v>
      </c>
      <c r="G124" s="63" t="s">
        <v>46</v>
      </c>
      <c r="H124" s="64"/>
      <c r="I124" s="64" t="s">
        <v>47</v>
      </c>
      <c r="J124" s="65">
        <v>1</v>
      </c>
      <c r="K124" s="66">
        <f>1698</f>
        <v>1698</v>
      </c>
      <c r="L124" s="67" t="s">
        <v>853</v>
      </c>
      <c r="M124" s="66">
        <f>1720</f>
        <v>1720</v>
      </c>
      <c r="N124" s="67" t="s">
        <v>855</v>
      </c>
      <c r="O124" s="66">
        <f>1610</f>
        <v>1610</v>
      </c>
      <c r="P124" s="67" t="s">
        <v>873</v>
      </c>
      <c r="Q124" s="66">
        <f>1620</f>
        <v>1620</v>
      </c>
      <c r="R124" s="67" t="s">
        <v>873</v>
      </c>
      <c r="S124" s="68">
        <f>1686.7</f>
        <v>1686.7</v>
      </c>
      <c r="T124" s="65">
        <f>130979</f>
        <v>130979</v>
      </c>
      <c r="U124" s="65">
        <f>6</f>
        <v>6</v>
      </c>
      <c r="V124" s="65">
        <f>218738454</f>
        <v>218738454</v>
      </c>
      <c r="W124" s="65">
        <f>10163</f>
        <v>10163</v>
      </c>
      <c r="X124" s="69">
        <f>20</f>
        <v>20</v>
      </c>
    </row>
    <row r="125" spans="1:24">
      <c r="A125" s="60" t="s">
        <v>956</v>
      </c>
      <c r="B125" s="60" t="s">
        <v>435</v>
      </c>
      <c r="C125" s="60" t="s">
        <v>436</v>
      </c>
      <c r="D125" s="60" t="s">
        <v>437</v>
      </c>
      <c r="E125" s="61" t="s">
        <v>46</v>
      </c>
      <c r="F125" s="62" t="s">
        <v>46</v>
      </c>
      <c r="G125" s="63" t="s">
        <v>46</v>
      </c>
      <c r="H125" s="64"/>
      <c r="I125" s="64" t="s">
        <v>47</v>
      </c>
      <c r="J125" s="65">
        <v>1</v>
      </c>
      <c r="K125" s="66">
        <f>18890</f>
        <v>18890</v>
      </c>
      <c r="L125" s="67" t="s">
        <v>853</v>
      </c>
      <c r="M125" s="66">
        <f>19160</f>
        <v>19160</v>
      </c>
      <c r="N125" s="67" t="s">
        <v>854</v>
      </c>
      <c r="O125" s="66">
        <f>18050</f>
        <v>18050</v>
      </c>
      <c r="P125" s="67" t="s">
        <v>873</v>
      </c>
      <c r="Q125" s="66">
        <f>18205</f>
        <v>18205</v>
      </c>
      <c r="R125" s="67" t="s">
        <v>873</v>
      </c>
      <c r="S125" s="68">
        <f>18873.5</f>
        <v>18873.5</v>
      </c>
      <c r="T125" s="65">
        <f>56872</f>
        <v>56872</v>
      </c>
      <c r="U125" s="65">
        <f>10753</f>
        <v>10753</v>
      </c>
      <c r="V125" s="65">
        <f>1070820625</f>
        <v>1070820625</v>
      </c>
      <c r="W125" s="65">
        <f>201815200</f>
        <v>201815200</v>
      </c>
      <c r="X125" s="69">
        <f>20</f>
        <v>20</v>
      </c>
    </row>
    <row r="126" spans="1:24">
      <c r="A126" s="60" t="s">
        <v>956</v>
      </c>
      <c r="B126" s="60" t="s">
        <v>438</v>
      </c>
      <c r="C126" s="60" t="s">
        <v>439</v>
      </c>
      <c r="D126" s="60" t="s">
        <v>440</v>
      </c>
      <c r="E126" s="61" t="s">
        <v>46</v>
      </c>
      <c r="F126" s="62" t="s">
        <v>46</v>
      </c>
      <c r="G126" s="63" t="s">
        <v>46</v>
      </c>
      <c r="H126" s="64"/>
      <c r="I126" s="64" t="s">
        <v>47</v>
      </c>
      <c r="J126" s="65">
        <v>10</v>
      </c>
      <c r="K126" s="66">
        <f>2130</f>
        <v>2130</v>
      </c>
      <c r="L126" s="67" t="s">
        <v>853</v>
      </c>
      <c r="M126" s="66">
        <f>2159</f>
        <v>2159</v>
      </c>
      <c r="N126" s="67" t="s">
        <v>50</v>
      </c>
      <c r="O126" s="66">
        <f>2044</f>
        <v>2044</v>
      </c>
      <c r="P126" s="67" t="s">
        <v>50</v>
      </c>
      <c r="Q126" s="66">
        <f>2051</f>
        <v>2051</v>
      </c>
      <c r="R126" s="67" t="s">
        <v>873</v>
      </c>
      <c r="S126" s="68">
        <f>2096.83</f>
        <v>2096.83</v>
      </c>
      <c r="T126" s="65">
        <f>982050</f>
        <v>982050</v>
      </c>
      <c r="U126" s="65">
        <f>461100</f>
        <v>461100</v>
      </c>
      <c r="V126" s="65">
        <f>2038376858</f>
        <v>2038376858</v>
      </c>
      <c r="W126" s="65">
        <f>954077193</f>
        <v>954077193</v>
      </c>
      <c r="X126" s="69">
        <f>20</f>
        <v>20</v>
      </c>
    </row>
    <row r="127" spans="1:24">
      <c r="A127" s="60" t="s">
        <v>956</v>
      </c>
      <c r="B127" s="60" t="s">
        <v>441</v>
      </c>
      <c r="C127" s="60" t="s">
        <v>442</v>
      </c>
      <c r="D127" s="60" t="s">
        <v>443</v>
      </c>
      <c r="E127" s="61" t="s">
        <v>46</v>
      </c>
      <c r="F127" s="62" t="s">
        <v>46</v>
      </c>
      <c r="G127" s="63" t="s">
        <v>46</v>
      </c>
      <c r="H127" s="64"/>
      <c r="I127" s="64" t="s">
        <v>47</v>
      </c>
      <c r="J127" s="65">
        <v>10</v>
      </c>
      <c r="K127" s="66">
        <f>1789</f>
        <v>1789</v>
      </c>
      <c r="L127" s="67" t="s">
        <v>853</v>
      </c>
      <c r="M127" s="66">
        <f>1798</f>
        <v>1798</v>
      </c>
      <c r="N127" s="67" t="s">
        <v>48</v>
      </c>
      <c r="O127" s="66">
        <f>1717</f>
        <v>1717</v>
      </c>
      <c r="P127" s="67" t="s">
        <v>873</v>
      </c>
      <c r="Q127" s="66">
        <f>1717</f>
        <v>1717</v>
      </c>
      <c r="R127" s="67" t="s">
        <v>873</v>
      </c>
      <c r="S127" s="68">
        <f>1765</f>
        <v>1765</v>
      </c>
      <c r="T127" s="65">
        <f>90</f>
        <v>90</v>
      </c>
      <c r="U127" s="65">
        <f>20</f>
        <v>20</v>
      </c>
      <c r="V127" s="65">
        <f>159180</f>
        <v>159180</v>
      </c>
      <c r="W127" s="65">
        <f>35960</f>
        <v>35960</v>
      </c>
      <c r="X127" s="69">
        <f>4</f>
        <v>4</v>
      </c>
    </row>
    <row r="128" spans="1:24">
      <c r="A128" s="60" t="s">
        <v>956</v>
      </c>
      <c r="B128" s="60" t="s">
        <v>444</v>
      </c>
      <c r="C128" s="60" t="s">
        <v>445</v>
      </c>
      <c r="D128" s="60" t="s">
        <v>446</v>
      </c>
      <c r="E128" s="61" t="s">
        <v>46</v>
      </c>
      <c r="F128" s="62" t="s">
        <v>46</v>
      </c>
      <c r="G128" s="63" t="s">
        <v>46</v>
      </c>
      <c r="H128" s="64"/>
      <c r="I128" s="64" t="s">
        <v>47</v>
      </c>
      <c r="J128" s="65">
        <v>10</v>
      </c>
      <c r="K128" s="66">
        <f>2150</f>
        <v>2150</v>
      </c>
      <c r="L128" s="67" t="s">
        <v>853</v>
      </c>
      <c r="M128" s="66">
        <f>2150</f>
        <v>2150</v>
      </c>
      <c r="N128" s="67" t="s">
        <v>853</v>
      </c>
      <c r="O128" s="66">
        <f>2063</f>
        <v>2063</v>
      </c>
      <c r="P128" s="67" t="s">
        <v>50</v>
      </c>
      <c r="Q128" s="66">
        <f>2064</f>
        <v>2064</v>
      </c>
      <c r="R128" s="67" t="s">
        <v>873</v>
      </c>
      <c r="S128" s="68">
        <f>2115.75</f>
        <v>2115.75</v>
      </c>
      <c r="T128" s="65">
        <f>818330</f>
        <v>818330</v>
      </c>
      <c r="U128" s="65">
        <f>71890</f>
        <v>71890</v>
      </c>
      <c r="V128" s="65">
        <f>1736475804</f>
        <v>1736475804</v>
      </c>
      <c r="W128" s="65">
        <f>151631774</f>
        <v>151631774</v>
      </c>
      <c r="X128" s="69">
        <f>20</f>
        <v>20</v>
      </c>
    </row>
    <row r="129" spans="1:24">
      <c r="A129" s="60" t="s">
        <v>956</v>
      </c>
      <c r="B129" s="60" t="s">
        <v>450</v>
      </c>
      <c r="C129" s="60" t="s">
        <v>451</v>
      </c>
      <c r="D129" s="60" t="s">
        <v>452</v>
      </c>
      <c r="E129" s="61" t="s">
        <v>46</v>
      </c>
      <c r="F129" s="62" t="s">
        <v>46</v>
      </c>
      <c r="G129" s="63" t="s">
        <v>46</v>
      </c>
      <c r="H129" s="64"/>
      <c r="I129" s="64" t="s">
        <v>47</v>
      </c>
      <c r="J129" s="65">
        <v>1</v>
      </c>
      <c r="K129" s="66">
        <f>18750</f>
        <v>18750</v>
      </c>
      <c r="L129" s="67" t="s">
        <v>853</v>
      </c>
      <c r="M129" s="66">
        <f>19010</f>
        <v>19010</v>
      </c>
      <c r="N129" s="67" t="s">
        <v>176</v>
      </c>
      <c r="O129" s="66">
        <f>17780</f>
        <v>17780</v>
      </c>
      <c r="P129" s="67" t="s">
        <v>873</v>
      </c>
      <c r="Q129" s="66">
        <f>17780</f>
        <v>17780</v>
      </c>
      <c r="R129" s="67" t="s">
        <v>873</v>
      </c>
      <c r="S129" s="68">
        <f>18660.53</f>
        <v>18660.53</v>
      </c>
      <c r="T129" s="65">
        <f>3796</f>
        <v>3796</v>
      </c>
      <c r="U129" s="65">
        <f>1</f>
        <v>1</v>
      </c>
      <c r="V129" s="65">
        <f>70169820</f>
        <v>70169820</v>
      </c>
      <c r="W129" s="65">
        <f>18790</f>
        <v>18790</v>
      </c>
      <c r="X129" s="69">
        <f>19</f>
        <v>19</v>
      </c>
    </row>
    <row r="130" spans="1:24">
      <c r="A130" s="60" t="s">
        <v>956</v>
      </c>
      <c r="B130" s="60" t="s">
        <v>453</v>
      </c>
      <c r="C130" s="60" t="s">
        <v>454</v>
      </c>
      <c r="D130" s="60" t="s">
        <v>455</v>
      </c>
      <c r="E130" s="61" t="s">
        <v>46</v>
      </c>
      <c r="F130" s="62" t="s">
        <v>46</v>
      </c>
      <c r="G130" s="63" t="s">
        <v>46</v>
      </c>
      <c r="H130" s="64"/>
      <c r="I130" s="64" t="s">
        <v>47</v>
      </c>
      <c r="J130" s="65">
        <v>100</v>
      </c>
      <c r="K130" s="66">
        <f>151</f>
        <v>151</v>
      </c>
      <c r="L130" s="67" t="s">
        <v>853</v>
      </c>
      <c r="M130" s="66">
        <f>156</f>
        <v>156</v>
      </c>
      <c r="N130" s="67" t="s">
        <v>48</v>
      </c>
      <c r="O130" s="66">
        <f>144.4</f>
        <v>144.4</v>
      </c>
      <c r="P130" s="67" t="s">
        <v>873</v>
      </c>
      <c r="Q130" s="66">
        <f>144.4</f>
        <v>144.4</v>
      </c>
      <c r="R130" s="67" t="s">
        <v>873</v>
      </c>
      <c r="S130" s="68">
        <f>151.41</f>
        <v>151.41</v>
      </c>
      <c r="T130" s="65">
        <f>92865900</f>
        <v>92865900</v>
      </c>
      <c r="U130" s="65">
        <f>137600</f>
        <v>137600</v>
      </c>
      <c r="V130" s="65">
        <f>14066931627</f>
        <v>14066931627</v>
      </c>
      <c r="W130" s="65">
        <f>20768927</f>
        <v>20768927</v>
      </c>
      <c r="X130" s="69">
        <f>20</f>
        <v>20</v>
      </c>
    </row>
    <row r="131" spans="1:24">
      <c r="A131" s="60" t="s">
        <v>956</v>
      </c>
      <c r="B131" s="60" t="s">
        <v>456</v>
      </c>
      <c r="C131" s="60" t="s">
        <v>457</v>
      </c>
      <c r="D131" s="60" t="s">
        <v>458</v>
      </c>
      <c r="E131" s="61" t="s">
        <v>46</v>
      </c>
      <c r="F131" s="62" t="s">
        <v>46</v>
      </c>
      <c r="G131" s="63" t="s">
        <v>46</v>
      </c>
      <c r="H131" s="64"/>
      <c r="I131" s="64" t="s">
        <v>47</v>
      </c>
      <c r="J131" s="65">
        <v>1</v>
      </c>
      <c r="K131" s="66">
        <f>29290</f>
        <v>29290</v>
      </c>
      <c r="L131" s="67" t="s">
        <v>853</v>
      </c>
      <c r="M131" s="66">
        <f>29720</f>
        <v>29720</v>
      </c>
      <c r="N131" s="67" t="s">
        <v>853</v>
      </c>
      <c r="O131" s="66">
        <f>26780</f>
        <v>26780</v>
      </c>
      <c r="P131" s="67" t="s">
        <v>873</v>
      </c>
      <c r="Q131" s="66">
        <f>26780</f>
        <v>26780</v>
      </c>
      <c r="R131" s="67" t="s">
        <v>873</v>
      </c>
      <c r="S131" s="68">
        <f>28473.16</f>
        <v>28473.16</v>
      </c>
      <c r="T131" s="65">
        <f>1248</f>
        <v>1248</v>
      </c>
      <c r="U131" s="65">
        <f>4</f>
        <v>4</v>
      </c>
      <c r="V131" s="65">
        <f>35390550</f>
        <v>35390550</v>
      </c>
      <c r="W131" s="65">
        <f>113340</f>
        <v>113340</v>
      </c>
      <c r="X131" s="69">
        <f>19</f>
        <v>19</v>
      </c>
    </row>
    <row r="132" spans="1:24">
      <c r="A132" s="60" t="s">
        <v>956</v>
      </c>
      <c r="B132" s="60" t="s">
        <v>459</v>
      </c>
      <c r="C132" s="60" t="s">
        <v>460</v>
      </c>
      <c r="D132" s="60" t="s">
        <v>461</v>
      </c>
      <c r="E132" s="61" t="s">
        <v>46</v>
      </c>
      <c r="F132" s="62" t="s">
        <v>46</v>
      </c>
      <c r="G132" s="63" t="s">
        <v>46</v>
      </c>
      <c r="H132" s="64"/>
      <c r="I132" s="64" t="s">
        <v>47</v>
      </c>
      <c r="J132" s="65">
        <v>1</v>
      </c>
      <c r="K132" s="66">
        <f>10920</f>
        <v>10920</v>
      </c>
      <c r="L132" s="67" t="s">
        <v>853</v>
      </c>
      <c r="M132" s="66">
        <f>11300</f>
        <v>11300</v>
      </c>
      <c r="N132" s="67" t="s">
        <v>96</v>
      </c>
      <c r="O132" s="66">
        <f>10170</f>
        <v>10170</v>
      </c>
      <c r="P132" s="67" t="s">
        <v>50</v>
      </c>
      <c r="Q132" s="66">
        <f>10315</f>
        <v>10315</v>
      </c>
      <c r="R132" s="67" t="s">
        <v>873</v>
      </c>
      <c r="S132" s="68">
        <f>10725.75</f>
        <v>10725.75</v>
      </c>
      <c r="T132" s="65">
        <f>5383</f>
        <v>5383</v>
      </c>
      <c r="U132" s="65">
        <f>4</f>
        <v>4</v>
      </c>
      <c r="V132" s="65">
        <f>57730820</f>
        <v>57730820</v>
      </c>
      <c r="W132" s="65">
        <f>41770</f>
        <v>41770</v>
      </c>
      <c r="X132" s="69">
        <f>20</f>
        <v>20</v>
      </c>
    </row>
    <row r="133" spans="1:24">
      <c r="A133" s="60" t="s">
        <v>956</v>
      </c>
      <c r="B133" s="60" t="s">
        <v>462</v>
      </c>
      <c r="C133" s="60" t="s">
        <v>463</v>
      </c>
      <c r="D133" s="60" t="s">
        <v>464</v>
      </c>
      <c r="E133" s="61" t="s">
        <v>46</v>
      </c>
      <c r="F133" s="62" t="s">
        <v>46</v>
      </c>
      <c r="G133" s="63" t="s">
        <v>46</v>
      </c>
      <c r="H133" s="64"/>
      <c r="I133" s="64" t="s">
        <v>47</v>
      </c>
      <c r="J133" s="65">
        <v>1</v>
      </c>
      <c r="K133" s="66">
        <f>22950</f>
        <v>22950</v>
      </c>
      <c r="L133" s="67" t="s">
        <v>853</v>
      </c>
      <c r="M133" s="66">
        <f>22950</f>
        <v>22950</v>
      </c>
      <c r="N133" s="67" t="s">
        <v>853</v>
      </c>
      <c r="O133" s="66">
        <f>21020</f>
        <v>21020</v>
      </c>
      <c r="P133" s="67" t="s">
        <v>873</v>
      </c>
      <c r="Q133" s="66">
        <f>21020</f>
        <v>21020</v>
      </c>
      <c r="R133" s="67" t="s">
        <v>873</v>
      </c>
      <c r="S133" s="68">
        <f>22239.44</f>
        <v>22239.439999999999</v>
      </c>
      <c r="T133" s="65">
        <f>1737</f>
        <v>1737</v>
      </c>
      <c r="U133" s="65">
        <f>2</f>
        <v>2</v>
      </c>
      <c r="V133" s="65">
        <f>38662730</f>
        <v>38662730</v>
      </c>
      <c r="W133" s="65">
        <f>44560</f>
        <v>44560</v>
      </c>
      <c r="X133" s="69">
        <f>18</f>
        <v>18</v>
      </c>
    </row>
    <row r="134" spans="1:24">
      <c r="A134" s="60" t="s">
        <v>956</v>
      </c>
      <c r="B134" s="60" t="s">
        <v>465</v>
      </c>
      <c r="C134" s="60" t="s">
        <v>466</v>
      </c>
      <c r="D134" s="60" t="s">
        <v>467</v>
      </c>
      <c r="E134" s="61" t="s">
        <v>46</v>
      </c>
      <c r="F134" s="62" t="s">
        <v>46</v>
      </c>
      <c r="G134" s="63" t="s">
        <v>46</v>
      </c>
      <c r="H134" s="64"/>
      <c r="I134" s="64" t="s">
        <v>47</v>
      </c>
      <c r="J134" s="65">
        <v>1</v>
      </c>
      <c r="K134" s="66">
        <f>28020</f>
        <v>28020</v>
      </c>
      <c r="L134" s="67" t="s">
        <v>853</v>
      </c>
      <c r="M134" s="66">
        <f>28440</f>
        <v>28440</v>
      </c>
      <c r="N134" s="67" t="s">
        <v>857</v>
      </c>
      <c r="O134" s="66">
        <f>26260</f>
        <v>26260</v>
      </c>
      <c r="P134" s="67" t="s">
        <v>873</v>
      </c>
      <c r="Q134" s="66">
        <f>26665</f>
        <v>26665</v>
      </c>
      <c r="R134" s="67" t="s">
        <v>873</v>
      </c>
      <c r="S134" s="68">
        <f>27750.25</f>
        <v>27750.25</v>
      </c>
      <c r="T134" s="65">
        <f>1234</f>
        <v>1234</v>
      </c>
      <c r="U134" s="65" t="str">
        <f>"－"</f>
        <v>－</v>
      </c>
      <c r="V134" s="65">
        <f>34155980</f>
        <v>34155980</v>
      </c>
      <c r="W134" s="65" t="str">
        <f>"－"</f>
        <v>－</v>
      </c>
      <c r="X134" s="69">
        <f>20</f>
        <v>20</v>
      </c>
    </row>
    <row r="135" spans="1:24">
      <c r="A135" s="60" t="s">
        <v>956</v>
      </c>
      <c r="B135" s="60" t="s">
        <v>468</v>
      </c>
      <c r="C135" s="60" t="s">
        <v>469</v>
      </c>
      <c r="D135" s="60" t="s">
        <v>470</v>
      </c>
      <c r="E135" s="61" t="s">
        <v>46</v>
      </c>
      <c r="F135" s="62" t="s">
        <v>46</v>
      </c>
      <c r="G135" s="63" t="s">
        <v>46</v>
      </c>
      <c r="H135" s="64"/>
      <c r="I135" s="64" t="s">
        <v>47</v>
      </c>
      <c r="J135" s="65">
        <v>1</v>
      </c>
      <c r="K135" s="66">
        <f>23470</f>
        <v>23470</v>
      </c>
      <c r="L135" s="67" t="s">
        <v>853</v>
      </c>
      <c r="M135" s="66">
        <f>23650</f>
        <v>23650</v>
      </c>
      <c r="N135" s="67" t="s">
        <v>48</v>
      </c>
      <c r="O135" s="66">
        <f>21820</f>
        <v>21820</v>
      </c>
      <c r="P135" s="67" t="s">
        <v>873</v>
      </c>
      <c r="Q135" s="66">
        <f>21820</f>
        <v>21820</v>
      </c>
      <c r="R135" s="67" t="s">
        <v>873</v>
      </c>
      <c r="S135" s="68">
        <f>23051.25</f>
        <v>23051.25</v>
      </c>
      <c r="T135" s="65">
        <f>3446</f>
        <v>3446</v>
      </c>
      <c r="U135" s="65" t="str">
        <f>"－"</f>
        <v>－</v>
      </c>
      <c r="V135" s="65">
        <f>79048375</f>
        <v>79048375</v>
      </c>
      <c r="W135" s="65" t="str">
        <f>"－"</f>
        <v>－</v>
      </c>
      <c r="X135" s="69">
        <f>20</f>
        <v>20</v>
      </c>
    </row>
    <row r="136" spans="1:24">
      <c r="A136" s="60" t="s">
        <v>956</v>
      </c>
      <c r="B136" s="60" t="s">
        <v>471</v>
      </c>
      <c r="C136" s="60" t="s">
        <v>472</v>
      </c>
      <c r="D136" s="60" t="s">
        <v>473</v>
      </c>
      <c r="E136" s="61" t="s">
        <v>46</v>
      </c>
      <c r="F136" s="62" t="s">
        <v>46</v>
      </c>
      <c r="G136" s="63" t="s">
        <v>46</v>
      </c>
      <c r="H136" s="64"/>
      <c r="I136" s="64" t="s">
        <v>47</v>
      </c>
      <c r="J136" s="65">
        <v>1</v>
      </c>
      <c r="K136" s="66">
        <f>24390</f>
        <v>24390</v>
      </c>
      <c r="L136" s="67" t="s">
        <v>853</v>
      </c>
      <c r="M136" s="66">
        <f>25290</f>
        <v>25290</v>
      </c>
      <c r="N136" s="67" t="s">
        <v>855</v>
      </c>
      <c r="O136" s="66">
        <f>23395</f>
        <v>23395</v>
      </c>
      <c r="P136" s="67" t="s">
        <v>873</v>
      </c>
      <c r="Q136" s="66">
        <f>23395</f>
        <v>23395</v>
      </c>
      <c r="R136" s="67" t="s">
        <v>873</v>
      </c>
      <c r="S136" s="68">
        <f>24482.5</f>
        <v>24482.5</v>
      </c>
      <c r="T136" s="65">
        <f>4131</f>
        <v>4131</v>
      </c>
      <c r="U136" s="65">
        <f>6</f>
        <v>6</v>
      </c>
      <c r="V136" s="65">
        <f>100531620</f>
        <v>100531620</v>
      </c>
      <c r="W136" s="65">
        <f>148040</f>
        <v>148040</v>
      </c>
      <c r="X136" s="69">
        <f>20</f>
        <v>20</v>
      </c>
    </row>
    <row r="137" spans="1:24">
      <c r="A137" s="60" t="s">
        <v>956</v>
      </c>
      <c r="B137" s="60" t="s">
        <v>474</v>
      </c>
      <c r="C137" s="60" t="s">
        <v>475</v>
      </c>
      <c r="D137" s="60" t="s">
        <v>476</v>
      </c>
      <c r="E137" s="61" t="s">
        <v>46</v>
      </c>
      <c r="F137" s="62" t="s">
        <v>46</v>
      </c>
      <c r="G137" s="63" t="s">
        <v>46</v>
      </c>
      <c r="H137" s="64"/>
      <c r="I137" s="64" t="s">
        <v>47</v>
      </c>
      <c r="J137" s="65">
        <v>1</v>
      </c>
      <c r="K137" s="66">
        <f>16790</f>
        <v>16790</v>
      </c>
      <c r="L137" s="67" t="s">
        <v>853</v>
      </c>
      <c r="M137" s="66">
        <f>16870</f>
        <v>16870</v>
      </c>
      <c r="N137" s="67" t="s">
        <v>853</v>
      </c>
      <c r="O137" s="66">
        <f>14850</f>
        <v>14850</v>
      </c>
      <c r="P137" s="67" t="s">
        <v>873</v>
      </c>
      <c r="Q137" s="66">
        <f>14850</f>
        <v>14850</v>
      </c>
      <c r="R137" s="67" t="s">
        <v>873</v>
      </c>
      <c r="S137" s="68">
        <f>15945.25</f>
        <v>15945.25</v>
      </c>
      <c r="T137" s="65">
        <f>4357</f>
        <v>4357</v>
      </c>
      <c r="U137" s="65">
        <f>2</f>
        <v>2</v>
      </c>
      <c r="V137" s="65">
        <f>70072790</f>
        <v>70072790</v>
      </c>
      <c r="W137" s="65">
        <f>31460</f>
        <v>31460</v>
      </c>
      <c r="X137" s="69">
        <f>20</f>
        <v>20</v>
      </c>
    </row>
    <row r="138" spans="1:24">
      <c r="A138" s="60" t="s">
        <v>956</v>
      </c>
      <c r="B138" s="60" t="s">
        <v>477</v>
      </c>
      <c r="C138" s="60" t="s">
        <v>478</v>
      </c>
      <c r="D138" s="60" t="s">
        <v>479</v>
      </c>
      <c r="E138" s="61" t="s">
        <v>46</v>
      </c>
      <c r="F138" s="62" t="s">
        <v>46</v>
      </c>
      <c r="G138" s="63" t="s">
        <v>46</v>
      </c>
      <c r="H138" s="64"/>
      <c r="I138" s="64" t="s">
        <v>47</v>
      </c>
      <c r="J138" s="65">
        <v>1</v>
      </c>
      <c r="K138" s="66">
        <f>41650</f>
        <v>41650</v>
      </c>
      <c r="L138" s="67" t="s">
        <v>853</v>
      </c>
      <c r="M138" s="66">
        <f>42350</f>
        <v>42350</v>
      </c>
      <c r="N138" s="67" t="s">
        <v>84</v>
      </c>
      <c r="O138" s="66">
        <f>39180</f>
        <v>39180</v>
      </c>
      <c r="P138" s="67" t="s">
        <v>873</v>
      </c>
      <c r="Q138" s="66">
        <f>39180</f>
        <v>39180</v>
      </c>
      <c r="R138" s="67" t="s">
        <v>873</v>
      </c>
      <c r="S138" s="68">
        <f>41244</f>
        <v>41244</v>
      </c>
      <c r="T138" s="65">
        <f>2568</f>
        <v>2568</v>
      </c>
      <c r="U138" s="65">
        <f>2</f>
        <v>2</v>
      </c>
      <c r="V138" s="65">
        <f>105880480</f>
        <v>105880480</v>
      </c>
      <c r="W138" s="65">
        <f>83000</f>
        <v>83000</v>
      </c>
      <c r="X138" s="69">
        <f>20</f>
        <v>20</v>
      </c>
    </row>
    <row r="139" spans="1:24">
      <c r="A139" s="60" t="s">
        <v>956</v>
      </c>
      <c r="B139" s="60" t="s">
        <v>480</v>
      </c>
      <c r="C139" s="60" t="s">
        <v>481</v>
      </c>
      <c r="D139" s="60" t="s">
        <v>482</v>
      </c>
      <c r="E139" s="61" t="s">
        <v>46</v>
      </c>
      <c r="F139" s="62" t="s">
        <v>46</v>
      </c>
      <c r="G139" s="63" t="s">
        <v>46</v>
      </c>
      <c r="H139" s="64"/>
      <c r="I139" s="64" t="s">
        <v>47</v>
      </c>
      <c r="J139" s="65">
        <v>1</v>
      </c>
      <c r="K139" s="66">
        <f>31350</f>
        <v>31350</v>
      </c>
      <c r="L139" s="67" t="s">
        <v>853</v>
      </c>
      <c r="M139" s="66">
        <f>33200</f>
        <v>33200</v>
      </c>
      <c r="N139" s="67" t="s">
        <v>856</v>
      </c>
      <c r="O139" s="66">
        <f>31130</f>
        <v>31130</v>
      </c>
      <c r="P139" s="67" t="s">
        <v>50</v>
      </c>
      <c r="Q139" s="66">
        <f>31200</f>
        <v>31200</v>
      </c>
      <c r="R139" s="67" t="s">
        <v>873</v>
      </c>
      <c r="S139" s="68">
        <f>32067.5</f>
        <v>32067.5</v>
      </c>
      <c r="T139" s="65">
        <f>3030</f>
        <v>3030</v>
      </c>
      <c r="U139" s="65">
        <f>4</f>
        <v>4</v>
      </c>
      <c r="V139" s="65">
        <f>97326810</f>
        <v>97326810</v>
      </c>
      <c r="W139" s="65">
        <f>129600</f>
        <v>129600</v>
      </c>
      <c r="X139" s="69">
        <f>20</f>
        <v>20</v>
      </c>
    </row>
    <row r="140" spans="1:24">
      <c r="A140" s="60" t="s">
        <v>956</v>
      </c>
      <c r="B140" s="60" t="s">
        <v>483</v>
      </c>
      <c r="C140" s="60" t="s">
        <v>484</v>
      </c>
      <c r="D140" s="60" t="s">
        <v>485</v>
      </c>
      <c r="E140" s="61" t="s">
        <v>46</v>
      </c>
      <c r="F140" s="62" t="s">
        <v>46</v>
      </c>
      <c r="G140" s="63" t="s">
        <v>46</v>
      </c>
      <c r="H140" s="64"/>
      <c r="I140" s="64" t="s">
        <v>47</v>
      </c>
      <c r="J140" s="65">
        <v>1</v>
      </c>
      <c r="K140" s="66">
        <f>30900</f>
        <v>30900</v>
      </c>
      <c r="L140" s="67" t="s">
        <v>853</v>
      </c>
      <c r="M140" s="66">
        <f>31850</f>
        <v>31850</v>
      </c>
      <c r="N140" s="67" t="s">
        <v>69</v>
      </c>
      <c r="O140" s="66">
        <f>29500</f>
        <v>29500</v>
      </c>
      <c r="P140" s="67" t="s">
        <v>873</v>
      </c>
      <c r="Q140" s="66">
        <f>29500</f>
        <v>29500</v>
      </c>
      <c r="R140" s="67" t="s">
        <v>873</v>
      </c>
      <c r="S140" s="68">
        <f>30987.5</f>
        <v>30987.5</v>
      </c>
      <c r="T140" s="65">
        <f>1927</f>
        <v>1927</v>
      </c>
      <c r="U140" s="65">
        <f>4</f>
        <v>4</v>
      </c>
      <c r="V140" s="65">
        <f>59372790</f>
        <v>59372790</v>
      </c>
      <c r="W140" s="65">
        <f>126150</f>
        <v>126150</v>
      </c>
      <c r="X140" s="69">
        <f>20</f>
        <v>20</v>
      </c>
    </row>
    <row r="141" spans="1:24">
      <c r="A141" s="60" t="s">
        <v>956</v>
      </c>
      <c r="B141" s="60" t="s">
        <v>486</v>
      </c>
      <c r="C141" s="60" t="s">
        <v>487</v>
      </c>
      <c r="D141" s="60" t="s">
        <v>488</v>
      </c>
      <c r="E141" s="61" t="s">
        <v>46</v>
      </c>
      <c r="F141" s="62" t="s">
        <v>46</v>
      </c>
      <c r="G141" s="63" t="s">
        <v>46</v>
      </c>
      <c r="H141" s="64"/>
      <c r="I141" s="64" t="s">
        <v>47</v>
      </c>
      <c r="J141" s="65">
        <v>1</v>
      </c>
      <c r="K141" s="66">
        <f>5530</f>
        <v>5530</v>
      </c>
      <c r="L141" s="67" t="s">
        <v>853</v>
      </c>
      <c r="M141" s="66">
        <f>5550</f>
        <v>5550</v>
      </c>
      <c r="N141" s="67" t="s">
        <v>857</v>
      </c>
      <c r="O141" s="66">
        <f>5330</f>
        <v>5330</v>
      </c>
      <c r="P141" s="67" t="s">
        <v>855</v>
      </c>
      <c r="Q141" s="66">
        <f>5402</f>
        <v>5402</v>
      </c>
      <c r="R141" s="67" t="s">
        <v>873</v>
      </c>
      <c r="S141" s="68">
        <f>5438.7</f>
        <v>5438.7</v>
      </c>
      <c r="T141" s="65">
        <f>18534</f>
        <v>18534</v>
      </c>
      <c r="U141" s="65">
        <f>17</f>
        <v>17</v>
      </c>
      <c r="V141" s="65">
        <f>100827123</f>
        <v>100827123</v>
      </c>
      <c r="W141" s="65">
        <f>91721</f>
        <v>91721</v>
      </c>
      <c r="X141" s="69">
        <f>20</f>
        <v>20</v>
      </c>
    </row>
    <row r="142" spans="1:24">
      <c r="A142" s="60" t="s">
        <v>956</v>
      </c>
      <c r="B142" s="60" t="s">
        <v>489</v>
      </c>
      <c r="C142" s="60" t="s">
        <v>490</v>
      </c>
      <c r="D142" s="60" t="s">
        <v>491</v>
      </c>
      <c r="E142" s="61" t="s">
        <v>46</v>
      </c>
      <c r="F142" s="62" t="s">
        <v>46</v>
      </c>
      <c r="G142" s="63" t="s">
        <v>46</v>
      </c>
      <c r="H142" s="64"/>
      <c r="I142" s="64" t="s">
        <v>47</v>
      </c>
      <c r="J142" s="65">
        <v>1</v>
      </c>
      <c r="K142" s="66">
        <f>15270</f>
        <v>15270</v>
      </c>
      <c r="L142" s="67" t="s">
        <v>853</v>
      </c>
      <c r="M142" s="66">
        <f>15640</f>
        <v>15640</v>
      </c>
      <c r="N142" s="67" t="s">
        <v>48</v>
      </c>
      <c r="O142" s="66">
        <f>13775</f>
        <v>13775</v>
      </c>
      <c r="P142" s="67" t="s">
        <v>50</v>
      </c>
      <c r="Q142" s="66">
        <f>13845</f>
        <v>13845</v>
      </c>
      <c r="R142" s="67" t="s">
        <v>873</v>
      </c>
      <c r="S142" s="68">
        <f>14880.25</f>
        <v>14880.25</v>
      </c>
      <c r="T142" s="65">
        <f>32941</f>
        <v>32941</v>
      </c>
      <c r="U142" s="65" t="str">
        <f>"－"</f>
        <v>－</v>
      </c>
      <c r="V142" s="65">
        <f>486995805</f>
        <v>486995805</v>
      </c>
      <c r="W142" s="65" t="str">
        <f>"－"</f>
        <v>－</v>
      </c>
      <c r="X142" s="69">
        <f>20</f>
        <v>20</v>
      </c>
    </row>
    <row r="143" spans="1:24">
      <c r="A143" s="60" t="s">
        <v>956</v>
      </c>
      <c r="B143" s="60" t="s">
        <v>492</v>
      </c>
      <c r="C143" s="60" t="s">
        <v>493</v>
      </c>
      <c r="D143" s="60" t="s">
        <v>494</v>
      </c>
      <c r="E143" s="61" t="s">
        <v>46</v>
      </c>
      <c r="F143" s="62" t="s">
        <v>46</v>
      </c>
      <c r="G143" s="63" t="s">
        <v>46</v>
      </c>
      <c r="H143" s="64"/>
      <c r="I143" s="64" t="s">
        <v>47</v>
      </c>
      <c r="J143" s="65">
        <v>1</v>
      </c>
      <c r="K143" s="66">
        <f>40950</f>
        <v>40950</v>
      </c>
      <c r="L143" s="67" t="s">
        <v>853</v>
      </c>
      <c r="M143" s="66">
        <f>41650</f>
        <v>41650</v>
      </c>
      <c r="N143" s="67" t="s">
        <v>856</v>
      </c>
      <c r="O143" s="66">
        <f>39340</f>
        <v>39340</v>
      </c>
      <c r="P143" s="67" t="s">
        <v>873</v>
      </c>
      <c r="Q143" s="66">
        <f>39360</f>
        <v>39360</v>
      </c>
      <c r="R143" s="67" t="s">
        <v>873</v>
      </c>
      <c r="S143" s="68">
        <f>40627.5</f>
        <v>40627.5</v>
      </c>
      <c r="T143" s="65">
        <f>3020</f>
        <v>3020</v>
      </c>
      <c r="U143" s="65" t="str">
        <f>"－"</f>
        <v>－</v>
      </c>
      <c r="V143" s="65">
        <f>123146270</f>
        <v>123146270</v>
      </c>
      <c r="W143" s="65" t="str">
        <f>"－"</f>
        <v>－</v>
      </c>
      <c r="X143" s="69">
        <f>20</f>
        <v>20</v>
      </c>
    </row>
    <row r="144" spans="1:24">
      <c r="A144" s="60" t="s">
        <v>956</v>
      </c>
      <c r="B144" s="60" t="s">
        <v>495</v>
      </c>
      <c r="C144" s="60" t="s">
        <v>496</v>
      </c>
      <c r="D144" s="60" t="s">
        <v>497</v>
      </c>
      <c r="E144" s="61" t="s">
        <v>46</v>
      </c>
      <c r="F144" s="62" t="s">
        <v>46</v>
      </c>
      <c r="G144" s="63" t="s">
        <v>46</v>
      </c>
      <c r="H144" s="64"/>
      <c r="I144" s="64" t="s">
        <v>47</v>
      </c>
      <c r="J144" s="65">
        <v>1</v>
      </c>
      <c r="K144" s="66">
        <f>23040</f>
        <v>23040</v>
      </c>
      <c r="L144" s="67" t="s">
        <v>853</v>
      </c>
      <c r="M144" s="66">
        <f>23490</f>
        <v>23490</v>
      </c>
      <c r="N144" s="67" t="s">
        <v>96</v>
      </c>
      <c r="O144" s="66">
        <f>21230</f>
        <v>21230</v>
      </c>
      <c r="P144" s="67" t="s">
        <v>873</v>
      </c>
      <c r="Q144" s="66">
        <f>21230</f>
        <v>21230</v>
      </c>
      <c r="R144" s="67" t="s">
        <v>873</v>
      </c>
      <c r="S144" s="68">
        <f>22613.44</f>
        <v>22613.439999999999</v>
      </c>
      <c r="T144" s="65">
        <f>628</f>
        <v>628</v>
      </c>
      <c r="U144" s="65">
        <f>2</f>
        <v>2</v>
      </c>
      <c r="V144" s="65">
        <f>14296480</f>
        <v>14296480</v>
      </c>
      <c r="W144" s="65">
        <f>45660</f>
        <v>45660</v>
      </c>
      <c r="X144" s="69">
        <f>16</f>
        <v>16</v>
      </c>
    </row>
    <row r="145" spans="1:24">
      <c r="A145" s="60" t="s">
        <v>956</v>
      </c>
      <c r="B145" s="60" t="s">
        <v>498</v>
      </c>
      <c r="C145" s="60" t="s">
        <v>499</v>
      </c>
      <c r="D145" s="60" t="s">
        <v>500</v>
      </c>
      <c r="E145" s="61" t="s">
        <v>46</v>
      </c>
      <c r="F145" s="62" t="s">
        <v>46</v>
      </c>
      <c r="G145" s="63" t="s">
        <v>46</v>
      </c>
      <c r="H145" s="64"/>
      <c r="I145" s="64" t="s">
        <v>47</v>
      </c>
      <c r="J145" s="65">
        <v>1</v>
      </c>
      <c r="K145" s="66">
        <f>7890</f>
        <v>7890</v>
      </c>
      <c r="L145" s="67" t="s">
        <v>853</v>
      </c>
      <c r="M145" s="66">
        <f>8120</f>
        <v>8120</v>
      </c>
      <c r="N145" s="67" t="s">
        <v>48</v>
      </c>
      <c r="O145" s="66">
        <f>7550</f>
        <v>7550</v>
      </c>
      <c r="P145" s="67" t="s">
        <v>873</v>
      </c>
      <c r="Q145" s="66">
        <f>7571</f>
        <v>7571</v>
      </c>
      <c r="R145" s="67" t="s">
        <v>873</v>
      </c>
      <c r="S145" s="68">
        <f>7909.25</f>
        <v>7909.25</v>
      </c>
      <c r="T145" s="65">
        <f>19712</f>
        <v>19712</v>
      </c>
      <c r="U145" s="65" t="str">
        <f>"－"</f>
        <v>－</v>
      </c>
      <c r="V145" s="65">
        <f>155890100</f>
        <v>155890100</v>
      </c>
      <c r="W145" s="65" t="str">
        <f>"－"</f>
        <v>－</v>
      </c>
      <c r="X145" s="69">
        <f>20</f>
        <v>20</v>
      </c>
    </row>
    <row r="146" spans="1:24">
      <c r="A146" s="60" t="s">
        <v>956</v>
      </c>
      <c r="B146" s="60" t="s">
        <v>501</v>
      </c>
      <c r="C146" s="60" t="s">
        <v>502</v>
      </c>
      <c r="D146" s="60" t="s">
        <v>503</v>
      </c>
      <c r="E146" s="61" t="s">
        <v>46</v>
      </c>
      <c r="F146" s="62" t="s">
        <v>46</v>
      </c>
      <c r="G146" s="63" t="s">
        <v>46</v>
      </c>
      <c r="H146" s="64"/>
      <c r="I146" s="64" t="s">
        <v>47</v>
      </c>
      <c r="J146" s="65">
        <v>1</v>
      </c>
      <c r="K146" s="66">
        <f>14170</f>
        <v>14170</v>
      </c>
      <c r="L146" s="67" t="s">
        <v>853</v>
      </c>
      <c r="M146" s="66">
        <f>14220</f>
        <v>14220</v>
      </c>
      <c r="N146" s="67" t="s">
        <v>853</v>
      </c>
      <c r="O146" s="66">
        <f>13195</f>
        <v>13195</v>
      </c>
      <c r="P146" s="67" t="s">
        <v>873</v>
      </c>
      <c r="Q146" s="66">
        <f>13195</f>
        <v>13195</v>
      </c>
      <c r="R146" s="67" t="s">
        <v>873</v>
      </c>
      <c r="S146" s="68">
        <f>13812</f>
        <v>13812</v>
      </c>
      <c r="T146" s="65">
        <f>4843</f>
        <v>4843</v>
      </c>
      <c r="U146" s="65">
        <f>6</f>
        <v>6</v>
      </c>
      <c r="V146" s="65">
        <f>67142685</f>
        <v>67142685</v>
      </c>
      <c r="W146" s="65">
        <f>83390</f>
        <v>83390</v>
      </c>
      <c r="X146" s="69">
        <f>20</f>
        <v>20</v>
      </c>
    </row>
    <row r="147" spans="1:24">
      <c r="A147" s="60" t="s">
        <v>956</v>
      </c>
      <c r="B147" s="60" t="s">
        <v>504</v>
      </c>
      <c r="C147" s="60" t="s">
        <v>505</v>
      </c>
      <c r="D147" s="60" t="s">
        <v>506</v>
      </c>
      <c r="E147" s="61" t="s">
        <v>46</v>
      </c>
      <c r="F147" s="62" t="s">
        <v>46</v>
      </c>
      <c r="G147" s="63" t="s">
        <v>46</v>
      </c>
      <c r="H147" s="64"/>
      <c r="I147" s="64" t="s">
        <v>47</v>
      </c>
      <c r="J147" s="65">
        <v>1</v>
      </c>
      <c r="K147" s="66">
        <f>30450</f>
        <v>30450</v>
      </c>
      <c r="L147" s="67" t="s">
        <v>853</v>
      </c>
      <c r="M147" s="66">
        <f>30700</f>
        <v>30700</v>
      </c>
      <c r="N147" s="67" t="s">
        <v>96</v>
      </c>
      <c r="O147" s="66">
        <f>27400</f>
        <v>27400</v>
      </c>
      <c r="P147" s="67" t="s">
        <v>873</v>
      </c>
      <c r="Q147" s="66">
        <f>27580</f>
        <v>27580</v>
      </c>
      <c r="R147" s="67" t="s">
        <v>873</v>
      </c>
      <c r="S147" s="68">
        <f>29559.5</f>
        <v>29559.5</v>
      </c>
      <c r="T147" s="65">
        <f>1169</f>
        <v>1169</v>
      </c>
      <c r="U147" s="65">
        <f>6</f>
        <v>6</v>
      </c>
      <c r="V147" s="65">
        <f>34485535</f>
        <v>34485535</v>
      </c>
      <c r="W147" s="65">
        <f>179460</f>
        <v>179460</v>
      </c>
      <c r="X147" s="69">
        <f>20</f>
        <v>20</v>
      </c>
    </row>
    <row r="148" spans="1:24">
      <c r="A148" s="60" t="s">
        <v>956</v>
      </c>
      <c r="B148" s="60" t="s">
        <v>507</v>
      </c>
      <c r="C148" s="60" t="s">
        <v>508</v>
      </c>
      <c r="D148" s="60" t="s">
        <v>509</v>
      </c>
      <c r="E148" s="61" t="s">
        <v>46</v>
      </c>
      <c r="F148" s="62" t="s">
        <v>46</v>
      </c>
      <c r="G148" s="63" t="s">
        <v>46</v>
      </c>
      <c r="H148" s="64"/>
      <c r="I148" s="64" t="s">
        <v>47</v>
      </c>
      <c r="J148" s="65">
        <v>10</v>
      </c>
      <c r="K148" s="66">
        <f>1136</f>
        <v>1136</v>
      </c>
      <c r="L148" s="67" t="s">
        <v>853</v>
      </c>
      <c r="M148" s="66">
        <f>1146</f>
        <v>1146</v>
      </c>
      <c r="N148" s="67" t="s">
        <v>69</v>
      </c>
      <c r="O148" s="66">
        <f>1054</f>
        <v>1054</v>
      </c>
      <c r="P148" s="67" t="s">
        <v>873</v>
      </c>
      <c r="Q148" s="66">
        <f>1075</f>
        <v>1075</v>
      </c>
      <c r="R148" s="67" t="s">
        <v>873</v>
      </c>
      <c r="S148" s="68">
        <f>1099.75</f>
        <v>1099.75</v>
      </c>
      <c r="T148" s="65">
        <f>208100</f>
        <v>208100</v>
      </c>
      <c r="U148" s="65">
        <f>27700</f>
        <v>27700</v>
      </c>
      <c r="V148" s="65">
        <f>229402128</f>
        <v>229402128</v>
      </c>
      <c r="W148" s="65">
        <f>30080318</f>
        <v>30080318</v>
      </c>
      <c r="X148" s="69">
        <f>20</f>
        <v>20</v>
      </c>
    </row>
    <row r="149" spans="1:24">
      <c r="A149" s="60" t="s">
        <v>956</v>
      </c>
      <c r="B149" s="60" t="s">
        <v>510</v>
      </c>
      <c r="C149" s="60" t="s">
        <v>511</v>
      </c>
      <c r="D149" s="60" t="s">
        <v>512</v>
      </c>
      <c r="E149" s="61" t="s">
        <v>46</v>
      </c>
      <c r="F149" s="62" t="s">
        <v>46</v>
      </c>
      <c r="G149" s="63" t="s">
        <v>46</v>
      </c>
      <c r="H149" s="64"/>
      <c r="I149" s="64" t="s">
        <v>47</v>
      </c>
      <c r="J149" s="65">
        <v>10</v>
      </c>
      <c r="K149" s="66">
        <f>2521</f>
        <v>2521</v>
      </c>
      <c r="L149" s="67" t="s">
        <v>853</v>
      </c>
      <c r="M149" s="66">
        <f>2521</f>
        <v>2521</v>
      </c>
      <c r="N149" s="67" t="s">
        <v>853</v>
      </c>
      <c r="O149" s="66">
        <f>2403</f>
        <v>2403</v>
      </c>
      <c r="P149" s="67" t="s">
        <v>873</v>
      </c>
      <c r="Q149" s="66">
        <f>2403</f>
        <v>2403</v>
      </c>
      <c r="R149" s="67" t="s">
        <v>873</v>
      </c>
      <c r="S149" s="68">
        <f>2473.3</f>
        <v>2473.3000000000002</v>
      </c>
      <c r="T149" s="65">
        <f>9460</f>
        <v>9460</v>
      </c>
      <c r="U149" s="65" t="str">
        <f>"－"</f>
        <v>－</v>
      </c>
      <c r="V149" s="65">
        <f>23224480</f>
        <v>23224480</v>
      </c>
      <c r="W149" s="65" t="str">
        <f>"－"</f>
        <v>－</v>
      </c>
      <c r="X149" s="69">
        <f>5</f>
        <v>5</v>
      </c>
    </row>
    <row r="150" spans="1:24">
      <c r="A150" s="60" t="s">
        <v>956</v>
      </c>
      <c r="B150" s="60" t="s">
        <v>513</v>
      </c>
      <c r="C150" s="60" t="s">
        <v>514</v>
      </c>
      <c r="D150" s="60" t="s">
        <v>515</v>
      </c>
      <c r="E150" s="61" t="s">
        <v>46</v>
      </c>
      <c r="F150" s="62" t="s">
        <v>46</v>
      </c>
      <c r="G150" s="63" t="s">
        <v>46</v>
      </c>
      <c r="H150" s="64"/>
      <c r="I150" s="64" t="s">
        <v>47</v>
      </c>
      <c r="J150" s="65">
        <v>10</v>
      </c>
      <c r="K150" s="66">
        <f>2638</f>
        <v>2638</v>
      </c>
      <c r="L150" s="67" t="s">
        <v>853</v>
      </c>
      <c r="M150" s="66">
        <f>2677</f>
        <v>2677</v>
      </c>
      <c r="N150" s="67" t="s">
        <v>854</v>
      </c>
      <c r="O150" s="66">
        <f>2534</f>
        <v>2534</v>
      </c>
      <c r="P150" s="67" t="s">
        <v>873</v>
      </c>
      <c r="Q150" s="66">
        <f>2534</f>
        <v>2534</v>
      </c>
      <c r="R150" s="67" t="s">
        <v>873</v>
      </c>
      <c r="S150" s="68">
        <f>2627.18</f>
        <v>2627.18</v>
      </c>
      <c r="T150" s="65">
        <f>22600</f>
        <v>22600</v>
      </c>
      <c r="U150" s="65">
        <f>20</f>
        <v>20</v>
      </c>
      <c r="V150" s="65">
        <f>59361615</f>
        <v>59361615</v>
      </c>
      <c r="W150" s="65">
        <f>52630</f>
        <v>52630</v>
      </c>
      <c r="X150" s="69">
        <f>19</f>
        <v>19</v>
      </c>
    </row>
    <row r="151" spans="1:24">
      <c r="A151" s="60" t="s">
        <v>956</v>
      </c>
      <c r="B151" s="60" t="s">
        <v>516</v>
      </c>
      <c r="C151" s="60" t="s">
        <v>517</v>
      </c>
      <c r="D151" s="60" t="s">
        <v>518</v>
      </c>
      <c r="E151" s="61" t="s">
        <v>46</v>
      </c>
      <c r="F151" s="62" t="s">
        <v>46</v>
      </c>
      <c r="G151" s="63" t="s">
        <v>46</v>
      </c>
      <c r="H151" s="64"/>
      <c r="I151" s="64" t="s">
        <v>47</v>
      </c>
      <c r="J151" s="65">
        <v>10</v>
      </c>
      <c r="K151" s="66">
        <f>1596</f>
        <v>1596</v>
      </c>
      <c r="L151" s="67" t="s">
        <v>853</v>
      </c>
      <c r="M151" s="66">
        <f>1605</f>
        <v>1605</v>
      </c>
      <c r="N151" s="67" t="s">
        <v>854</v>
      </c>
      <c r="O151" s="66">
        <f>1515</f>
        <v>1515</v>
      </c>
      <c r="P151" s="67" t="s">
        <v>873</v>
      </c>
      <c r="Q151" s="66">
        <f>1515</f>
        <v>1515</v>
      </c>
      <c r="R151" s="67" t="s">
        <v>873</v>
      </c>
      <c r="S151" s="68">
        <f>1577.42</f>
        <v>1577.42</v>
      </c>
      <c r="T151" s="65">
        <f>38630</f>
        <v>38630</v>
      </c>
      <c r="U151" s="65">
        <f>40</f>
        <v>40</v>
      </c>
      <c r="V151" s="65">
        <f>59941320</f>
        <v>59941320</v>
      </c>
      <c r="W151" s="65">
        <f>63440</f>
        <v>63440</v>
      </c>
      <c r="X151" s="69">
        <f>12</f>
        <v>12</v>
      </c>
    </row>
    <row r="152" spans="1:24">
      <c r="A152" s="60" t="s">
        <v>956</v>
      </c>
      <c r="B152" s="60" t="s">
        <v>519</v>
      </c>
      <c r="C152" s="60" t="s">
        <v>520</v>
      </c>
      <c r="D152" s="60" t="s">
        <v>521</v>
      </c>
      <c r="E152" s="61" t="s">
        <v>46</v>
      </c>
      <c r="F152" s="62" t="s">
        <v>46</v>
      </c>
      <c r="G152" s="63" t="s">
        <v>46</v>
      </c>
      <c r="H152" s="64"/>
      <c r="I152" s="64" t="s">
        <v>47</v>
      </c>
      <c r="J152" s="65">
        <v>1</v>
      </c>
      <c r="K152" s="66">
        <f>3785</f>
        <v>3785</v>
      </c>
      <c r="L152" s="67" t="s">
        <v>853</v>
      </c>
      <c r="M152" s="66">
        <f>3910</f>
        <v>3910</v>
      </c>
      <c r="N152" s="67" t="s">
        <v>176</v>
      </c>
      <c r="O152" s="66">
        <f>3745</f>
        <v>3745</v>
      </c>
      <c r="P152" s="67" t="s">
        <v>873</v>
      </c>
      <c r="Q152" s="66">
        <f>3750</f>
        <v>3750</v>
      </c>
      <c r="R152" s="67" t="s">
        <v>873</v>
      </c>
      <c r="S152" s="68">
        <f>3824.5</f>
        <v>3824.5</v>
      </c>
      <c r="T152" s="65">
        <f>12347253</f>
        <v>12347253</v>
      </c>
      <c r="U152" s="65">
        <f>5379960</f>
        <v>5379960</v>
      </c>
      <c r="V152" s="65">
        <f>47165890507</f>
        <v>47165890507</v>
      </c>
      <c r="W152" s="65">
        <f>20530303622</f>
        <v>20530303622</v>
      </c>
      <c r="X152" s="69">
        <f>20</f>
        <v>20</v>
      </c>
    </row>
    <row r="153" spans="1:24">
      <c r="A153" s="60" t="s">
        <v>956</v>
      </c>
      <c r="B153" s="60" t="s">
        <v>522</v>
      </c>
      <c r="C153" s="60" t="s">
        <v>523</v>
      </c>
      <c r="D153" s="60" t="s">
        <v>524</v>
      </c>
      <c r="E153" s="61" t="s">
        <v>46</v>
      </c>
      <c r="F153" s="62" t="s">
        <v>46</v>
      </c>
      <c r="G153" s="63" t="s">
        <v>46</v>
      </c>
      <c r="H153" s="64"/>
      <c r="I153" s="64" t="s">
        <v>47</v>
      </c>
      <c r="J153" s="65">
        <v>1</v>
      </c>
      <c r="K153" s="66">
        <f>2687</f>
        <v>2687</v>
      </c>
      <c r="L153" s="67" t="s">
        <v>853</v>
      </c>
      <c r="M153" s="66">
        <f>2710</f>
        <v>2710</v>
      </c>
      <c r="N153" s="67" t="s">
        <v>240</v>
      </c>
      <c r="O153" s="66">
        <f>2678</f>
        <v>2678</v>
      </c>
      <c r="P153" s="67" t="s">
        <v>859</v>
      </c>
      <c r="Q153" s="66">
        <f>2691</f>
        <v>2691</v>
      </c>
      <c r="R153" s="67" t="s">
        <v>873</v>
      </c>
      <c r="S153" s="68">
        <f>2692.7</f>
        <v>2692.7</v>
      </c>
      <c r="T153" s="65">
        <f>1307278</f>
        <v>1307278</v>
      </c>
      <c r="U153" s="65">
        <f>898514</f>
        <v>898514</v>
      </c>
      <c r="V153" s="65">
        <f>3516108260</f>
        <v>3516108260</v>
      </c>
      <c r="W153" s="65">
        <f>2415613265</f>
        <v>2415613265</v>
      </c>
      <c r="X153" s="69">
        <f>20</f>
        <v>20</v>
      </c>
    </row>
    <row r="154" spans="1:24">
      <c r="A154" s="60" t="s">
        <v>956</v>
      </c>
      <c r="B154" s="60" t="s">
        <v>525</v>
      </c>
      <c r="C154" s="60" t="s">
        <v>526</v>
      </c>
      <c r="D154" s="60" t="s">
        <v>527</v>
      </c>
      <c r="E154" s="61" t="s">
        <v>46</v>
      </c>
      <c r="F154" s="62" t="s">
        <v>46</v>
      </c>
      <c r="G154" s="63" t="s">
        <v>46</v>
      </c>
      <c r="H154" s="64"/>
      <c r="I154" s="64" t="s">
        <v>47</v>
      </c>
      <c r="J154" s="65">
        <v>1</v>
      </c>
      <c r="K154" s="66">
        <f>3345</f>
        <v>3345</v>
      </c>
      <c r="L154" s="67" t="s">
        <v>853</v>
      </c>
      <c r="M154" s="66">
        <f>3415</f>
        <v>3415</v>
      </c>
      <c r="N154" s="67" t="s">
        <v>176</v>
      </c>
      <c r="O154" s="66">
        <f>3255</f>
        <v>3255</v>
      </c>
      <c r="P154" s="67" t="s">
        <v>873</v>
      </c>
      <c r="Q154" s="66">
        <f>3255</f>
        <v>3255</v>
      </c>
      <c r="R154" s="67" t="s">
        <v>873</v>
      </c>
      <c r="S154" s="68">
        <f>3356.5</f>
        <v>3356.5</v>
      </c>
      <c r="T154" s="65">
        <f>53624</f>
        <v>53624</v>
      </c>
      <c r="U154" s="65">
        <f>1482</f>
        <v>1482</v>
      </c>
      <c r="V154" s="65">
        <f>180145324</f>
        <v>180145324</v>
      </c>
      <c r="W154" s="65">
        <f>4997324</f>
        <v>4997324</v>
      </c>
      <c r="X154" s="69">
        <f>20</f>
        <v>20</v>
      </c>
    </row>
    <row r="155" spans="1:24">
      <c r="A155" s="60" t="s">
        <v>956</v>
      </c>
      <c r="B155" s="60" t="s">
        <v>528</v>
      </c>
      <c r="C155" s="60" t="s">
        <v>529</v>
      </c>
      <c r="D155" s="60" t="s">
        <v>530</v>
      </c>
      <c r="E155" s="61" t="s">
        <v>46</v>
      </c>
      <c r="F155" s="62" t="s">
        <v>46</v>
      </c>
      <c r="G155" s="63" t="s">
        <v>46</v>
      </c>
      <c r="H155" s="64"/>
      <c r="I155" s="64" t="s">
        <v>47</v>
      </c>
      <c r="J155" s="65">
        <v>1</v>
      </c>
      <c r="K155" s="66">
        <f>2387</f>
        <v>2387</v>
      </c>
      <c r="L155" s="67" t="s">
        <v>853</v>
      </c>
      <c r="M155" s="66">
        <f>2451</f>
        <v>2451</v>
      </c>
      <c r="N155" s="67" t="s">
        <v>855</v>
      </c>
      <c r="O155" s="66">
        <f>2262</f>
        <v>2262</v>
      </c>
      <c r="P155" s="67" t="s">
        <v>873</v>
      </c>
      <c r="Q155" s="66">
        <f>2269</f>
        <v>2269</v>
      </c>
      <c r="R155" s="67" t="s">
        <v>873</v>
      </c>
      <c r="S155" s="68">
        <f>2383.55</f>
        <v>2383.5500000000002</v>
      </c>
      <c r="T155" s="65">
        <f>79437</f>
        <v>79437</v>
      </c>
      <c r="U155" s="65">
        <f>4201</f>
        <v>4201</v>
      </c>
      <c r="V155" s="65">
        <f>189100987</f>
        <v>189100987</v>
      </c>
      <c r="W155" s="65">
        <f>9988313</f>
        <v>9988313</v>
      </c>
      <c r="X155" s="69">
        <f>20</f>
        <v>20</v>
      </c>
    </row>
    <row r="156" spans="1:24">
      <c r="A156" s="60" t="s">
        <v>956</v>
      </c>
      <c r="B156" s="60" t="s">
        <v>531</v>
      </c>
      <c r="C156" s="60" t="s">
        <v>532</v>
      </c>
      <c r="D156" s="60" t="s">
        <v>533</v>
      </c>
      <c r="E156" s="61" t="s">
        <v>46</v>
      </c>
      <c r="F156" s="62" t="s">
        <v>46</v>
      </c>
      <c r="G156" s="63" t="s">
        <v>46</v>
      </c>
      <c r="H156" s="64"/>
      <c r="I156" s="64" t="s">
        <v>47</v>
      </c>
      <c r="J156" s="65">
        <v>1</v>
      </c>
      <c r="K156" s="66">
        <f>2707</f>
        <v>2707</v>
      </c>
      <c r="L156" s="67" t="s">
        <v>853</v>
      </c>
      <c r="M156" s="66">
        <f>2826</f>
        <v>2826</v>
      </c>
      <c r="N156" s="67" t="s">
        <v>176</v>
      </c>
      <c r="O156" s="66">
        <f>2673</f>
        <v>2673</v>
      </c>
      <c r="P156" s="67" t="s">
        <v>873</v>
      </c>
      <c r="Q156" s="66">
        <f>2673</f>
        <v>2673</v>
      </c>
      <c r="R156" s="67" t="s">
        <v>873</v>
      </c>
      <c r="S156" s="68">
        <f>2736.45</f>
        <v>2736.45</v>
      </c>
      <c r="T156" s="65">
        <f>408309</f>
        <v>408309</v>
      </c>
      <c r="U156" s="65">
        <f>5</f>
        <v>5</v>
      </c>
      <c r="V156" s="65">
        <f>1114855953</f>
        <v>1114855953</v>
      </c>
      <c r="W156" s="65">
        <f>13954</f>
        <v>13954</v>
      </c>
      <c r="X156" s="69">
        <f>20</f>
        <v>20</v>
      </c>
    </row>
    <row r="157" spans="1:24">
      <c r="A157" s="60" t="s">
        <v>956</v>
      </c>
      <c r="B157" s="60" t="s">
        <v>534</v>
      </c>
      <c r="C157" s="60" t="s">
        <v>535</v>
      </c>
      <c r="D157" s="60" t="s">
        <v>536</v>
      </c>
      <c r="E157" s="61" t="s">
        <v>46</v>
      </c>
      <c r="F157" s="62" t="s">
        <v>46</v>
      </c>
      <c r="G157" s="63" t="s">
        <v>46</v>
      </c>
      <c r="H157" s="64"/>
      <c r="I157" s="64" t="s">
        <v>47</v>
      </c>
      <c r="J157" s="65">
        <v>1</v>
      </c>
      <c r="K157" s="66">
        <f>11600</f>
        <v>11600</v>
      </c>
      <c r="L157" s="67" t="s">
        <v>853</v>
      </c>
      <c r="M157" s="66">
        <f>11690</f>
        <v>11690</v>
      </c>
      <c r="N157" s="67" t="s">
        <v>96</v>
      </c>
      <c r="O157" s="66">
        <f>11250</f>
        <v>11250</v>
      </c>
      <c r="P157" s="67" t="s">
        <v>50</v>
      </c>
      <c r="Q157" s="66">
        <f>11300</f>
        <v>11300</v>
      </c>
      <c r="R157" s="67" t="s">
        <v>873</v>
      </c>
      <c r="S157" s="68">
        <f>11517.75</f>
        <v>11517.75</v>
      </c>
      <c r="T157" s="65">
        <f>17113</f>
        <v>17113</v>
      </c>
      <c r="U157" s="65">
        <f>1</f>
        <v>1</v>
      </c>
      <c r="V157" s="65">
        <f>196969440</f>
        <v>196969440</v>
      </c>
      <c r="W157" s="65">
        <f>11325</f>
        <v>11325</v>
      </c>
      <c r="X157" s="69">
        <f>20</f>
        <v>20</v>
      </c>
    </row>
    <row r="158" spans="1:24">
      <c r="A158" s="60" t="s">
        <v>956</v>
      </c>
      <c r="B158" s="60" t="s">
        <v>541</v>
      </c>
      <c r="C158" s="60" t="s">
        <v>542</v>
      </c>
      <c r="D158" s="60" t="s">
        <v>543</v>
      </c>
      <c r="E158" s="61" t="s">
        <v>46</v>
      </c>
      <c r="F158" s="62" t="s">
        <v>46</v>
      </c>
      <c r="G158" s="63" t="s">
        <v>46</v>
      </c>
      <c r="H158" s="64"/>
      <c r="I158" s="64" t="s">
        <v>47</v>
      </c>
      <c r="J158" s="65">
        <v>1</v>
      </c>
      <c r="K158" s="66">
        <f>1849</f>
        <v>1849</v>
      </c>
      <c r="L158" s="67" t="s">
        <v>853</v>
      </c>
      <c r="M158" s="66">
        <f>1881</f>
        <v>1881</v>
      </c>
      <c r="N158" s="67" t="s">
        <v>857</v>
      </c>
      <c r="O158" s="66">
        <f>1555</f>
        <v>1555</v>
      </c>
      <c r="P158" s="67" t="s">
        <v>873</v>
      </c>
      <c r="Q158" s="66">
        <f>1558</f>
        <v>1558</v>
      </c>
      <c r="R158" s="67" t="s">
        <v>873</v>
      </c>
      <c r="S158" s="68">
        <f>1786.05</f>
        <v>1786.05</v>
      </c>
      <c r="T158" s="65">
        <f>29897733</f>
        <v>29897733</v>
      </c>
      <c r="U158" s="65">
        <f>6137</f>
        <v>6137</v>
      </c>
      <c r="V158" s="65">
        <f>52642114277</f>
        <v>52642114277</v>
      </c>
      <c r="W158" s="65">
        <f>11192651</f>
        <v>11192651</v>
      </c>
      <c r="X158" s="69">
        <f>20</f>
        <v>20</v>
      </c>
    </row>
    <row r="159" spans="1:24">
      <c r="A159" s="60" t="s">
        <v>956</v>
      </c>
      <c r="B159" s="60" t="s">
        <v>544</v>
      </c>
      <c r="C159" s="60" t="s">
        <v>545</v>
      </c>
      <c r="D159" s="60" t="s">
        <v>546</v>
      </c>
      <c r="E159" s="61" t="s">
        <v>46</v>
      </c>
      <c r="F159" s="62" t="s">
        <v>46</v>
      </c>
      <c r="G159" s="63" t="s">
        <v>46</v>
      </c>
      <c r="H159" s="64"/>
      <c r="I159" s="64" t="s">
        <v>47</v>
      </c>
      <c r="J159" s="65">
        <v>1</v>
      </c>
      <c r="K159" s="66">
        <f>19200</f>
        <v>19200</v>
      </c>
      <c r="L159" s="67" t="s">
        <v>853</v>
      </c>
      <c r="M159" s="66">
        <f>20150</f>
        <v>20150</v>
      </c>
      <c r="N159" s="67" t="s">
        <v>100</v>
      </c>
      <c r="O159" s="66">
        <f>19040</f>
        <v>19040</v>
      </c>
      <c r="P159" s="67" t="s">
        <v>84</v>
      </c>
      <c r="Q159" s="66">
        <f>19185</f>
        <v>19185</v>
      </c>
      <c r="R159" s="67" t="s">
        <v>873</v>
      </c>
      <c r="S159" s="68">
        <f>19611.75</f>
        <v>19611.75</v>
      </c>
      <c r="T159" s="65">
        <f>4611</f>
        <v>4611</v>
      </c>
      <c r="U159" s="65">
        <f>4</f>
        <v>4</v>
      </c>
      <c r="V159" s="65">
        <f>90505915</f>
        <v>90505915</v>
      </c>
      <c r="W159" s="65">
        <f>77540</f>
        <v>77540</v>
      </c>
      <c r="X159" s="69">
        <f>20</f>
        <v>20</v>
      </c>
    </row>
    <row r="160" spans="1:24">
      <c r="A160" s="60" t="s">
        <v>956</v>
      </c>
      <c r="B160" s="60" t="s">
        <v>547</v>
      </c>
      <c r="C160" s="60" t="s">
        <v>548</v>
      </c>
      <c r="D160" s="60" t="s">
        <v>549</v>
      </c>
      <c r="E160" s="61" t="s">
        <v>46</v>
      </c>
      <c r="F160" s="62" t="s">
        <v>46</v>
      </c>
      <c r="G160" s="63" t="s">
        <v>46</v>
      </c>
      <c r="H160" s="64"/>
      <c r="I160" s="64" t="s">
        <v>47</v>
      </c>
      <c r="J160" s="65">
        <v>10</v>
      </c>
      <c r="K160" s="66">
        <f>2520</f>
        <v>2520</v>
      </c>
      <c r="L160" s="67" t="s">
        <v>853</v>
      </c>
      <c r="M160" s="66">
        <f>2689</f>
        <v>2689</v>
      </c>
      <c r="N160" s="67" t="s">
        <v>69</v>
      </c>
      <c r="O160" s="66">
        <f>2412</f>
        <v>2412</v>
      </c>
      <c r="P160" s="67" t="s">
        <v>873</v>
      </c>
      <c r="Q160" s="66">
        <f>2427.5</f>
        <v>2427.5</v>
      </c>
      <c r="R160" s="67" t="s">
        <v>873</v>
      </c>
      <c r="S160" s="68">
        <f>2572.43</f>
        <v>2572.4299999999998</v>
      </c>
      <c r="T160" s="65">
        <f>11440</f>
        <v>11440</v>
      </c>
      <c r="U160" s="65">
        <f>40</f>
        <v>40</v>
      </c>
      <c r="V160" s="65">
        <f>29727980</f>
        <v>29727980</v>
      </c>
      <c r="W160" s="65">
        <f>103370</f>
        <v>103370</v>
      </c>
      <c r="X160" s="69">
        <f>20</f>
        <v>20</v>
      </c>
    </row>
    <row r="161" spans="1:24">
      <c r="A161" s="60" t="s">
        <v>956</v>
      </c>
      <c r="B161" s="60" t="s">
        <v>550</v>
      </c>
      <c r="C161" s="60" t="s">
        <v>551</v>
      </c>
      <c r="D161" s="60" t="s">
        <v>552</v>
      </c>
      <c r="E161" s="61" t="s">
        <v>46</v>
      </c>
      <c r="F161" s="62" t="s">
        <v>46</v>
      </c>
      <c r="G161" s="63" t="s">
        <v>46</v>
      </c>
      <c r="H161" s="64"/>
      <c r="I161" s="64" t="s">
        <v>47</v>
      </c>
      <c r="J161" s="65">
        <v>1</v>
      </c>
      <c r="K161" s="66">
        <f>10810</f>
        <v>10810</v>
      </c>
      <c r="L161" s="67" t="s">
        <v>853</v>
      </c>
      <c r="M161" s="66">
        <f>11790</f>
        <v>11790</v>
      </c>
      <c r="N161" s="67" t="s">
        <v>131</v>
      </c>
      <c r="O161" s="66">
        <f>10090</f>
        <v>10090</v>
      </c>
      <c r="P161" s="67" t="s">
        <v>873</v>
      </c>
      <c r="Q161" s="66">
        <f>10090</f>
        <v>10090</v>
      </c>
      <c r="R161" s="67" t="s">
        <v>873</v>
      </c>
      <c r="S161" s="68">
        <f>11047.5</f>
        <v>11047.5</v>
      </c>
      <c r="T161" s="65">
        <f>7528</f>
        <v>7528</v>
      </c>
      <c r="U161" s="65">
        <f>6</f>
        <v>6</v>
      </c>
      <c r="V161" s="65">
        <f>84244735</f>
        <v>84244735</v>
      </c>
      <c r="W161" s="65">
        <f>67030</f>
        <v>67030</v>
      </c>
      <c r="X161" s="69">
        <f>20</f>
        <v>20</v>
      </c>
    </row>
    <row r="162" spans="1:24">
      <c r="A162" s="60" t="s">
        <v>956</v>
      </c>
      <c r="B162" s="60" t="s">
        <v>553</v>
      </c>
      <c r="C162" s="60" t="s">
        <v>554</v>
      </c>
      <c r="D162" s="60" t="s">
        <v>555</v>
      </c>
      <c r="E162" s="61" t="s">
        <v>46</v>
      </c>
      <c r="F162" s="62" t="s">
        <v>46</v>
      </c>
      <c r="G162" s="63" t="s">
        <v>46</v>
      </c>
      <c r="H162" s="64"/>
      <c r="I162" s="64" t="s">
        <v>47</v>
      </c>
      <c r="J162" s="65">
        <v>1</v>
      </c>
      <c r="K162" s="66">
        <f>20650</f>
        <v>20650</v>
      </c>
      <c r="L162" s="67" t="s">
        <v>853</v>
      </c>
      <c r="M162" s="66">
        <f>23480</f>
        <v>23480</v>
      </c>
      <c r="N162" s="67" t="s">
        <v>100</v>
      </c>
      <c r="O162" s="66">
        <f>18880</f>
        <v>18880</v>
      </c>
      <c r="P162" s="67" t="s">
        <v>873</v>
      </c>
      <c r="Q162" s="66">
        <f>18880</f>
        <v>18880</v>
      </c>
      <c r="R162" s="67" t="s">
        <v>873</v>
      </c>
      <c r="S162" s="68">
        <f>21437.25</f>
        <v>21437.25</v>
      </c>
      <c r="T162" s="65">
        <f>3071</f>
        <v>3071</v>
      </c>
      <c r="U162" s="65">
        <f>6</f>
        <v>6</v>
      </c>
      <c r="V162" s="65">
        <f>65612610</f>
        <v>65612610</v>
      </c>
      <c r="W162" s="65">
        <f>129640</f>
        <v>129640</v>
      </c>
      <c r="X162" s="69">
        <f>20</f>
        <v>20</v>
      </c>
    </row>
    <row r="163" spans="1:24">
      <c r="A163" s="60" t="s">
        <v>956</v>
      </c>
      <c r="B163" s="60" t="s">
        <v>556</v>
      </c>
      <c r="C163" s="60" t="s">
        <v>557</v>
      </c>
      <c r="D163" s="60" t="s">
        <v>558</v>
      </c>
      <c r="E163" s="61" t="s">
        <v>46</v>
      </c>
      <c r="F163" s="62" t="s">
        <v>46</v>
      </c>
      <c r="G163" s="63" t="s">
        <v>46</v>
      </c>
      <c r="H163" s="64"/>
      <c r="I163" s="64" t="s">
        <v>47</v>
      </c>
      <c r="J163" s="65">
        <v>1</v>
      </c>
      <c r="K163" s="66">
        <f>16400</f>
        <v>16400</v>
      </c>
      <c r="L163" s="67" t="s">
        <v>875</v>
      </c>
      <c r="M163" s="66">
        <f>16880</f>
        <v>16880</v>
      </c>
      <c r="N163" s="67" t="s">
        <v>132</v>
      </c>
      <c r="O163" s="66">
        <f>14875</f>
        <v>14875</v>
      </c>
      <c r="P163" s="67" t="s">
        <v>873</v>
      </c>
      <c r="Q163" s="66">
        <f>15490</f>
        <v>15490</v>
      </c>
      <c r="R163" s="67" t="s">
        <v>873</v>
      </c>
      <c r="S163" s="68">
        <f>16145</f>
        <v>16145</v>
      </c>
      <c r="T163" s="65">
        <f>43</f>
        <v>43</v>
      </c>
      <c r="U163" s="65" t="str">
        <f>"－"</f>
        <v>－</v>
      </c>
      <c r="V163" s="65">
        <f>682885</f>
        <v>682885</v>
      </c>
      <c r="W163" s="65" t="str">
        <f>"－"</f>
        <v>－</v>
      </c>
      <c r="X163" s="69">
        <f>4</f>
        <v>4</v>
      </c>
    </row>
    <row r="164" spans="1:24">
      <c r="A164" s="60" t="s">
        <v>956</v>
      </c>
      <c r="B164" s="60" t="s">
        <v>559</v>
      </c>
      <c r="C164" s="60" t="s">
        <v>560</v>
      </c>
      <c r="D164" s="60" t="s">
        <v>561</v>
      </c>
      <c r="E164" s="61" t="s">
        <v>46</v>
      </c>
      <c r="F164" s="62" t="s">
        <v>46</v>
      </c>
      <c r="G164" s="63" t="s">
        <v>46</v>
      </c>
      <c r="H164" s="64"/>
      <c r="I164" s="64" t="s">
        <v>47</v>
      </c>
      <c r="J164" s="65">
        <v>10</v>
      </c>
      <c r="K164" s="66">
        <f>52400</f>
        <v>52400</v>
      </c>
      <c r="L164" s="67" t="s">
        <v>853</v>
      </c>
      <c r="M164" s="66">
        <f>52700</f>
        <v>52700</v>
      </c>
      <c r="N164" s="67" t="s">
        <v>96</v>
      </c>
      <c r="O164" s="66">
        <f>51700</f>
        <v>51700</v>
      </c>
      <c r="P164" s="67" t="s">
        <v>50</v>
      </c>
      <c r="Q164" s="66">
        <f>51730</f>
        <v>51730</v>
      </c>
      <c r="R164" s="67" t="s">
        <v>873</v>
      </c>
      <c r="S164" s="68">
        <f>52161.5</f>
        <v>52161.5</v>
      </c>
      <c r="T164" s="65">
        <f>5440</f>
        <v>5440</v>
      </c>
      <c r="U164" s="65">
        <f>50</f>
        <v>50</v>
      </c>
      <c r="V164" s="65">
        <f>284358300</f>
        <v>284358300</v>
      </c>
      <c r="W164" s="65">
        <f>2612000</f>
        <v>2612000</v>
      </c>
      <c r="X164" s="69">
        <f>20</f>
        <v>20</v>
      </c>
    </row>
    <row r="165" spans="1:24">
      <c r="A165" s="60" t="s">
        <v>956</v>
      </c>
      <c r="B165" s="60" t="s">
        <v>562</v>
      </c>
      <c r="C165" s="60" t="s">
        <v>563</v>
      </c>
      <c r="D165" s="60" t="s">
        <v>564</v>
      </c>
      <c r="E165" s="61" t="s">
        <v>46</v>
      </c>
      <c r="F165" s="62" t="s">
        <v>46</v>
      </c>
      <c r="G165" s="63" t="s">
        <v>46</v>
      </c>
      <c r="H165" s="64"/>
      <c r="I165" s="64" t="s">
        <v>47</v>
      </c>
      <c r="J165" s="65">
        <v>100</v>
      </c>
      <c r="K165" s="66">
        <f>242</f>
        <v>242</v>
      </c>
      <c r="L165" s="67" t="s">
        <v>853</v>
      </c>
      <c r="M165" s="66">
        <f>249</f>
        <v>249</v>
      </c>
      <c r="N165" s="67" t="s">
        <v>69</v>
      </c>
      <c r="O165" s="66">
        <f>225.9</f>
        <v>225.9</v>
      </c>
      <c r="P165" s="67" t="s">
        <v>50</v>
      </c>
      <c r="Q165" s="66">
        <f>228.1</f>
        <v>228.1</v>
      </c>
      <c r="R165" s="67" t="s">
        <v>873</v>
      </c>
      <c r="S165" s="68">
        <f>241.93</f>
        <v>241.93</v>
      </c>
      <c r="T165" s="65">
        <f>23673400</f>
        <v>23673400</v>
      </c>
      <c r="U165" s="65">
        <f>44100</f>
        <v>44100</v>
      </c>
      <c r="V165" s="65">
        <f>5689473290</f>
        <v>5689473290</v>
      </c>
      <c r="W165" s="65">
        <f>9816940</f>
        <v>9816940</v>
      </c>
      <c r="X165" s="69">
        <f>20</f>
        <v>20</v>
      </c>
    </row>
    <row r="166" spans="1:24">
      <c r="A166" s="60" t="s">
        <v>956</v>
      </c>
      <c r="B166" s="60" t="s">
        <v>565</v>
      </c>
      <c r="C166" s="60" t="s">
        <v>566</v>
      </c>
      <c r="D166" s="60" t="s">
        <v>567</v>
      </c>
      <c r="E166" s="61" t="s">
        <v>46</v>
      </c>
      <c r="F166" s="62" t="s">
        <v>46</v>
      </c>
      <c r="G166" s="63" t="s">
        <v>46</v>
      </c>
      <c r="H166" s="64"/>
      <c r="I166" s="64" t="s">
        <v>47</v>
      </c>
      <c r="J166" s="65">
        <v>10</v>
      </c>
      <c r="K166" s="66">
        <f>35950</f>
        <v>35950</v>
      </c>
      <c r="L166" s="67" t="s">
        <v>853</v>
      </c>
      <c r="M166" s="66">
        <f>36500</f>
        <v>36500</v>
      </c>
      <c r="N166" s="67" t="s">
        <v>855</v>
      </c>
      <c r="O166" s="66">
        <f>34500</f>
        <v>34500</v>
      </c>
      <c r="P166" s="67" t="s">
        <v>873</v>
      </c>
      <c r="Q166" s="66">
        <f>34500</f>
        <v>34500</v>
      </c>
      <c r="R166" s="67" t="s">
        <v>873</v>
      </c>
      <c r="S166" s="68">
        <f>35924</f>
        <v>35924</v>
      </c>
      <c r="T166" s="65">
        <f>12540</f>
        <v>12540</v>
      </c>
      <c r="U166" s="65" t="str">
        <f>"－"</f>
        <v>－</v>
      </c>
      <c r="V166" s="65">
        <f>449206800</f>
        <v>449206800</v>
      </c>
      <c r="W166" s="65" t="str">
        <f>"－"</f>
        <v>－</v>
      </c>
      <c r="X166" s="69">
        <f>20</f>
        <v>20</v>
      </c>
    </row>
    <row r="167" spans="1:24">
      <c r="A167" s="60" t="s">
        <v>956</v>
      </c>
      <c r="B167" s="60" t="s">
        <v>568</v>
      </c>
      <c r="C167" s="60" t="s">
        <v>569</v>
      </c>
      <c r="D167" s="60" t="s">
        <v>570</v>
      </c>
      <c r="E167" s="61" t="s">
        <v>46</v>
      </c>
      <c r="F167" s="62" t="s">
        <v>46</v>
      </c>
      <c r="G167" s="63" t="s">
        <v>46</v>
      </c>
      <c r="H167" s="64"/>
      <c r="I167" s="64" t="s">
        <v>47</v>
      </c>
      <c r="J167" s="65">
        <v>10</v>
      </c>
      <c r="K167" s="66">
        <f>3855</f>
        <v>3855</v>
      </c>
      <c r="L167" s="67" t="s">
        <v>853</v>
      </c>
      <c r="M167" s="66">
        <f>3945</f>
        <v>3945</v>
      </c>
      <c r="N167" s="67" t="s">
        <v>855</v>
      </c>
      <c r="O167" s="66">
        <f>3765</f>
        <v>3765</v>
      </c>
      <c r="P167" s="67" t="s">
        <v>873</v>
      </c>
      <c r="Q167" s="66">
        <f>3767</f>
        <v>3767</v>
      </c>
      <c r="R167" s="67" t="s">
        <v>873</v>
      </c>
      <c r="S167" s="68">
        <f>3882.65</f>
        <v>3882.65</v>
      </c>
      <c r="T167" s="65">
        <f>134210</f>
        <v>134210</v>
      </c>
      <c r="U167" s="65">
        <f>7900</f>
        <v>7900</v>
      </c>
      <c r="V167" s="65">
        <f>521327690</f>
        <v>521327690</v>
      </c>
      <c r="W167" s="65">
        <f>30725230</f>
        <v>30725230</v>
      </c>
      <c r="X167" s="69">
        <f>20</f>
        <v>20</v>
      </c>
    </row>
    <row r="168" spans="1:24">
      <c r="A168" s="60" t="s">
        <v>956</v>
      </c>
      <c r="B168" s="60" t="s">
        <v>571</v>
      </c>
      <c r="C168" s="60" t="s">
        <v>572</v>
      </c>
      <c r="D168" s="60" t="s">
        <v>573</v>
      </c>
      <c r="E168" s="61" t="s">
        <v>46</v>
      </c>
      <c r="F168" s="62" t="s">
        <v>46</v>
      </c>
      <c r="G168" s="63" t="s">
        <v>46</v>
      </c>
      <c r="H168" s="64"/>
      <c r="I168" s="64" t="s">
        <v>47</v>
      </c>
      <c r="J168" s="65">
        <v>10</v>
      </c>
      <c r="K168" s="66">
        <f>1830</f>
        <v>1830</v>
      </c>
      <c r="L168" s="67" t="s">
        <v>853</v>
      </c>
      <c r="M168" s="66">
        <f>1886</f>
        <v>1886</v>
      </c>
      <c r="N168" s="67" t="s">
        <v>854</v>
      </c>
      <c r="O168" s="66">
        <f>1720</f>
        <v>1720</v>
      </c>
      <c r="P168" s="67" t="s">
        <v>873</v>
      </c>
      <c r="Q168" s="66">
        <f>1720</f>
        <v>1720</v>
      </c>
      <c r="R168" s="67" t="s">
        <v>873</v>
      </c>
      <c r="S168" s="68">
        <f>1829.9</f>
        <v>1829.9</v>
      </c>
      <c r="T168" s="65">
        <f>152870</f>
        <v>152870</v>
      </c>
      <c r="U168" s="65" t="str">
        <f>"－"</f>
        <v>－</v>
      </c>
      <c r="V168" s="65">
        <f>277302110</f>
        <v>277302110</v>
      </c>
      <c r="W168" s="65" t="str">
        <f>"－"</f>
        <v>－</v>
      </c>
      <c r="X168" s="69">
        <f>20</f>
        <v>20</v>
      </c>
    </row>
    <row r="169" spans="1:24">
      <c r="A169" s="60" t="s">
        <v>956</v>
      </c>
      <c r="B169" s="60" t="s">
        <v>574</v>
      </c>
      <c r="C169" s="60" t="s">
        <v>575</v>
      </c>
      <c r="D169" s="60" t="s">
        <v>576</v>
      </c>
      <c r="E169" s="61" t="s">
        <v>46</v>
      </c>
      <c r="F169" s="62" t="s">
        <v>46</v>
      </c>
      <c r="G169" s="63" t="s">
        <v>46</v>
      </c>
      <c r="H169" s="64"/>
      <c r="I169" s="64" t="s">
        <v>47</v>
      </c>
      <c r="J169" s="65">
        <v>100</v>
      </c>
      <c r="K169" s="66">
        <f>198</f>
        <v>198</v>
      </c>
      <c r="L169" s="67" t="s">
        <v>853</v>
      </c>
      <c r="M169" s="66">
        <f>210</f>
        <v>210</v>
      </c>
      <c r="N169" s="67" t="s">
        <v>131</v>
      </c>
      <c r="O169" s="66">
        <f>182</f>
        <v>182</v>
      </c>
      <c r="P169" s="67" t="s">
        <v>873</v>
      </c>
      <c r="Q169" s="66">
        <f>185</f>
        <v>185</v>
      </c>
      <c r="R169" s="67" t="s">
        <v>873</v>
      </c>
      <c r="S169" s="68">
        <f>201.16</f>
        <v>201.16</v>
      </c>
      <c r="T169" s="65">
        <f>464300</f>
        <v>464300</v>
      </c>
      <c r="U169" s="65" t="str">
        <f>"－"</f>
        <v>－</v>
      </c>
      <c r="V169" s="65">
        <f>93338420</f>
        <v>93338420</v>
      </c>
      <c r="W169" s="65" t="str">
        <f>"－"</f>
        <v>－</v>
      </c>
      <c r="X169" s="69">
        <f>20</f>
        <v>20</v>
      </c>
    </row>
    <row r="170" spans="1:24">
      <c r="A170" s="60" t="s">
        <v>956</v>
      </c>
      <c r="B170" s="60" t="s">
        <v>577</v>
      </c>
      <c r="C170" s="60" t="s">
        <v>578</v>
      </c>
      <c r="D170" s="60" t="s">
        <v>579</v>
      </c>
      <c r="E170" s="61" t="s">
        <v>46</v>
      </c>
      <c r="F170" s="62" t="s">
        <v>46</v>
      </c>
      <c r="G170" s="63" t="s">
        <v>46</v>
      </c>
      <c r="H170" s="64"/>
      <c r="I170" s="64" t="s">
        <v>47</v>
      </c>
      <c r="J170" s="65">
        <v>10</v>
      </c>
      <c r="K170" s="66">
        <f>1220</f>
        <v>1220</v>
      </c>
      <c r="L170" s="67" t="s">
        <v>853</v>
      </c>
      <c r="M170" s="66">
        <f>1230</f>
        <v>1230</v>
      </c>
      <c r="N170" s="67" t="s">
        <v>176</v>
      </c>
      <c r="O170" s="66">
        <f>1170</f>
        <v>1170</v>
      </c>
      <c r="P170" s="67" t="s">
        <v>84</v>
      </c>
      <c r="Q170" s="66">
        <f>1177.5</f>
        <v>1177.5</v>
      </c>
      <c r="R170" s="67" t="s">
        <v>873</v>
      </c>
      <c r="S170" s="68">
        <f>1205.79</f>
        <v>1205.79</v>
      </c>
      <c r="T170" s="65">
        <f>2970</f>
        <v>2970</v>
      </c>
      <c r="U170" s="65">
        <f>40</f>
        <v>40</v>
      </c>
      <c r="V170" s="65">
        <f>3562040</f>
        <v>3562040</v>
      </c>
      <c r="W170" s="65">
        <f>49040</f>
        <v>49040</v>
      </c>
      <c r="X170" s="69">
        <f>17</f>
        <v>17</v>
      </c>
    </row>
    <row r="171" spans="1:24">
      <c r="A171" s="60" t="s">
        <v>956</v>
      </c>
      <c r="B171" s="60" t="s">
        <v>580</v>
      </c>
      <c r="C171" s="60" t="s">
        <v>581</v>
      </c>
      <c r="D171" s="60" t="s">
        <v>582</v>
      </c>
      <c r="E171" s="61" t="s">
        <v>46</v>
      </c>
      <c r="F171" s="62" t="s">
        <v>46</v>
      </c>
      <c r="G171" s="63" t="s">
        <v>46</v>
      </c>
      <c r="H171" s="64"/>
      <c r="I171" s="64" t="s">
        <v>47</v>
      </c>
      <c r="J171" s="65">
        <v>10</v>
      </c>
      <c r="K171" s="66">
        <f>432</f>
        <v>432</v>
      </c>
      <c r="L171" s="67" t="s">
        <v>853</v>
      </c>
      <c r="M171" s="66">
        <f>439</f>
        <v>439</v>
      </c>
      <c r="N171" s="67" t="s">
        <v>853</v>
      </c>
      <c r="O171" s="66">
        <f>376</f>
        <v>376</v>
      </c>
      <c r="P171" s="67" t="s">
        <v>873</v>
      </c>
      <c r="Q171" s="66">
        <f>376.7</f>
        <v>376.7</v>
      </c>
      <c r="R171" s="67" t="s">
        <v>873</v>
      </c>
      <c r="S171" s="68">
        <f>418.26</f>
        <v>418.26</v>
      </c>
      <c r="T171" s="65">
        <f>68740</f>
        <v>68740</v>
      </c>
      <c r="U171" s="65">
        <f>40</f>
        <v>40</v>
      </c>
      <c r="V171" s="65">
        <f>27593142</f>
        <v>27593142</v>
      </c>
      <c r="W171" s="65">
        <f>16900</f>
        <v>16900</v>
      </c>
      <c r="X171" s="69">
        <f>20</f>
        <v>20</v>
      </c>
    </row>
    <row r="172" spans="1:24">
      <c r="A172" s="60" t="s">
        <v>956</v>
      </c>
      <c r="B172" s="60" t="s">
        <v>583</v>
      </c>
      <c r="C172" s="60" t="s">
        <v>584</v>
      </c>
      <c r="D172" s="60" t="s">
        <v>585</v>
      </c>
      <c r="E172" s="61" t="s">
        <v>46</v>
      </c>
      <c r="F172" s="62" t="s">
        <v>46</v>
      </c>
      <c r="G172" s="63" t="s">
        <v>46</v>
      </c>
      <c r="H172" s="64"/>
      <c r="I172" s="64" t="s">
        <v>47</v>
      </c>
      <c r="J172" s="65">
        <v>10</v>
      </c>
      <c r="K172" s="66">
        <f>1846</f>
        <v>1846</v>
      </c>
      <c r="L172" s="67" t="s">
        <v>853</v>
      </c>
      <c r="M172" s="66">
        <f>1910</f>
        <v>1910</v>
      </c>
      <c r="N172" s="67" t="s">
        <v>857</v>
      </c>
      <c r="O172" s="66">
        <f>1785</f>
        <v>1785</v>
      </c>
      <c r="P172" s="67" t="s">
        <v>96</v>
      </c>
      <c r="Q172" s="66">
        <f>1820</f>
        <v>1820</v>
      </c>
      <c r="R172" s="67" t="s">
        <v>873</v>
      </c>
      <c r="S172" s="68">
        <f>1833.68</f>
        <v>1833.68</v>
      </c>
      <c r="T172" s="65">
        <f>11990</f>
        <v>11990</v>
      </c>
      <c r="U172" s="65">
        <f>40</f>
        <v>40</v>
      </c>
      <c r="V172" s="65">
        <f>22059250</f>
        <v>22059250</v>
      </c>
      <c r="W172" s="65">
        <f>72180</f>
        <v>72180</v>
      </c>
      <c r="X172" s="69">
        <f>20</f>
        <v>20</v>
      </c>
    </row>
    <row r="173" spans="1:24">
      <c r="A173" s="60" t="s">
        <v>956</v>
      </c>
      <c r="B173" s="60" t="s">
        <v>586</v>
      </c>
      <c r="C173" s="60" t="s">
        <v>587</v>
      </c>
      <c r="D173" s="60" t="s">
        <v>588</v>
      </c>
      <c r="E173" s="61" t="s">
        <v>46</v>
      </c>
      <c r="F173" s="62" t="s">
        <v>46</v>
      </c>
      <c r="G173" s="63" t="s">
        <v>46</v>
      </c>
      <c r="H173" s="64"/>
      <c r="I173" s="64" t="s">
        <v>47</v>
      </c>
      <c r="J173" s="65">
        <v>10</v>
      </c>
      <c r="K173" s="66">
        <f>652</f>
        <v>652</v>
      </c>
      <c r="L173" s="67" t="s">
        <v>853</v>
      </c>
      <c r="M173" s="66">
        <f>710</f>
        <v>710</v>
      </c>
      <c r="N173" s="67" t="s">
        <v>856</v>
      </c>
      <c r="O173" s="66">
        <f>630</f>
        <v>630</v>
      </c>
      <c r="P173" s="67" t="s">
        <v>859</v>
      </c>
      <c r="Q173" s="66">
        <f>660</f>
        <v>660</v>
      </c>
      <c r="R173" s="67" t="s">
        <v>873</v>
      </c>
      <c r="S173" s="68">
        <f>667.15</f>
        <v>667.15</v>
      </c>
      <c r="T173" s="65">
        <f>65010</f>
        <v>65010</v>
      </c>
      <c r="U173" s="65">
        <f>60</f>
        <v>60</v>
      </c>
      <c r="V173" s="65">
        <f>43473408</f>
        <v>43473408</v>
      </c>
      <c r="W173" s="65">
        <f>39380</f>
        <v>39380</v>
      </c>
      <c r="X173" s="69">
        <f>20</f>
        <v>20</v>
      </c>
    </row>
    <row r="174" spans="1:24">
      <c r="A174" s="60" t="s">
        <v>956</v>
      </c>
      <c r="B174" s="60" t="s">
        <v>589</v>
      </c>
      <c r="C174" s="60" t="s">
        <v>590</v>
      </c>
      <c r="D174" s="60" t="s">
        <v>591</v>
      </c>
      <c r="E174" s="61" t="s">
        <v>46</v>
      </c>
      <c r="F174" s="62" t="s">
        <v>46</v>
      </c>
      <c r="G174" s="63" t="s">
        <v>46</v>
      </c>
      <c r="H174" s="64"/>
      <c r="I174" s="64" t="s">
        <v>47</v>
      </c>
      <c r="J174" s="65">
        <v>10</v>
      </c>
      <c r="K174" s="66">
        <f>471</f>
        <v>471</v>
      </c>
      <c r="L174" s="67" t="s">
        <v>853</v>
      </c>
      <c r="M174" s="66">
        <f>495</f>
        <v>495</v>
      </c>
      <c r="N174" s="67" t="s">
        <v>856</v>
      </c>
      <c r="O174" s="66">
        <f>447</f>
        <v>447</v>
      </c>
      <c r="P174" s="67" t="s">
        <v>859</v>
      </c>
      <c r="Q174" s="66">
        <f>470.3</f>
        <v>470.3</v>
      </c>
      <c r="R174" s="67" t="s">
        <v>873</v>
      </c>
      <c r="S174" s="68">
        <f>472.37</f>
        <v>472.37</v>
      </c>
      <c r="T174" s="65">
        <f>309590</f>
        <v>309590</v>
      </c>
      <c r="U174" s="65">
        <f>20</f>
        <v>20</v>
      </c>
      <c r="V174" s="65">
        <f>145809373</f>
        <v>145809373</v>
      </c>
      <c r="W174" s="65">
        <f>9700</f>
        <v>9700</v>
      </c>
      <c r="X174" s="69">
        <f>20</f>
        <v>20</v>
      </c>
    </row>
    <row r="175" spans="1:24">
      <c r="A175" s="60" t="s">
        <v>956</v>
      </c>
      <c r="B175" s="60" t="s">
        <v>592</v>
      </c>
      <c r="C175" s="60" t="s">
        <v>593</v>
      </c>
      <c r="D175" s="60" t="s">
        <v>594</v>
      </c>
      <c r="E175" s="61" t="s">
        <v>46</v>
      </c>
      <c r="F175" s="62" t="s">
        <v>46</v>
      </c>
      <c r="G175" s="63" t="s">
        <v>46</v>
      </c>
      <c r="H175" s="64"/>
      <c r="I175" s="64" t="s">
        <v>47</v>
      </c>
      <c r="J175" s="65">
        <v>100</v>
      </c>
      <c r="K175" s="66">
        <f>3</f>
        <v>3</v>
      </c>
      <c r="L175" s="67" t="s">
        <v>853</v>
      </c>
      <c r="M175" s="66">
        <f>3</f>
        <v>3</v>
      </c>
      <c r="N175" s="67" t="s">
        <v>853</v>
      </c>
      <c r="O175" s="66">
        <f>2</f>
        <v>2</v>
      </c>
      <c r="P175" s="67" t="s">
        <v>853</v>
      </c>
      <c r="Q175" s="66">
        <f>2.2</f>
        <v>2.2000000000000002</v>
      </c>
      <c r="R175" s="67" t="s">
        <v>873</v>
      </c>
      <c r="S175" s="68">
        <f>2.58</f>
        <v>2.58</v>
      </c>
      <c r="T175" s="65">
        <f>387579400</f>
        <v>387579400</v>
      </c>
      <c r="U175" s="65" t="str">
        <f>"－"</f>
        <v>－</v>
      </c>
      <c r="V175" s="65">
        <f>1002741340</f>
        <v>1002741340</v>
      </c>
      <c r="W175" s="65" t="str">
        <f>"－"</f>
        <v>－</v>
      </c>
      <c r="X175" s="69">
        <f>20</f>
        <v>20</v>
      </c>
    </row>
    <row r="176" spans="1:24">
      <c r="A176" s="60" t="s">
        <v>956</v>
      </c>
      <c r="B176" s="60" t="s">
        <v>595</v>
      </c>
      <c r="C176" s="60" t="s">
        <v>596</v>
      </c>
      <c r="D176" s="60" t="s">
        <v>597</v>
      </c>
      <c r="E176" s="61" t="s">
        <v>46</v>
      </c>
      <c r="F176" s="62" t="s">
        <v>46</v>
      </c>
      <c r="G176" s="63" t="s">
        <v>46</v>
      </c>
      <c r="H176" s="64"/>
      <c r="I176" s="64" t="s">
        <v>47</v>
      </c>
      <c r="J176" s="65">
        <v>10</v>
      </c>
      <c r="K176" s="66">
        <f>857</f>
        <v>857</v>
      </c>
      <c r="L176" s="67" t="s">
        <v>853</v>
      </c>
      <c r="M176" s="66">
        <f>873</f>
        <v>873</v>
      </c>
      <c r="N176" s="67" t="s">
        <v>857</v>
      </c>
      <c r="O176" s="66">
        <f>735</f>
        <v>735</v>
      </c>
      <c r="P176" s="67" t="s">
        <v>873</v>
      </c>
      <c r="Q176" s="66">
        <f>736.5</f>
        <v>736.5</v>
      </c>
      <c r="R176" s="67" t="s">
        <v>873</v>
      </c>
      <c r="S176" s="68">
        <f>835.08</f>
        <v>835.08</v>
      </c>
      <c r="T176" s="65">
        <f>588610</f>
        <v>588610</v>
      </c>
      <c r="U176" s="65">
        <f>20</f>
        <v>20</v>
      </c>
      <c r="V176" s="65">
        <f>483941418</f>
        <v>483941418</v>
      </c>
      <c r="W176" s="65">
        <f>16990</f>
        <v>16990</v>
      </c>
      <c r="X176" s="69">
        <f>20</f>
        <v>20</v>
      </c>
    </row>
    <row r="177" spans="1:24">
      <c r="A177" s="60" t="s">
        <v>956</v>
      </c>
      <c r="B177" s="60" t="s">
        <v>598</v>
      </c>
      <c r="C177" s="60" t="s">
        <v>599</v>
      </c>
      <c r="D177" s="60" t="s">
        <v>600</v>
      </c>
      <c r="E177" s="61" t="s">
        <v>46</v>
      </c>
      <c r="F177" s="62" t="s">
        <v>46</v>
      </c>
      <c r="G177" s="63" t="s">
        <v>46</v>
      </c>
      <c r="H177" s="64"/>
      <c r="I177" s="64" t="s">
        <v>47</v>
      </c>
      <c r="J177" s="65">
        <v>1</v>
      </c>
      <c r="K177" s="66">
        <f>3725</f>
        <v>3725</v>
      </c>
      <c r="L177" s="67" t="s">
        <v>853</v>
      </c>
      <c r="M177" s="66">
        <f>3860</f>
        <v>3860</v>
      </c>
      <c r="N177" s="67" t="s">
        <v>857</v>
      </c>
      <c r="O177" s="66">
        <f>3310</f>
        <v>3310</v>
      </c>
      <c r="P177" s="67" t="s">
        <v>873</v>
      </c>
      <c r="Q177" s="66">
        <f>3335</f>
        <v>3335</v>
      </c>
      <c r="R177" s="67" t="s">
        <v>873</v>
      </c>
      <c r="S177" s="68">
        <f>3655.59</f>
        <v>3655.59</v>
      </c>
      <c r="T177" s="65">
        <f>1306</f>
        <v>1306</v>
      </c>
      <c r="U177" s="65" t="str">
        <f>"－"</f>
        <v>－</v>
      </c>
      <c r="V177" s="65">
        <f>4693500</f>
        <v>4693500</v>
      </c>
      <c r="W177" s="65" t="str">
        <f>"－"</f>
        <v>－</v>
      </c>
      <c r="X177" s="69">
        <f>17</f>
        <v>17</v>
      </c>
    </row>
    <row r="178" spans="1:24">
      <c r="A178" s="60" t="s">
        <v>956</v>
      </c>
      <c r="B178" s="60" t="s">
        <v>601</v>
      </c>
      <c r="C178" s="60" t="s">
        <v>602</v>
      </c>
      <c r="D178" s="60" t="s">
        <v>603</v>
      </c>
      <c r="E178" s="61" t="s">
        <v>46</v>
      </c>
      <c r="F178" s="62" t="s">
        <v>46</v>
      </c>
      <c r="G178" s="63" t="s">
        <v>46</v>
      </c>
      <c r="H178" s="64"/>
      <c r="I178" s="64" t="s">
        <v>47</v>
      </c>
      <c r="J178" s="65">
        <v>100</v>
      </c>
      <c r="K178" s="66">
        <f>441</f>
        <v>441</v>
      </c>
      <c r="L178" s="67" t="s">
        <v>853</v>
      </c>
      <c r="M178" s="66">
        <f>449</f>
        <v>449</v>
      </c>
      <c r="N178" s="67" t="s">
        <v>854</v>
      </c>
      <c r="O178" s="66">
        <f>402</f>
        <v>402</v>
      </c>
      <c r="P178" s="67" t="s">
        <v>84</v>
      </c>
      <c r="Q178" s="66">
        <f>415</f>
        <v>415</v>
      </c>
      <c r="R178" s="67" t="s">
        <v>873</v>
      </c>
      <c r="S178" s="68">
        <f>423.5</f>
        <v>423.5</v>
      </c>
      <c r="T178" s="65">
        <f>275500</f>
        <v>275500</v>
      </c>
      <c r="U178" s="65">
        <f>400</f>
        <v>400</v>
      </c>
      <c r="V178" s="65">
        <f>116784930</f>
        <v>116784930</v>
      </c>
      <c r="W178" s="65">
        <f>171100</f>
        <v>171100</v>
      </c>
      <c r="X178" s="69">
        <f>20</f>
        <v>20</v>
      </c>
    </row>
    <row r="179" spans="1:24">
      <c r="A179" s="60" t="s">
        <v>956</v>
      </c>
      <c r="B179" s="60" t="s">
        <v>604</v>
      </c>
      <c r="C179" s="60" t="s">
        <v>605</v>
      </c>
      <c r="D179" s="60" t="s">
        <v>606</v>
      </c>
      <c r="E179" s="61" t="s">
        <v>46</v>
      </c>
      <c r="F179" s="62" t="s">
        <v>46</v>
      </c>
      <c r="G179" s="63" t="s">
        <v>46</v>
      </c>
      <c r="H179" s="64"/>
      <c r="I179" s="64" t="s">
        <v>47</v>
      </c>
      <c r="J179" s="65">
        <v>10</v>
      </c>
      <c r="K179" s="66">
        <f>4405</f>
        <v>4405</v>
      </c>
      <c r="L179" s="67" t="s">
        <v>853</v>
      </c>
      <c r="M179" s="66">
        <f>4635</f>
        <v>4635</v>
      </c>
      <c r="N179" s="67" t="s">
        <v>240</v>
      </c>
      <c r="O179" s="66">
        <f>4265</f>
        <v>4265</v>
      </c>
      <c r="P179" s="67" t="s">
        <v>100</v>
      </c>
      <c r="Q179" s="66">
        <f>4350</f>
        <v>4350</v>
      </c>
      <c r="R179" s="67" t="s">
        <v>873</v>
      </c>
      <c r="S179" s="68">
        <f>4425.55</f>
        <v>4425.55</v>
      </c>
      <c r="T179" s="65">
        <f>27170</f>
        <v>27170</v>
      </c>
      <c r="U179" s="65">
        <f>20</f>
        <v>20</v>
      </c>
      <c r="V179" s="65">
        <f>121667490</f>
        <v>121667490</v>
      </c>
      <c r="W179" s="65">
        <f>87800</f>
        <v>87800</v>
      </c>
      <c r="X179" s="69">
        <f>20</f>
        <v>20</v>
      </c>
    </row>
    <row r="180" spans="1:24">
      <c r="A180" s="60" t="s">
        <v>956</v>
      </c>
      <c r="B180" s="60" t="s">
        <v>607</v>
      </c>
      <c r="C180" s="60" t="s">
        <v>608</v>
      </c>
      <c r="D180" s="60" t="s">
        <v>609</v>
      </c>
      <c r="E180" s="61" t="s">
        <v>46</v>
      </c>
      <c r="F180" s="62" t="s">
        <v>46</v>
      </c>
      <c r="G180" s="63" t="s">
        <v>46</v>
      </c>
      <c r="H180" s="64"/>
      <c r="I180" s="64" t="s">
        <v>47</v>
      </c>
      <c r="J180" s="65">
        <v>10</v>
      </c>
      <c r="K180" s="66">
        <f>2053</f>
        <v>2053</v>
      </c>
      <c r="L180" s="67" t="s">
        <v>853</v>
      </c>
      <c r="M180" s="66">
        <f>2251</f>
        <v>2251</v>
      </c>
      <c r="N180" s="67" t="s">
        <v>176</v>
      </c>
      <c r="O180" s="66">
        <f>2020</f>
        <v>2020</v>
      </c>
      <c r="P180" s="67" t="s">
        <v>84</v>
      </c>
      <c r="Q180" s="66">
        <f>2110.5</f>
        <v>2110.5</v>
      </c>
      <c r="R180" s="67" t="s">
        <v>873</v>
      </c>
      <c r="S180" s="68">
        <f>2097.08</f>
        <v>2097.08</v>
      </c>
      <c r="T180" s="65">
        <f>21490</f>
        <v>21490</v>
      </c>
      <c r="U180" s="65">
        <f>40</f>
        <v>40</v>
      </c>
      <c r="V180" s="65">
        <f>45619910</f>
        <v>45619910</v>
      </c>
      <c r="W180" s="65">
        <f>83920</f>
        <v>83920</v>
      </c>
      <c r="X180" s="69">
        <f>20</f>
        <v>20</v>
      </c>
    </row>
    <row r="181" spans="1:24">
      <c r="A181" s="60" t="s">
        <v>956</v>
      </c>
      <c r="B181" s="60" t="s">
        <v>610</v>
      </c>
      <c r="C181" s="60" t="s">
        <v>611</v>
      </c>
      <c r="D181" s="60" t="s">
        <v>612</v>
      </c>
      <c r="E181" s="61" t="s">
        <v>46</v>
      </c>
      <c r="F181" s="62" t="s">
        <v>46</v>
      </c>
      <c r="G181" s="63" t="s">
        <v>46</v>
      </c>
      <c r="H181" s="64"/>
      <c r="I181" s="64" t="s">
        <v>47</v>
      </c>
      <c r="J181" s="65">
        <v>100</v>
      </c>
      <c r="K181" s="66">
        <f>96</f>
        <v>96</v>
      </c>
      <c r="L181" s="67" t="s">
        <v>853</v>
      </c>
      <c r="M181" s="66">
        <f>106</f>
        <v>106</v>
      </c>
      <c r="N181" s="67" t="s">
        <v>856</v>
      </c>
      <c r="O181" s="66">
        <f>93</f>
        <v>93</v>
      </c>
      <c r="P181" s="67" t="s">
        <v>96</v>
      </c>
      <c r="Q181" s="66">
        <f>98.1</f>
        <v>98.1</v>
      </c>
      <c r="R181" s="67" t="s">
        <v>873</v>
      </c>
      <c r="S181" s="68">
        <f>98.69</f>
        <v>98.69</v>
      </c>
      <c r="T181" s="65">
        <f>3693700</f>
        <v>3693700</v>
      </c>
      <c r="U181" s="65" t="str">
        <f>"－"</f>
        <v>－</v>
      </c>
      <c r="V181" s="65">
        <f>366850270</f>
        <v>366850270</v>
      </c>
      <c r="W181" s="65" t="str">
        <f>"－"</f>
        <v>－</v>
      </c>
      <c r="X181" s="69">
        <f>20</f>
        <v>20</v>
      </c>
    </row>
    <row r="182" spans="1:24">
      <c r="A182" s="60" t="s">
        <v>956</v>
      </c>
      <c r="B182" s="60" t="s">
        <v>614</v>
      </c>
      <c r="C182" s="60" t="s">
        <v>615</v>
      </c>
      <c r="D182" s="60" t="s">
        <v>616</v>
      </c>
      <c r="E182" s="61" t="s">
        <v>46</v>
      </c>
      <c r="F182" s="62" t="s">
        <v>46</v>
      </c>
      <c r="G182" s="63" t="s">
        <v>46</v>
      </c>
      <c r="H182" s="64"/>
      <c r="I182" s="64" t="s">
        <v>47</v>
      </c>
      <c r="J182" s="65">
        <v>100</v>
      </c>
      <c r="K182" s="66">
        <f>124</f>
        <v>124</v>
      </c>
      <c r="L182" s="67" t="s">
        <v>853</v>
      </c>
      <c r="M182" s="66">
        <f>127</f>
        <v>127</v>
      </c>
      <c r="N182" s="67" t="s">
        <v>856</v>
      </c>
      <c r="O182" s="66">
        <f>118</f>
        <v>118</v>
      </c>
      <c r="P182" s="67" t="s">
        <v>859</v>
      </c>
      <c r="Q182" s="66">
        <f>123.5</f>
        <v>123.5</v>
      </c>
      <c r="R182" s="67" t="s">
        <v>873</v>
      </c>
      <c r="S182" s="68">
        <f>123.55</f>
        <v>123.55</v>
      </c>
      <c r="T182" s="65">
        <f>1873400</f>
        <v>1873400</v>
      </c>
      <c r="U182" s="65" t="str">
        <f>"－"</f>
        <v>－</v>
      </c>
      <c r="V182" s="65">
        <f>231449640</f>
        <v>231449640</v>
      </c>
      <c r="W182" s="65" t="str">
        <f>"－"</f>
        <v>－</v>
      </c>
      <c r="X182" s="69">
        <f>20</f>
        <v>20</v>
      </c>
    </row>
    <row r="183" spans="1:24">
      <c r="A183" s="60" t="s">
        <v>956</v>
      </c>
      <c r="B183" s="60" t="s">
        <v>617</v>
      </c>
      <c r="C183" s="60" t="s">
        <v>618</v>
      </c>
      <c r="D183" s="60" t="s">
        <v>619</v>
      </c>
      <c r="E183" s="61" t="s">
        <v>46</v>
      </c>
      <c r="F183" s="62" t="s">
        <v>46</v>
      </c>
      <c r="G183" s="63" t="s">
        <v>46</v>
      </c>
      <c r="H183" s="64"/>
      <c r="I183" s="64" t="s">
        <v>47</v>
      </c>
      <c r="J183" s="65">
        <v>10</v>
      </c>
      <c r="K183" s="66">
        <f>2638</f>
        <v>2638</v>
      </c>
      <c r="L183" s="67" t="s">
        <v>853</v>
      </c>
      <c r="M183" s="66">
        <f>2718</f>
        <v>2718</v>
      </c>
      <c r="N183" s="67" t="s">
        <v>613</v>
      </c>
      <c r="O183" s="66">
        <f>2489</f>
        <v>2489</v>
      </c>
      <c r="P183" s="67" t="s">
        <v>96</v>
      </c>
      <c r="Q183" s="66">
        <f>2570</f>
        <v>2570</v>
      </c>
      <c r="R183" s="67" t="s">
        <v>873</v>
      </c>
      <c r="S183" s="68">
        <f>2615.5</f>
        <v>2615.5</v>
      </c>
      <c r="T183" s="65">
        <f>41210</f>
        <v>41210</v>
      </c>
      <c r="U183" s="65">
        <f>20</f>
        <v>20</v>
      </c>
      <c r="V183" s="65">
        <f>108181720</f>
        <v>108181720</v>
      </c>
      <c r="W183" s="65">
        <f>53290</f>
        <v>53290</v>
      </c>
      <c r="X183" s="69">
        <f>20</f>
        <v>20</v>
      </c>
    </row>
    <row r="184" spans="1:24">
      <c r="A184" s="60" t="s">
        <v>956</v>
      </c>
      <c r="B184" s="60" t="s">
        <v>620</v>
      </c>
      <c r="C184" s="60" t="s">
        <v>621</v>
      </c>
      <c r="D184" s="60" t="s">
        <v>622</v>
      </c>
      <c r="E184" s="61" t="s">
        <v>46</v>
      </c>
      <c r="F184" s="62" t="s">
        <v>46</v>
      </c>
      <c r="G184" s="63" t="s">
        <v>46</v>
      </c>
      <c r="H184" s="64"/>
      <c r="I184" s="64" t="s">
        <v>47</v>
      </c>
      <c r="J184" s="65">
        <v>10</v>
      </c>
      <c r="K184" s="66">
        <f>1913</f>
        <v>1913</v>
      </c>
      <c r="L184" s="67" t="s">
        <v>853</v>
      </c>
      <c r="M184" s="66">
        <f>1913</f>
        <v>1913</v>
      </c>
      <c r="N184" s="67" t="s">
        <v>853</v>
      </c>
      <c r="O184" s="66">
        <f>1779</f>
        <v>1779</v>
      </c>
      <c r="P184" s="67" t="s">
        <v>873</v>
      </c>
      <c r="Q184" s="66">
        <f>1779</f>
        <v>1779</v>
      </c>
      <c r="R184" s="67" t="s">
        <v>873</v>
      </c>
      <c r="S184" s="68">
        <f>1864.05</f>
        <v>1864.05</v>
      </c>
      <c r="T184" s="65">
        <f>22220</f>
        <v>22220</v>
      </c>
      <c r="U184" s="65">
        <f>50</f>
        <v>50</v>
      </c>
      <c r="V184" s="65">
        <f>41182020</f>
        <v>41182020</v>
      </c>
      <c r="W184" s="65">
        <f>94240</f>
        <v>94240</v>
      </c>
      <c r="X184" s="69">
        <f>20</f>
        <v>20</v>
      </c>
    </row>
    <row r="185" spans="1:24">
      <c r="A185" s="60" t="s">
        <v>956</v>
      </c>
      <c r="B185" s="60" t="s">
        <v>623</v>
      </c>
      <c r="C185" s="60" t="s">
        <v>624</v>
      </c>
      <c r="D185" s="60" t="s">
        <v>625</v>
      </c>
      <c r="E185" s="61" t="s">
        <v>46</v>
      </c>
      <c r="F185" s="62" t="s">
        <v>46</v>
      </c>
      <c r="G185" s="63" t="s">
        <v>46</v>
      </c>
      <c r="H185" s="64"/>
      <c r="I185" s="64" t="s">
        <v>47</v>
      </c>
      <c r="J185" s="65">
        <v>10</v>
      </c>
      <c r="K185" s="66">
        <f>228</f>
        <v>228</v>
      </c>
      <c r="L185" s="67" t="s">
        <v>853</v>
      </c>
      <c r="M185" s="66">
        <f>231</f>
        <v>231</v>
      </c>
      <c r="N185" s="67" t="s">
        <v>857</v>
      </c>
      <c r="O185" s="66">
        <f>195.4</f>
        <v>195.4</v>
      </c>
      <c r="P185" s="67" t="s">
        <v>873</v>
      </c>
      <c r="Q185" s="66">
        <f>195.5</f>
        <v>195.5</v>
      </c>
      <c r="R185" s="67" t="s">
        <v>873</v>
      </c>
      <c r="S185" s="68">
        <f>221.69</f>
        <v>221.69</v>
      </c>
      <c r="T185" s="65">
        <f>116565700</f>
        <v>116565700</v>
      </c>
      <c r="U185" s="65">
        <f>380580</f>
        <v>380580</v>
      </c>
      <c r="V185" s="65">
        <f>25695552343</f>
        <v>25695552343</v>
      </c>
      <c r="W185" s="65">
        <f>84937959</f>
        <v>84937959</v>
      </c>
      <c r="X185" s="69">
        <f>20</f>
        <v>20</v>
      </c>
    </row>
    <row r="186" spans="1:24">
      <c r="A186" s="60" t="s">
        <v>956</v>
      </c>
      <c r="B186" s="60" t="s">
        <v>626</v>
      </c>
      <c r="C186" s="60" t="s">
        <v>627</v>
      </c>
      <c r="D186" s="60" t="s">
        <v>628</v>
      </c>
      <c r="E186" s="61" t="s">
        <v>46</v>
      </c>
      <c r="F186" s="62" t="s">
        <v>46</v>
      </c>
      <c r="G186" s="63" t="s">
        <v>46</v>
      </c>
      <c r="H186" s="64"/>
      <c r="I186" s="64" t="s">
        <v>629</v>
      </c>
      <c r="J186" s="65">
        <v>1</v>
      </c>
      <c r="K186" s="66">
        <f>9250</f>
        <v>9250</v>
      </c>
      <c r="L186" s="67" t="s">
        <v>853</v>
      </c>
      <c r="M186" s="66">
        <f>9710</f>
        <v>9710</v>
      </c>
      <c r="N186" s="67" t="s">
        <v>857</v>
      </c>
      <c r="O186" s="66">
        <f>7800</f>
        <v>7800</v>
      </c>
      <c r="P186" s="67" t="s">
        <v>873</v>
      </c>
      <c r="Q186" s="66">
        <f>7880</f>
        <v>7880</v>
      </c>
      <c r="R186" s="67" t="s">
        <v>873</v>
      </c>
      <c r="S186" s="68">
        <f>9003.45</f>
        <v>9003.4500000000007</v>
      </c>
      <c r="T186" s="65">
        <f>14339</f>
        <v>14339</v>
      </c>
      <c r="U186" s="65" t="str">
        <f>"－"</f>
        <v>－</v>
      </c>
      <c r="V186" s="65">
        <f>129862712</f>
        <v>129862712</v>
      </c>
      <c r="W186" s="65" t="str">
        <f>"－"</f>
        <v>－</v>
      </c>
      <c r="X186" s="69">
        <f>20</f>
        <v>20</v>
      </c>
    </row>
    <row r="187" spans="1:24">
      <c r="A187" s="60" t="s">
        <v>956</v>
      </c>
      <c r="B187" s="60" t="s">
        <v>630</v>
      </c>
      <c r="C187" s="60" t="s">
        <v>631</v>
      </c>
      <c r="D187" s="60" t="s">
        <v>632</v>
      </c>
      <c r="E187" s="61" t="s">
        <v>46</v>
      </c>
      <c r="F187" s="62" t="s">
        <v>46</v>
      </c>
      <c r="G187" s="63" t="s">
        <v>46</v>
      </c>
      <c r="H187" s="64"/>
      <c r="I187" s="64" t="s">
        <v>629</v>
      </c>
      <c r="J187" s="65">
        <v>1</v>
      </c>
      <c r="K187" s="66">
        <f>5880</f>
        <v>5880</v>
      </c>
      <c r="L187" s="67" t="s">
        <v>853</v>
      </c>
      <c r="M187" s="66">
        <f>6349</f>
        <v>6349</v>
      </c>
      <c r="N187" s="67" t="s">
        <v>873</v>
      </c>
      <c r="O187" s="66">
        <f>5810</f>
        <v>5810</v>
      </c>
      <c r="P187" s="67" t="s">
        <v>131</v>
      </c>
      <c r="Q187" s="66">
        <f>6314</f>
        <v>6314</v>
      </c>
      <c r="R187" s="67" t="s">
        <v>873</v>
      </c>
      <c r="S187" s="68">
        <f>6007.25</f>
        <v>6007.25</v>
      </c>
      <c r="T187" s="65">
        <f>4643</f>
        <v>4643</v>
      </c>
      <c r="U187" s="65">
        <f>7</f>
        <v>7</v>
      </c>
      <c r="V187" s="65">
        <f>27923374</f>
        <v>27923374</v>
      </c>
      <c r="W187" s="65">
        <f>41990</f>
        <v>41990</v>
      </c>
      <c r="X187" s="69">
        <f>20</f>
        <v>20</v>
      </c>
    </row>
    <row r="188" spans="1:24">
      <c r="A188" s="60" t="s">
        <v>956</v>
      </c>
      <c r="B188" s="60" t="s">
        <v>633</v>
      </c>
      <c r="C188" s="60" t="s">
        <v>634</v>
      </c>
      <c r="D188" s="60" t="s">
        <v>635</v>
      </c>
      <c r="E188" s="61" t="s">
        <v>46</v>
      </c>
      <c r="F188" s="62" t="s">
        <v>46</v>
      </c>
      <c r="G188" s="63" t="s">
        <v>46</v>
      </c>
      <c r="H188" s="64"/>
      <c r="I188" s="64" t="s">
        <v>629</v>
      </c>
      <c r="J188" s="65">
        <v>1</v>
      </c>
      <c r="K188" s="66">
        <f>16410</f>
        <v>16410</v>
      </c>
      <c r="L188" s="67" t="s">
        <v>853</v>
      </c>
      <c r="M188" s="66">
        <f>17080</f>
        <v>17080</v>
      </c>
      <c r="N188" s="67" t="s">
        <v>856</v>
      </c>
      <c r="O188" s="66">
        <f>14900</f>
        <v>14900</v>
      </c>
      <c r="P188" s="67" t="s">
        <v>873</v>
      </c>
      <c r="Q188" s="66">
        <f>14900</f>
        <v>14900</v>
      </c>
      <c r="R188" s="67" t="s">
        <v>873</v>
      </c>
      <c r="S188" s="68">
        <f>16038.42</f>
        <v>16038.42</v>
      </c>
      <c r="T188" s="65">
        <f>1110</f>
        <v>1110</v>
      </c>
      <c r="U188" s="65">
        <f>4</f>
        <v>4</v>
      </c>
      <c r="V188" s="65">
        <f>17587365</f>
        <v>17587365</v>
      </c>
      <c r="W188" s="65">
        <f>63240</f>
        <v>63240</v>
      </c>
      <c r="X188" s="69">
        <f>19</f>
        <v>19</v>
      </c>
    </row>
    <row r="189" spans="1:24">
      <c r="A189" s="60" t="s">
        <v>956</v>
      </c>
      <c r="B189" s="60" t="s">
        <v>636</v>
      </c>
      <c r="C189" s="60" t="s">
        <v>637</v>
      </c>
      <c r="D189" s="60" t="s">
        <v>638</v>
      </c>
      <c r="E189" s="61" t="s">
        <v>46</v>
      </c>
      <c r="F189" s="62" t="s">
        <v>46</v>
      </c>
      <c r="G189" s="63" t="s">
        <v>46</v>
      </c>
      <c r="H189" s="64"/>
      <c r="I189" s="64" t="s">
        <v>629</v>
      </c>
      <c r="J189" s="65">
        <v>1</v>
      </c>
      <c r="K189" s="66">
        <f>6320</f>
        <v>6320</v>
      </c>
      <c r="L189" s="67" t="s">
        <v>853</v>
      </c>
      <c r="M189" s="66">
        <f>6430</f>
        <v>6430</v>
      </c>
      <c r="N189" s="67" t="s">
        <v>875</v>
      </c>
      <c r="O189" s="66">
        <f>6170</f>
        <v>6170</v>
      </c>
      <c r="P189" s="67" t="s">
        <v>132</v>
      </c>
      <c r="Q189" s="66">
        <f>6403</f>
        <v>6403</v>
      </c>
      <c r="R189" s="67" t="s">
        <v>873</v>
      </c>
      <c r="S189" s="68">
        <f>6297.05</f>
        <v>6297.05</v>
      </c>
      <c r="T189" s="65">
        <f>13428</f>
        <v>13428</v>
      </c>
      <c r="U189" s="65">
        <f>10</f>
        <v>10</v>
      </c>
      <c r="V189" s="65">
        <f>84673561</f>
        <v>84673561</v>
      </c>
      <c r="W189" s="65">
        <f>62660</f>
        <v>62660</v>
      </c>
      <c r="X189" s="69">
        <f>20</f>
        <v>20</v>
      </c>
    </row>
    <row r="190" spans="1:24">
      <c r="A190" s="60" t="s">
        <v>956</v>
      </c>
      <c r="B190" s="60" t="s">
        <v>639</v>
      </c>
      <c r="C190" s="60" t="s">
        <v>640</v>
      </c>
      <c r="D190" s="60" t="s">
        <v>641</v>
      </c>
      <c r="E190" s="61" t="s">
        <v>46</v>
      </c>
      <c r="F190" s="62" t="s">
        <v>46</v>
      </c>
      <c r="G190" s="63" t="s">
        <v>46</v>
      </c>
      <c r="H190" s="64" t="s">
        <v>540</v>
      </c>
      <c r="I190" s="64" t="s">
        <v>629</v>
      </c>
      <c r="J190" s="65">
        <v>1</v>
      </c>
      <c r="K190" s="66">
        <f>125</f>
        <v>125</v>
      </c>
      <c r="L190" s="67" t="s">
        <v>853</v>
      </c>
      <c r="M190" s="66">
        <f>128</f>
        <v>128</v>
      </c>
      <c r="N190" s="67" t="s">
        <v>857</v>
      </c>
      <c r="O190" s="66">
        <f>97</f>
        <v>97</v>
      </c>
      <c r="P190" s="67" t="s">
        <v>854</v>
      </c>
      <c r="Q190" s="66">
        <f>126</f>
        <v>126</v>
      </c>
      <c r="R190" s="67" t="s">
        <v>873</v>
      </c>
      <c r="S190" s="68">
        <f>115.5</f>
        <v>115.5</v>
      </c>
      <c r="T190" s="65">
        <f>14658034</f>
        <v>14658034</v>
      </c>
      <c r="U190" s="65">
        <f>3</f>
        <v>3</v>
      </c>
      <c r="V190" s="65">
        <f>1662646932</f>
        <v>1662646932</v>
      </c>
      <c r="W190" s="65">
        <f>342</f>
        <v>342</v>
      </c>
      <c r="X190" s="69">
        <f>20</f>
        <v>20</v>
      </c>
    </row>
    <row r="191" spans="1:24">
      <c r="A191" s="60" t="s">
        <v>956</v>
      </c>
      <c r="B191" s="60" t="s">
        <v>642</v>
      </c>
      <c r="C191" s="60" t="s">
        <v>643</v>
      </c>
      <c r="D191" s="60" t="s">
        <v>644</v>
      </c>
      <c r="E191" s="61" t="s">
        <v>46</v>
      </c>
      <c r="F191" s="62" t="s">
        <v>46</v>
      </c>
      <c r="G191" s="63" t="s">
        <v>46</v>
      </c>
      <c r="H191" s="64"/>
      <c r="I191" s="64" t="s">
        <v>629</v>
      </c>
      <c r="J191" s="65">
        <v>1</v>
      </c>
      <c r="K191" s="66">
        <f>18430</f>
        <v>18430</v>
      </c>
      <c r="L191" s="67" t="s">
        <v>853</v>
      </c>
      <c r="M191" s="66">
        <f>20360</f>
        <v>20360</v>
      </c>
      <c r="N191" s="67" t="s">
        <v>100</v>
      </c>
      <c r="O191" s="66">
        <f>18300</f>
        <v>18300</v>
      </c>
      <c r="P191" s="67" t="s">
        <v>48</v>
      </c>
      <c r="Q191" s="66">
        <f>18370</f>
        <v>18370</v>
      </c>
      <c r="R191" s="67" t="s">
        <v>873</v>
      </c>
      <c r="S191" s="68">
        <f>19267.25</f>
        <v>19267.25</v>
      </c>
      <c r="T191" s="65">
        <f>35994</f>
        <v>35994</v>
      </c>
      <c r="U191" s="65">
        <f>10</f>
        <v>10</v>
      </c>
      <c r="V191" s="65">
        <f>698995170</f>
        <v>698995170</v>
      </c>
      <c r="W191" s="65">
        <f>194580</f>
        <v>194580</v>
      </c>
      <c r="X191" s="69">
        <f>20</f>
        <v>20</v>
      </c>
    </row>
    <row r="192" spans="1:24">
      <c r="A192" s="60" t="s">
        <v>956</v>
      </c>
      <c r="B192" s="60" t="s">
        <v>645</v>
      </c>
      <c r="C192" s="60" t="s">
        <v>646</v>
      </c>
      <c r="D192" s="60" t="s">
        <v>647</v>
      </c>
      <c r="E192" s="61" t="s">
        <v>46</v>
      </c>
      <c r="F192" s="62" t="s">
        <v>46</v>
      </c>
      <c r="G192" s="63" t="s">
        <v>46</v>
      </c>
      <c r="H192" s="64"/>
      <c r="I192" s="64" t="s">
        <v>629</v>
      </c>
      <c r="J192" s="65">
        <v>1</v>
      </c>
      <c r="K192" s="66">
        <f>5380</f>
        <v>5380</v>
      </c>
      <c r="L192" s="67" t="s">
        <v>853</v>
      </c>
      <c r="M192" s="66">
        <f>5410</f>
        <v>5410</v>
      </c>
      <c r="N192" s="67" t="s">
        <v>853</v>
      </c>
      <c r="O192" s="66">
        <f>5070</f>
        <v>5070</v>
      </c>
      <c r="P192" s="67" t="s">
        <v>100</v>
      </c>
      <c r="Q192" s="66">
        <f>5314</f>
        <v>5314</v>
      </c>
      <c r="R192" s="67" t="s">
        <v>873</v>
      </c>
      <c r="S192" s="68">
        <f>5234.2</f>
        <v>5234.2</v>
      </c>
      <c r="T192" s="65">
        <f>14653</f>
        <v>14653</v>
      </c>
      <c r="U192" s="65">
        <f>6</f>
        <v>6</v>
      </c>
      <c r="V192" s="65">
        <f>76850250</f>
        <v>76850250</v>
      </c>
      <c r="W192" s="65">
        <f>31230</f>
        <v>31230</v>
      </c>
      <c r="X192" s="69">
        <f>20</f>
        <v>20</v>
      </c>
    </row>
    <row r="193" spans="1:24">
      <c r="A193" s="60" t="s">
        <v>956</v>
      </c>
      <c r="B193" s="60" t="s">
        <v>648</v>
      </c>
      <c r="C193" s="60" t="s">
        <v>649</v>
      </c>
      <c r="D193" s="60" t="s">
        <v>650</v>
      </c>
      <c r="E193" s="61" t="s">
        <v>46</v>
      </c>
      <c r="F193" s="62" t="s">
        <v>46</v>
      </c>
      <c r="G193" s="63" t="s">
        <v>46</v>
      </c>
      <c r="H193" s="64"/>
      <c r="I193" s="64" t="s">
        <v>629</v>
      </c>
      <c r="J193" s="65">
        <v>1</v>
      </c>
      <c r="K193" s="66">
        <f>826</f>
        <v>826</v>
      </c>
      <c r="L193" s="67" t="s">
        <v>853</v>
      </c>
      <c r="M193" s="66">
        <f>850</f>
        <v>850</v>
      </c>
      <c r="N193" s="67" t="s">
        <v>857</v>
      </c>
      <c r="O193" s="66">
        <f>638</f>
        <v>638</v>
      </c>
      <c r="P193" s="67" t="s">
        <v>873</v>
      </c>
      <c r="Q193" s="66">
        <f>641</f>
        <v>641</v>
      </c>
      <c r="R193" s="67" t="s">
        <v>873</v>
      </c>
      <c r="S193" s="68">
        <f>792.25</f>
        <v>792.25</v>
      </c>
      <c r="T193" s="65">
        <f>161649336</f>
        <v>161649336</v>
      </c>
      <c r="U193" s="65">
        <f>300000</f>
        <v>300000</v>
      </c>
      <c r="V193" s="65">
        <f>127122411698</f>
        <v>127122411698</v>
      </c>
      <c r="W193" s="65">
        <f>260100000</f>
        <v>260100000</v>
      </c>
      <c r="X193" s="69">
        <f>20</f>
        <v>20</v>
      </c>
    </row>
    <row r="194" spans="1:24">
      <c r="A194" s="60" t="s">
        <v>956</v>
      </c>
      <c r="B194" s="60" t="s">
        <v>651</v>
      </c>
      <c r="C194" s="60" t="s">
        <v>652</v>
      </c>
      <c r="D194" s="60" t="s">
        <v>653</v>
      </c>
      <c r="E194" s="61" t="s">
        <v>46</v>
      </c>
      <c r="F194" s="62" t="s">
        <v>46</v>
      </c>
      <c r="G194" s="63" t="s">
        <v>46</v>
      </c>
      <c r="H194" s="64"/>
      <c r="I194" s="64" t="s">
        <v>629</v>
      </c>
      <c r="J194" s="65">
        <v>1</v>
      </c>
      <c r="K194" s="66">
        <f>2696</f>
        <v>2696</v>
      </c>
      <c r="L194" s="67" t="s">
        <v>853</v>
      </c>
      <c r="M194" s="66">
        <f>2940</f>
        <v>2940</v>
      </c>
      <c r="N194" s="67" t="s">
        <v>873</v>
      </c>
      <c r="O194" s="66">
        <f>2635</f>
        <v>2635</v>
      </c>
      <c r="P194" s="67" t="s">
        <v>176</v>
      </c>
      <c r="Q194" s="66">
        <f>2938</f>
        <v>2938</v>
      </c>
      <c r="R194" s="67" t="s">
        <v>873</v>
      </c>
      <c r="S194" s="68">
        <f>2728.8</f>
        <v>2728.8</v>
      </c>
      <c r="T194" s="65">
        <f>1399308</f>
        <v>1399308</v>
      </c>
      <c r="U194" s="65">
        <f>215</f>
        <v>215</v>
      </c>
      <c r="V194" s="65">
        <f>3842739691</f>
        <v>3842739691</v>
      </c>
      <c r="W194" s="65">
        <f>588168</f>
        <v>588168</v>
      </c>
      <c r="X194" s="69">
        <f>20</f>
        <v>20</v>
      </c>
    </row>
    <row r="195" spans="1:24">
      <c r="A195" s="60" t="s">
        <v>956</v>
      </c>
      <c r="B195" s="60" t="s">
        <v>654</v>
      </c>
      <c r="C195" s="60" t="s">
        <v>655</v>
      </c>
      <c r="D195" s="60" t="s">
        <v>656</v>
      </c>
      <c r="E195" s="61" t="s">
        <v>46</v>
      </c>
      <c r="F195" s="62" t="s">
        <v>46</v>
      </c>
      <c r="G195" s="63" t="s">
        <v>46</v>
      </c>
      <c r="H195" s="64"/>
      <c r="I195" s="64" t="s">
        <v>629</v>
      </c>
      <c r="J195" s="65">
        <v>1</v>
      </c>
      <c r="K195" s="66">
        <f>32900</f>
        <v>32900</v>
      </c>
      <c r="L195" s="67" t="s">
        <v>853</v>
      </c>
      <c r="M195" s="66">
        <f>33900</f>
        <v>33900</v>
      </c>
      <c r="N195" s="67" t="s">
        <v>859</v>
      </c>
      <c r="O195" s="66">
        <f>31210</f>
        <v>31210</v>
      </c>
      <c r="P195" s="67" t="s">
        <v>873</v>
      </c>
      <c r="Q195" s="66">
        <f>31370</f>
        <v>31370</v>
      </c>
      <c r="R195" s="67" t="s">
        <v>873</v>
      </c>
      <c r="S195" s="68">
        <f>33050</f>
        <v>33050</v>
      </c>
      <c r="T195" s="65">
        <f>110298</f>
        <v>110298</v>
      </c>
      <c r="U195" s="65">
        <f>9</f>
        <v>9</v>
      </c>
      <c r="V195" s="65">
        <f>3622685660</f>
        <v>3622685660</v>
      </c>
      <c r="W195" s="65">
        <f>296950</f>
        <v>296950</v>
      </c>
      <c r="X195" s="69">
        <f>20</f>
        <v>20</v>
      </c>
    </row>
    <row r="196" spans="1:24">
      <c r="A196" s="60" t="s">
        <v>956</v>
      </c>
      <c r="B196" s="60" t="s">
        <v>657</v>
      </c>
      <c r="C196" s="60" t="s">
        <v>658</v>
      </c>
      <c r="D196" s="60" t="s">
        <v>659</v>
      </c>
      <c r="E196" s="61" t="s">
        <v>46</v>
      </c>
      <c r="F196" s="62" t="s">
        <v>46</v>
      </c>
      <c r="G196" s="63" t="s">
        <v>46</v>
      </c>
      <c r="H196" s="64"/>
      <c r="I196" s="64" t="s">
        <v>629</v>
      </c>
      <c r="J196" s="65">
        <v>1</v>
      </c>
      <c r="K196" s="66">
        <f>2830</f>
        <v>2830</v>
      </c>
      <c r="L196" s="67" t="s">
        <v>853</v>
      </c>
      <c r="M196" s="66">
        <f>2902</f>
        <v>2902</v>
      </c>
      <c r="N196" s="67" t="s">
        <v>873</v>
      </c>
      <c r="O196" s="66">
        <f>2800</f>
        <v>2800</v>
      </c>
      <c r="P196" s="67" t="s">
        <v>859</v>
      </c>
      <c r="Q196" s="66">
        <f>2900</f>
        <v>2900</v>
      </c>
      <c r="R196" s="67" t="s">
        <v>873</v>
      </c>
      <c r="S196" s="68">
        <f>2830.05</f>
        <v>2830.05</v>
      </c>
      <c r="T196" s="65">
        <f>430519</f>
        <v>430519</v>
      </c>
      <c r="U196" s="65">
        <f>9</f>
        <v>9</v>
      </c>
      <c r="V196" s="65">
        <f>1222539440</f>
        <v>1222539440</v>
      </c>
      <c r="W196" s="65">
        <f>25467</f>
        <v>25467</v>
      </c>
      <c r="X196" s="69">
        <f>20</f>
        <v>20</v>
      </c>
    </row>
    <row r="197" spans="1:24">
      <c r="A197" s="60" t="s">
        <v>956</v>
      </c>
      <c r="B197" s="60" t="s">
        <v>660</v>
      </c>
      <c r="C197" s="60" t="s">
        <v>661</v>
      </c>
      <c r="D197" s="60" t="s">
        <v>662</v>
      </c>
      <c r="E197" s="61" t="s">
        <v>46</v>
      </c>
      <c r="F197" s="62" t="s">
        <v>46</v>
      </c>
      <c r="G197" s="63" t="s">
        <v>46</v>
      </c>
      <c r="H197" s="64"/>
      <c r="I197" s="64" t="s">
        <v>629</v>
      </c>
      <c r="J197" s="65">
        <v>1</v>
      </c>
      <c r="K197" s="66">
        <f>12010</f>
        <v>12010</v>
      </c>
      <c r="L197" s="67" t="s">
        <v>853</v>
      </c>
      <c r="M197" s="66">
        <f>12840</f>
        <v>12840</v>
      </c>
      <c r="N197" s="67" t="s">
        <v>855</v>
      </c>
      <c r="O197" s="66">
        <f>11455</f>
        <v>11455</v>
      </c>
      <c r="P197" s="67" t="s">
        <v>873</v>
      </c>
      <c r="Q197" s="66">
        <f>11550</f>
        <v>11550</v>
      </c>
      <c r="R197" s="67" t="s">
        <v>873</v>
      </c>
      <c r="S197" s="68">
        <f>12191.5</f>
        <v>12191.5</v>
      </c>
      <c r="T197" s="65">
        <f>48620</f>
        <v>48620</v>
      </c>
      <c r="U197" s="65">
        <f>3615</f>
        <v>3615</v>
      </c>
      <c r="V197" s="65">
        <f>598974600</f>
        <v>598974600</v>
      </c>
      <c r="W197" s="65">
        <f>45362530</f>
        <v>45362530</v>
      </c>
      <c r="X197" s="69">
        <f>20</f>
        <v>20</v>
      </c>
    </row>
    <row r="198" spans="1:24">
      <c r="A198" s="60" t="s">
        <v>956</v>
      </c>
      <c r="B198" s="60" t="s">
        <v>663</v>
      </c>
      <c r="C198" s="60" t="s">
        <v>664</v>
      </c>
      <c r="D198" s="60" t="s">
        <v>665</v>
      </c>
      <c r="E198" s="61" t="s">
        <v>46</v>
      </c>
      <c r="F198" s="62" t="s">
        <v>46</v>
      </c>
      <c r="G198" s="63" t="s">
        <v>46</v>
      </c>
      <c r="H198" s="64"/>
      <c r="I198" s="64" t="s">
        <v>629</v>
      </c>
      <c r="J198" s="65">
        <v>1</v>
      </c>
      <c r="K198" s="66">
        <f>13960</f>
        <v>13960</v>
      </c>
      <c r="L198" s="67" t="s">
        <v>853</v>
      </c>
      <c r="M198" s="66">
        <f>14050</f>
        <v>14050</v>
      </c>
      <c r="N198" s="67" t="s">
        <v>855</v>
      </c>
      <c r="O198" s="66">
        <f>13590</f>
        <v>13590</v>
      </c>
      <c r="P198" s="67" t="s">
        <v>69</v>
      </c>
      <c r="Q198" s="66">
        <f>13600</f>
        <v>13600</v>
      </c>
      <c r="R198" s="67" t="s">
        <v>50</v>
      </c>
      <c r="S198" s="68">
        <f>13794</f>
        <v>13794</v>
      </c>
      <c r="T198" s="65">
        <f>452</f>
        <v>452</v>
      </c>
      <c r="U198" s="65">
        <f>4</f>
        <v>4</v>
      </c>
      <c r="V198" s="65">
        <f>6240990</f>
        <v>6240990</v>
      </c>
      <c r="W198" s="65">
        <f>55440</f>
        <v>55440</v>
      </c>
      <c r="X198" s="69">
        <f>15</f>
        <v>15</v>
      </c>
    </row>
    <row r="199" spans="1:24">
      <c r="A199" s="60" t="s">
        <v>956</v>
      </c>
      <c r="B199" s="60" t="s">
        <v>666</v>
      </c>
      <c r="C199" s="60" t="s">
        <v>667</v>
      </c>
      <c r="D199" s="60" t="s">
        <v>668</v>
      </c>
      <c r="E199" s="61" t="s">
        <v>46</v>
      </c>
      <c r="F199" s="62" t="s">
        <v>46</v>
      </c>
      <c r="G199" s="63" t="s">
        <v>46</v>
      </c>
      <c r="H199" s="64"/>
      <c r="I199" s="64" t="s">
        <v>629</v>
      </c>
      <c r="J199" s="65">
        <v>1</v>
      </c>
      <c r="K199" s="66">
        <f>19950</f>
        <v>19950</v>
      </c>
      <c r="L199" s="67" t="s">
        <v>853</v>
      </c>
      <c r="M199" s="66">
        <f>20700</f>
        <v>20700</v>
      </c>
      <c r="N199" s="67" t="s">
        <v>855</v>
      </c>
      <c r="O199" s="66">
        <f>19740</f>
        <v>19740</v>
      </c>
      <c r="P199" s="67" t="s">
        <v>873</v>
      </c>
      <c r="Q199" s="66">
        <f>19740</f>
        <v>19740</v>
      </c>
      <c r="R199" s="67" t="s">
        <v>873</v>
      </c>
      <c r="S199" s="68">
        <f>20258.25</f>
        <v>20258.25</v>
      </c>
      <c r="T199" s="65">
        <f>18885</f>
        <v>18885</v>
      </c>
      <c r="U199" s="65">
        <f>3</f>
        <v>3</v>
      </c>
      <c r="V199" s="65">
        <f>381279415</f>
        <v>381279415</v>
      </c>
      <c r="W199" s="65">
        <f>60830</f>
        <v>60830</v>
      </c>
      <c r="X199" s="69">
        <f>20</f>
        <v>20</v>
      </c>
    </row>
    <row r="200" spans="1:24">
      <c r="A200" s="60" t="s">
        <v>956</v>
      </c>
      <c r="B200" s="60" t="s">
        <v>669</v>
      </c>
      <c r="C200" s="60" t="s">
        <v>670</v>
      </c>
      <c r="D200" s="60" t="s">
        <v>671</v>
      </c>
      <c r="E200" s="61" t="s">
        <v>46</v>
      </c>
      <c r="F200" s="62" t="s">
        <v>46</v>
      </c>
      <c r="G200" s="63" t="s">
        <v>46</v>
      </c>
      <c r="H200" s="64"/>
      <c r="I200" s="64" t="s">
        <v>629</v>
      </c>
      <c r="J200" s="65">
        <v>1</v>
      </c>
      <c r="K200" s="66">
        <f>14740</f>
        <v>14740</v>
      </c>
      <c r="L200" s="67" t="s">
        <v>853</v>
      </c>
      <c r="M200" s="66">
        <f>14740</f>
        <v>14740</v>
      </c>
      <c r="N200" s="67" t="s">
        <v>853</v>
      </c>
      <c r="O200" s="66">
        <f>14110</f>
        <v>14110</v>
      </c>
      <c r="P200" s="67" t="s">
        <v>860</v>
      </c>
      <c r="Q200" s="66">
        <f>14200</f>
        <v>14200</v>
      </c>
      <c r="R200" s="67" t="s">
        <v>50</v>
      </c>
      <c r="S200" s="68">
        <f>14307.27</f>
        <v>14307.27</v>
      </c>
      <c r="T200" s="65">
        <f>321</f>
        <v>321</v>
      </c>
      <c r="U200" s="65">
        <f>2</f>
        <v>2</v>
      </c>
      <c r="V200" s="65">
        <f>4617500</f>
        <v>4617500</v>
      </c>
      <c r="W200" s="65">
        <f>28630</f>
        <v>28630</v>
      </c>
      <c r="X200" s="69">
        <f>11</f>
        <v>11</v>
      </c>
    </row>
    <row r="201" spans="1:24">
      <c r="A201" s="60" t="s">
        <v>956</v>
      </c>
      <c r="B201" s="60" t="s">
        <v>672</v>
      </c>
      <c r="C201" s="60" t="s">
        <v>673</v>
      </c>
      <c r="D201" s="60" t="s">
        <v>674</v>
      </c>
      <c r="E201" s="61" t="s">
        <v>46</v>
      </c>
      <c r="F201" s="62" t="s">
        <v>46</v>
      </c>
      <c r="G201" s="63" t="s">
        <v>46</v>
      </c>
      <c r="H201" s="64"/>
      <c r="I201" s="64" t="s">
        <v>629</v>
      </c>
      <c r="J201" s="65">
        <v>1</v>
      </c>
      <c r="K201" s="66">
        <f>18500</f>
        <v>18500</v>
      </c>
      <c r="L201" s="67" t="s">
        <v>853</v>
      </c>
      <c r="M201" s="66">
        <f>20050</f>
        <v>20050</v>
      </c>
      <c r="N201" s="67" t="s">
        <v>69</v>
      </c>
      <c r="O201" s="66">
        <f>16755</f>
        <v>16755</v>
      </c>
      <c r="P201" s="67" t="s">
        <v>50</v>
      </c>
      <c r="Q201" s="66">
        <f>17100</f>
        <v>17100</v>
      </c>
      <c r="R201" s="67" t="s">
        <v>873</v>
      </c>
      <c r="S201" s="68">
        <f>18949.5</f>
        <v>18949.5</v>
      </c>
      <c r="T201" s="65">
        <f>114445</f>
        <v>114445</v>
      </c>
      <c r="U201" s="65">
        <f>33</f>
        <v>33</v>
      </c>
      <c r="V201" s="65">
        <f>2157505805</f>
        <v>2157505805</v>
      </c>
      <c r="W201" s="65">
        <f>639200</f>
        <v>639200</v>
      </c>
      <c r="X201" s="69">
        <f>20</f>
        <v>20</v>
      </c>
    </row>
    <row r="202" spans="1:24">
      <c r="A202" s="60" t="s">
        <v>956</v>
      </c>
      <c r="B202" s="60" t="s">
        <v>675</v>
      </c>
      <c r="C202" s="60" t="s">
        <v>676</v>
      </c>
      <c r="D202" s="60" t="s">
        <v>677</v>
      </c>
      <c r="E202" s="61" t="s">
        <v>46</v>
      </c>
      <c r="F202" s="62" t="s">
        <v>46</v>
      </c>
      <c r="G202" s="63" t="s">
        <v>46</v>
      </c>
      <c r="H202" s="64"/>
      <c r="I202" s="64" t="s">
        <v>629</v>
      </c>
      <c r="J202" s="65">
        <v>1</v>
      </c>
      <c r="K202" s="66">
        <f>4090</f>
        <v>4090</v>
      </c>
      <c r="L202" s="67" t="s">
        <v>853</v>
      </c>
      <c r="M202" s="66">
        <f>4305</f>
        <v>4305</v>
      </c>
      <c r="N202" s="67" t="s">
        <v>50</v>
      </c>
      <c r="O202" s="66">
        <f>3830</f>
        <v>3830</v>
      </c>
      <c r="P202" s="67" t="s">
        <v>69</v>
      </c>
      <c r="Q202" s="66">
        <f>4100</f>
        <v>4100</v>
      </c>
      <c r="R202" s="67" t="s">
        <v>873</v>
      </c>
      <c r="S202" s="68">
        <f>3958.5</f>
        <v>3958.5</v>
      </c>
      <c r="T202" s="65">
        <f>16451</f>
        <v>16451</v>
      </c>
      <c r="U202" s="65">
        <f>4</f>
        <v>4</v>
      </c>
      <c r="V202" s="65">
        <f>65469170</f>
        <v>65469170</v>
      </c>
      <c r="W202" s="65">
        <f>15635</f>
        <v>15635</v>
      </c>
      <c r="X202" s="69">
        <f>20</f>
        <v>20</v>
      </c>
    </row>
    <row r="203" spans="1:24">
      <c r="A203" s="60" t="s">
        <v>956</v>
      </c>
      <c r="B203" s="60" t="s">
        <v>678</v>
      </c>
      <c r="C203" s="60" t="s">
        <v>679</v>
      </c>
      <c r="D203" s="60" t="s">
        <v>680</v>
      </c>
      <c r="E203" s="61" t="s">
        <v>46</v>
      </c>
      <c r="F203" s="62" t="s">
        <v>46</v>
      </c>
      <c r="G203" s="63" t="s">
        <v>46</v>
      </c>
      <c r="H203" s="64"/>
      <c r="I203" s="64" t="s">
        <v>629</v>
      </c>
      <c r="J203" s="65">
        <v>1</v>
      </c>
      <c r="K203" s="66">
        <f>11910</f>
        <v>11910</v>
      </c>
      <c r="L203" s="67" t="s">
        <v>857</v>
      </c>
      <c r="M203" s="66">
        <f>11910</f>
        <v>11910</v>
      </c>
      <c r="N203" s="67" t="s">
        <v>857</v>
      </c>
      <c r="O203" s="66">
        <f>11010</f>
        <v>11010</v>
      </c>
      <c r="P203" s="67" t="s">
        <v>873</v>
      </c>
      <c r="Q203" s="66">
        <f>11010</f>
        <v>11010</v>
      </c>
      <c r="R203" s="67" t="s">
        <v>873</v>
      </c>
      <c r="S203" s="68">
        <f>11603.57</f>
        <v>11603.57</v>
      </c>
      <c r="T203" s="65">
        <f>413</f>
        <v>413</v>
      </c>
      <c r="U203" s="65">
        <f>1</f>
        <v>1</v>
      </c>
      <c r="V203" s="65">
        <f>4812460</f>
        <v>4812460</v>
      </c>
      <c r="W203" s="65">
        <f>11690</f>
        <v>11690</v>
      </c>
      <c r="X203" s="69">
        <f>14</f>
        <v>14</v>
      </c>
    </row>
    <row r="204" spans="1:24">
      <c r="A204" s="60" t="s">
        <v>956</v>
      </c>
      <c r="B204" s="60" t="s">
        <v>681</v>
      </c>
      <c r="C204" s="60" t="s">
        <v>682</v>
      </c>
      <c r="D204" s="60" t="s">
        <v>683</v>
      </c>
      <c r="E204" s="61" t="s">
        <v>46</v>
      </c>
      <c r="F204" s="62" t="s">
        <v>46</v>
      </c>
      <c r="G204" s="63" t="s">
        <v>46</v>
      </c>
      <c r="H204" s="64"/>
      <c r="I204" s="64" t="s">
        <v>629</v>
      </c>
      <c r="J204" s="65">
        <v>1</v>
      </c>
      <c r="K204" s="66">
        <f>13020</f>
        <v>13020</v>
      </c>
      <c r="L204" s="67" t="s">
        <v>48</v>
      </c>
      <c r="M204" s="66">
        <f>13020</f>
        <v>13020</v>
      </c>
      <c r="N204" s="67" t="s">
        <v>48</v>
      </c>
      <c r="O204" s="66">
        <f>12125</f>
        <v>12125</v>
      </c>
      <c r="P204" s="67" t="s">
        <v>50</v>
      </c>
      <c r="Q204" s="66">
        <f>12125</f>
        <v>12125</v>
      </c>
      <c r="R204" s="67" t="s">
        <v>873</v>
      </c>
      <c r="S204" s="68">
        <f>12508.33</f>
        <v>12508.33</v>
      </c>
      <c r="T204" s="65">
        <f>22</f>
        <v>22</v>
      </c>
      <c r="U204" s="65" t="str">
        <f>"－"</f>
        <v>－</v>
      </c>
      <c r="V204" s="65">
        <f>277290</f>
        <v>277290</v>
      </c>
      <c r="W204" s="65" t="str">
        <f>"－"</f>
        <v>－</v>
      </c>
      <c r="X204" s="69">
        <f>6</f>
        <v>6</v>
      </c>
    </row>
    <row r="205" spans="1:24">
      <c r="A205" s="60" t="s">
        <v>956</v>
      </c>
      <c r="B205" s="60" t="s">
        <v>684</v>
      </c>
      <c r="C205" s="60" t="s">
        <v>685</v>
      </c>
      <c r="D205" s="60" t="s">
        <v>686</v>
      </c>
      <c r="E205" s="61" t="s">
        <v>46</v>
      </c>
      <c r="F205" s="62" t="s">
        <v>46</v>
      </c>
      <c r="G205" s="63" t="s">
        <v>46</v>
      </c>
      <c r="H205" s="64"/>
      <c r="I205" s="64" t="s">
        <v>629</v>
      </c>
      <c r="J205" s="65">
        <v>1</v>
      </c>
      <c r="K205" s="66">
        <f>13470</f>
        <v>13470</v>
      </c>
      <c r="L205" s="67" t="s">
        <v>857</v>
      </c>
      <c r="M205" s="66">
        <f>13810</f>
        <v>13810</v>
      </c>
      <c r="N205" s="67" t="s">
        <v>48</v>
      </c>
      <c r="O205" s="66">
        <f>12800</f>
        <v>12800</v>
      </c>
      <c r="P205" s="67" t="s">
        <v>50</v>
      </c>
      <c r="Q205" s="66">
        <f>12800</f>
        <v>12800</v>
      </c>
      <c r="R205" s="67" t="s">
        <v>50</v>
      </c>
      <c r="S205" s="68">
        <f>13360</f>
        <v>13360</v>
      </c>
      <c r="T205" s="65">
        <f>76</f>
        <v>76</v>
      </c>
      <c r="U205" s="65" t="str">
        <f>"－"</f>
        <v>－</v>
      </c>
      <c r="V205" s="65">
        <f>1017290</f>
        <v>1017290</v>
      </c>
      <c r="W205" s="65" t="str">
        <f>"－"</f>
        <v>－</v>
      </c>
      <c r="X205" s="69">
        <f>7</f>
        <v>7</v>
      </c>
    </row>
    <row r="206" spans="1:24">
      <c r="A206" s="60" t="s">
        <v>956</v>
      </c>
      <c r="B206" s="60" t="s">
        <v>687</v>
      </c>
      <c r="C206" s="60" t="s">
        <v>688</v>
      </c>
      <c r="D206" s="60" t="s">
        <v>689</v>
      </c>
      <c r="E206" s="61" t="s">
        <v>46</v>
      </c>
      <c r="F206" s="62" t="s">
        <v>46</v>
      </c>
      <c r="G206" s="63" t="s">
        <v>46</v>
      </c>
      <c r="H206" s="64"/>
      <c r="I206" s="64" t="s">
        <v>629</v>
      </c>
      <c r="J206" s="65">
        <v>1</v>
      </c>
      <c r="K206" s="66" t="str">
        <f>"－"</f>
        <v>－</v>
      </c>
      <c r="L206" s="67"/>
      <c r="M206" s="66" t="str">
        <f>"－"</f>
        <v>－</v>
      </c>
      <c r="N206" s="67"/>
      <c r="O206" s="66" t="str">
        <f>"－"</f>
        <v>－</v>
      </c>
      <c r="P206" s="67"/>
      <c r="Q206" s="66" t="str">
        <f>"－"</f>
        <v>－</v>
      </c>
      <c r="R206" s="67"/>
      <c r="S206" s="68" t="str">
        <f>"－"</f>
        <v>－</v>
      </c>
      <c r="T206" s="65">
        <f>1</f>
        <v>1</v>
      </c>
      <c r="U206" s="65">
        <f>1</f>
        <v>1</v>
      </c>
      <c r="V206" s="65">
        <f>14580</f>
        <v>14580</v>
      </c>
      <c r="W206" s="65">
        <f>14580</f>
        <v>14580</v>
      </c>
      <c r="X206" s="69" t="str">
        <f>"－"</f>
        <v>－</v>
      </c>
    </row>
    <row r="207" spans="1:24">
      <c r="A207" s="60" t="s">
        <v>956</v>
      </c>
      <c r="B207" s="60" t="s">
        <v>690</v>
      </c>
      <c r="C207" s="60" t="s">
        <v>691</v>
      </c>
      <c r="D207" s="60" t="s">
        <v>692</v>
      </c>
      <c r="E207" s="61" t="s">
        <v>46</v>
      </c>
      <c r="F207" s="62" t="s">
        <v>46</v>
      </c>
      <c r="G207" s="63" t="s">
        <v>46</v>
      </c>
      <c r="H207" s="64"/>
      <c r="I207" s="64" t="s">
        <v>629</v>
      </c>
      <c r="J207" s="65">
        <v>1</v>
      </c>
      <c r="K207" s="66">
        <f>13150</f>
        <v>13150</v>
      </c>
      <c r="L207" s="67" t="s">
        <v>853</v>
      </c>
      <c r="M207" s="66">
        <f>13280</f>
        <v>13280</v>
      </c>
      <c r="N207" s="67" t="s">
        <v>48</v>
      </c>
      <c r="O207" s="66">
        <f>12380</f>
        <v>12380</v>
      </c>
      <c r="P207" s="67" t="s">
        <v>873</v>
      </c>
      <c r="Q207" s="66">
        <f>12380</f>
        <v>12380</v>
      </c>
      <c r="R207" s="67" t="s">
        <v>873</v>
      </c>
      <c r="S207" s="68">
        <f>12993.33</f>
        <v>12993.33</v>
      </c>
      <c r="T207" s="65">
        <f>1228</f>
        <v>1228</v>
      </c>
      <c r="U207" s="65">
        <f>1</f>
        <v>1</v>
      </c>
      <c r="V207" s="65">
        <f>15920520</f>
        <v>15920520</v>
      </c>
      <c r="W207" s="65">
        <f>13120</f>
        <v>13120</v>
      </c>
      <c r="X207" s="69">
        <f>15</f>
        <v>15</v>
      </c>
    </row>
    <row r="208" spans="1:24">
      <c r="A208" s="60" t="s">
        <v>956</v>
      </c>
      <c r="B208" s="60" t="s">
        <v>693</v>
      </c>
      <c r="C208" s="60" t="s">
        <v>694</v>
      </c>
      <c r="D208" s="60" t="s">
        <v>695</v>
      </c>
      <c r="E208" s="61" t="s">
        <v>46</v>
      </c>
      <c r="F208" s="62" t="s">
        <v>46</v>
      </c>
      <c r="G208" s="63" t="s">
        <v>46</v>
      </c>
      <c r="H208" s="64"/>
      <c r="I208" s="64" t="s">
        <v>629</v>
      </c>
      <c r="J208" s="65">
        <v>1</v>
      </c>
      <c r="K208" s="66">
        <f>14070</f>
        <v>14070</v>
      </c>
      <c r="L208" s="67" t="s">
        <v>875</v>
      </c>
      <c r="M208" s="66">
        <f>14210</f>
        <v>14210</v>
      </c>
      <c r="N208" s="67" t="s">
        <v>613</v>
      </c>
      <c r="O208" s="66">
        <f>14070</f>
        <v>14070</v>
      </c>
      <c r="P208" s="67" t="s">
        <v>875</v>
      </c>
      <c r="Q208" s="66">
        <f>14210</f>
        <v>14210</v>
      </c>
      <c r="R208" s="67" t="s">
        <v>613</v>
      </c>
      <c r="S208" s="68">
        <f>14140</f>
        <v>14140</v>
      </c>
      <c r="T208" s="65">
        <f>11</f>
        <v>11</v>
      </c>
      <c r="U208" s="65">
        <f>1</f>
        <v>1</v>
      </c>
      <c r="V208" s="65">
        <f>155230</f>
        <v>155230</v>
      </c>
      <c r="W208" s="65">
        <f>14040</f>
        <v>14040</v>
      </c>
      <c r="X208" s="69">
        <f>3</f>
        <v>3</v>
      </c>
    </row>
    <row r="209" spans="1:24">
      <c r="A209" s="60" t="s">
        <v>956</v>
      </c>
      <c r="B209" s="60" t="s">
        <v>696</v>
      </c>
      <c r="C209" s="60" t="s">
        <v>697</v>
      </c>
      <c r="D209" s="60" t="s">
        <v>698</v>
      </c>
      <c r="E209" s="61" t="s">
        <v>46</v>
      </c>
      <c r="F209" s="62" t="s">
        <v>46</v>
      </c>
      <c r="G209" s="63" t="s">
        <v>46</v>
      </c>
      <c r="H209" s="64"/>
      <c r="I209" s="64" t="s">
        <v>629</v>
      </c>
      <c r="J209" s="65">
        <v>1</v>
      </c>
      <c r="K209" s="66">
        <f>13620</f>
        <v>13620</v>
      </c>
      <c r="L209" s="67" t="s">
        <v>48</v>
      </c>
      <c r="M209" s="66">
        <f>13620</f>
        <v>13620</v>
      </c>
      <c r="N209" s="67" t="s">
        <v>48</v>
      </c>
      <c r="O209" s="66">
        <f>13480</f>
        <v>13480</v>
      </c>
      <c r="P209" s="67" t="s">
        <v>48</v>
      </c>
      <c r="Q209" s="66">
        <f>13480</f>
        <v>13480</v>
      </c>
      <c r="R209" s="67" t="s">
        <v>48</v>
      </c>
      <c r="S209" s="68">
        <f>13480</f>
        <v>13480</v>
      </c>
      <c r="T209" s="65">
        <f>200</f>
        <v>200</v>
      </c>
      <c r="U209" s="65" t="str">
        <f>"－"</f>
        <v>－</v>
      </c>
      <c r="V209" s="65">
        <f>2710000</f>
        <v>2710000</v>
      </c>
      <c r="W209" s="65" t="str">
        <f>"－"</f>
        <v>－</v>
      </c>
      <c r="X209" s="69">
        <f>1</f>
        <v>1</v>
      </c>
    </row>
    <row r="210" spans="1:24">
      <c r="A210" s="60" t="s">
        <v>956</v>
      </c>
      <c r="B210" s="60" t="s">
        <v>699</v>
      </c>
      <c r="C210" s="60" t="s">
        <v>700</v>
      </c>
      <c r="D210" s="60" t="s">
        <v>701</v>
      </c>
      <c r="E210" s="61" t="s">
        <v>46</v>
      </c>
      <c r="F210" s="62" t="s">
        <v>46</v>
      </c>
      <c r="G210" s="63" t="s">
        <v>46</v>
      </c>
      <c r="H210" s="64"/>
      <c r="I210" s="64" t="s">
        <v>629</v>
      </c>
      <c r="J210" s="65">
        <v>1</v>
      </c>
      <c r="K210" s="66">
        <f>10680</f>
        <v>10680</v>
      </c>
      <c r="L210" s="67" t="s">
        <v>48</v>
      </c>
      <c r="M210" s="66">
        <f>10680</f>
        <v>10680</v>
      </c>
      <c r="N210" s="67" t="s">
        <v>48</v>
      </c>
      <c r="O210" s="66">
        <f>10430</f>
        <v>10430</v>
      </c>
      <c r="P210" s="67" t="s">
        <v>875</v>
      </c>
      <c r="Q210" s="66">
        <f>10550</f>
        <v>10550</v>
      </c>
      <c r="R210" s="67" t="s">
        <v>132</v>
      </c>
      <c r="S210" s="68">
        <f>10546.67</f>
        <v>10546.67</v>
      </c>
      <c r="T210" s="65">
        <f>2752</f>
        <v>2752</v>
      </c>
      <c r="U210" s="65">
        <f>1</f>
        <v>1</v>
      </c>
      <c r="V210" s="65">
        <f>29001590</f>
        <v>29001590</v>
      </c>
      <c r="W210" s="65">
        <f>10480</f>
        <v>10480</v>
      </c>
      <c r="X210" s="69">
        <f>9</f>
        <v>9</v>
      </c>
    </row>
    <row r="211" spans="1:24">
      <c r="A211" s="60" t="s">
        <v>956</v>
      </c>
      <c r="B211" s="60" t="s">
        <v>702</v>
      </c>
      <c r="C211" s="60" t="s">
        <v>703</v>
      </c>
      <c r="D211" s="60" t="s">
        <v>704</v>
      </c>
      <c r="E211" s="61" t="s">
        <v>46</v>
      </c>
      <c r="F211" s="62" t="s">
        <v>46</v>
      </c>
      <c r="G211" s="63" t="s">
        <v>46</v>
      </c>
      <c r="H211" s="64"/>
      <c r="I211" s="64" t="s">
        <v>629</v>
      </c>
      <c r="J211" s="65">
        <v>1</v>
      </c>
      <c r="K211" s="66">
        <f>12220</f>
        <v>12220</v>
      </c>
      <c r="L211" s="67" t="s">
        <v>853</v>
      </c>
      <c r="M211" s="66">
        <f>12410</f>
        <v>12410</v>
      </c>
      <c r="N211" s="67" t="s">
        <v>69</v>
      </c>
      <c r="O211" s="66">
        <f>11650</f>
        <v>11650</v>
      </c>
      <c r="P211" s="67" t="s">
        <v>50</v>
      </c>
      <c r="Q211" s="66">
        <f>11685</f>
        <v>11685</v>
      </c>
      <c r="R211" s="67" t="s">
        <v>873</v>
      </c>
      <c r="S211" s="68">
        <f>12156.75</f>
        <v>12156.75</v>
      </c>
      <c r="T211" s="65">
        <f>51601</f>
        <v>51601</v>
      </c>
      <c r="U211" s="65">
        <f>4</f>
        <v>4</v>
      </c>
      <c r="V211" s="65">
        <f>627389790</f>
        <v>627389790</v>
      </c>
      <c r="W211" s="65">
        <f>48315</f>
        <v>48315</v>
      </c>
      <c r="X211" s="69">
        <f>20</f>
        <v>20</v>
      </c>
    </row>
    <row r="212" spans="1:24">
      <c r="A212" s="60" t="s">
        <v>956</v>
      </c>
      <c r="B212" s="60" t="s">
        <v>705</v>
      </c>
      <c r="C212" s="60" t="s">
        <v>706</v>
      </c>
      <c r="D212" s="60" t="s">
        <v>707</v>
      </c>
      <c r="E212" s="61" t="s">
        <v>46</v>
      </c>
      <c r="F212" s="62" t="s">
        <v>46</v>
      </c>
      <c r="G212" s="63" t="s">
        <v>46</v>
      </c>
      <c r="H212" s="64"/>
      <c r="I212" s="64" t="s">
        <v>629</v>
      </c>
      <c r="J212" s="65">
        <v>1</v>
      </c>
      <c r="K212" s="66">
        <f>10430</f>
        <v>10430</v>
      </c>
      <c r="L212" s="67" t="s">
        <v>853</v>
      </c>
      <c r="M212" s="66">
        <f>10530</f>
        <v>10530</v>
      </c>
      <c r="N212" s="67" t="s">
        <v>84</v>
      </c>
      <c r="O212" s="66">
        <f>9896</f>
        <v>9896</v>
      </c>
      <c r="P212" s="67" t="s">
        <v>50</v>
      </c>
      <c r="Q212" s="66">
        <f>9900</f>
        <v>9900</v>
      </c>
      <c r="R212" s="67" t="s">
        <v>873</v>
      </c>
      <c r="S212" s="68">
        <f>10273.57</f>
        <v>10273.57</v>
      </c>
      <c r="T212" s="65">
        <f>9180</f>
        <v>9180</v>
      </c>
      <c r="U212" s="65">
        <f>12</f>
        <v>12</v>
      </c>
      <c r="V212" s="65">
        <f>94604780</f>
        <v>94604780</v>
      </c>
      <c r="W212" s="65">
        <f>124260</f>
        <v>124260</v>
      </c>
      <c r="X212" s="69">
        <f>14</f>
        <v>14</v>
      </c>
    </row>
    <row r="213" spans="1:24">
      <c r="A213" s="60" t="s">
        <v>956</v>
      </c>
      <c r="B213" s="60" t="s">
        <v>708</v>
      </c>
      <c r="C213" s="60" t="s">
        <v>709</v>
      </c>
      <c r="D213" s="60" t="s">
        <v>710</v>
      </c>
      <c r="E213" s="61" t="s">
        <v>46</v>
      </c>
      <c r="F213" s="62" t="s">
        <v>46</v>
      </c>
      <c r="G213" s="63" t="s">
        <v>46</v>
      </c>
      <c r="H213" s="64"/>
      <c r="I213" s="64" t="s">
        <v>47</v>
      </c>
      <c r="J213" s="65">
        <v>10</v>
      </c>
      <c r="K213" s="66">
        <f>992</f>
        <v>992</v>
      </c>
      <c r="L213" s="67" t="s">
        <v>853</v>
      </c>
      <c r="M213" s="66">
        <f>995</f>
        <v>995</v>
      </c>
      <c r="N213" s="67" t="s">
        <v>84</v>
      </c>
      <c r="O213" s="66">
        <f>991</f>
        <v>991</v>
      </c>
      <c r="P213" s="67" t="s">
        <v>853</v>
      </c>
      <c r="Q213" s="66">
        <f>994</f>
        <v>994</v>
      </c>
      <c r="R213" s="67" t="s">
        <v>873</v>
      </c>
      <c r="S213" s="68">
        <f>993.35</f>
        <v>993.35</v>
      </c>
      <c r="T213" s="65">
        <f>5533170</f>
        <v>5533170</v>
      </c>
      <c r="U213" s="65">
        <f>2882760</f>
        <v>2882760</v>
      </c>
      <c r="V213" s="65">
        <f>5499293018</f>
        <v>5499293018</v>
      </c>
      <c r="W213" s="65">
        <f>2865583086</f>
        <v>2865583086</v>
      </c>
      <c r="X213" s="69">
        <f>20</f>
        <v>20</v>
      </c>
    </row>
    <row r="214" spans="1:24">
      <c r="A214" s="60" t="s">
        <v>956</v>
      </c>
      <c r="B214" s="60" t="s">
        <v>711</v>
      </c>
      <c r="C214" s="60" t="s">
        <v>712</v>
      </c>
      <c r="D214" s="60" t="s">
        <v>713</v>
      </c>
      <c r="E214" s="61" t="s">
        <v>46</v>
      </c>
      <c r="F214" s="62" t="s">
        <v>46</v>
      </c>
      <c r="G214" s="63" t="s">
        <v>46</v>
      </c>
      <c r="H214" s="64"/>
      <c r="I214" s="64" t="s">
        <v>47</v>
      </c>
      <c r="J214" s="65">
        <v>10</v>
      </c>
      <c r="K214" s="66">
        <f>1026</f>
        <v>1026</v>
      </c>
      <c r="L214" s="67" t="s">
        <v>853</v>
      </c>
      <c r="M214" s="66">
        <f>1032</f>
        <v>1032</v>
      </c>
      <c r="N214" s="67" t="s">
        <v>96</v>
      </c>
      <c r="O214" s="66">
        <f>1015.5</f>
        <v>1015.5</v>
      </c>
      <c r="P214" s="67" t="s">
        <v>50</v>
      </c>
      <c r="Q214" s="66">
        <f>1018</f>
        <v>1018</v>
      </c>
      <c r="R214" s="67" t="s">
        <v>873</v>
      </c>
      <c r="S214" s="68">
        <f>1025.03</f>
        <v>1025.03</v>
      </c>
      <c r="T214" s="65">
        <f>2003410</f>
        <v>2003410</v>
      </c>
      <c r="U214" s="65">
        <f>822210</f>
        <v>822210</v>
      </c>
      <c r="V214" s="65">
        <f>2051486060</f>
        <v>2051486060</v>
      </c>
      <c r="W214" s="65">
        <f>841542355</f>
        <v>841542355</v>
      </c>
      <c r="X214" s="69">
        <f>20</f>
        <v>20</v>
      </c>
    </row>
    <row r="215" spans="1:24">
      <c r="A215" s="60" t="s">
        <v>956</v>
      </c>
      <c r="B215" s="60" t="s">
        <v>714</v>
      </c>
      <c r="C215" s="60" t="s">
        <v>715</v>
      </c>
      <c r="D215" s="60" t="s">
        <v>716</v>
      </c>
      <c r="E215" s="61" t="s">
        <v>46</v>
      </c>
      <c r="F215" s="62" t="s">
        <v>46</v>
      </c>
      <c r="G215" s="63" t="s">
        <v>46</v>
      </c>
      <c r="H215" s="64"/>
      <c r="I215" s="64" t="s">
        <v>47</v>
      </c>
      <c r="J215" s="65">
        <v>10</v>
      </c>
      <c r="K215" s="66">
        <f>1013</f>
        <v>1013</v>
      </c>
      <c r="L215" s="67" t="s">
        <v>853</v>
      </c>
      <c r="M215" s="66">
        <f>1024</f>
        <v>1024</v>
      </c>
      <c r="N215" s="67" t="s">
        <v>860</v>
      </c>
      <c r="O215" s="66">
        <f>1008</f>
        <v>1008</v>
      </c>
      <c r="P215" s="67" t="s">
        <v>853</v>
      </c>
      <c r="Q215" s="66">
        <f>1021</f>
        <v>1021</v>
      </c>
      <c r="R215" s="67" t="s">
        <v>873</v>
      </c>
      <c r="S215" s="68">
        <f>1016.08</f>
        <v>1016.08</v>
      </c>
      <c r="T215" s="65">
        <f>9864500</f>
        <v>9864500</v>
      </c>
      <c r="U215" s="65">
        <f>6229560</f>
        <v>6229560</v>
      </c>
      <c r="V215" s="65">
        <f>10030982072</f>
        <v>10030982072</v>
      </c>
      <c r="W215" s="65">
        <f>6338280277</f>
        <v>6338280277</v>
      </c>
      <c r="X215" s="69">
        <f>20</f>
        <v>20</v>
      </c>
    </row>
    <row r="216" spans="1:24">
      <c r="A216" s="60" t="s">
        <v>956</v>
      </c>
      <c r="B216" s="60" t="s">
        <v>717</v>
      </c>
      <c r="C216" s="60" t="s">
        <v>718</v>
      </c>
      <c r="D216" s="60" t="s">
        <v>719</v>
      </c>
      <c r="E216" s="61" t="s">
        <v>46</v>
      </c>
      <c r="F216" s="62" t="s">
        <v>46</v>
      </c>
      <c r="G216" s="63" t="s">
        <v>46</v>
      </c>
      <c r="H216" s="64"/>
      <c r="I216" s="64" t="s">
        <v>47</v>
      </c>
      <c r="J216" s="65">
        <v>10</v>
      </c>
      <c r="K216" s="66">
        <f>1647</f>
        <v>1647</v>
      </c>
      <c r="L216" s="67" t="s">
        <v>853</v>
      </c>
      <c r="M216" s="66">
        <f>1681</f>
        <v>1681</v>
      </c>
      <c r="N216" s="67" t="s">
        <v>855</v>
      </c>
      <c r="O216" s="66">
        <f>1603</f>
        <v>1603</v>
      </c>
      <c r="P216" s="67" t="s">
        <v>873</v>
      </c>
      <c r="Q216" s="66">
        <f>1632</f>
        <v>1632</v>
      </c>
      <c r="R216" s="67" t="s">
        <v>873</v>
      </c>
      <c r="S216" s="68">
        <f>1655.23</f>
        <v>1655.23</v>
      </c>
      <c r="T216" s="65">
        <f>2353670</f>
        <v>2353670</v>
      </c>
      <c r="U216" s="65">
        <f>1186430</f>
        <v>1186430</v>
      </c>
      <c r="V216" s="65">
        <f>3891778314</f>
        <v>3891778314</v>
      </c>
      <c r="W216" s="65">
        <f>1956287849</f>
        <v>1956287849</v>
      </c>
      <c r="X216" s="69">
        <f>20</f>
        <v>20</v>
      </c>
    </row>
    <row r="217" spans="1:24">
      <c r="A217" s="60" t="s">
        <v>956</v>
      </c>
      <c r="B217" s="60" t="s">
        <v>720</v>
      </c>
      <c r="C217" s="60" t="s">
        <v>721</v>
      </c>
      <c r="D217" s="60" t="s">
        <v>722</v>
      </c>
      <c r="E217" s="61" t="s">
        <v>46</v>
      </c>
      <c r="F217" s="62" t="s">
        <v>46</v>
      </c>
      <c r="G217" s="63" t="s">
        <v>46</v>
      </c>
      <c r="H217" s="64"/>
      <c r="I217" s="64" t="s">
        <v>47</v>
      </c>
      <c r="J217" s="65">
        <v>10</v>
      </c>
      <c r="K217" s="66">
        <f>1557</f>
        <v>1557</v>
      </c>
      <c r="L217" s="67" t="s">
        <v>853</v>
      </c>
      <c r="M217" s="66">
        <f>1594</f>
        <v>1594</v>
      </c>
      <c r="N217" s="67" t="s">
        <v>613</v>
      </c>
      <c r="O217" s="66">
        <f>1540</f>
        <v>1540</v>
      </c>
      <c r="P217" s="67" t="s">
        <v>50</v>
      </c>
      <c r="Q217" s="66">
        <f>1542.5</f>
        <v>1542.5</v>
      </c>
      <c r="R217" s="67" t="s">
        <v>873</v>
      </c>
      <c r="S217" s="68">
        <f>1572.58</f>
        <v>1572.58</v>
      </c>
      <c r="T217" s="65">
        <f>502090</f>
        <v>502090</v>
      </c>
      <c r="U217" s="65">
        <f>80</f>
        <v>80</v>
      </c>
      <c r="V217" s="65">
        <f>789526670</f>
        <v>789526670</v>
      </c>
      <c r="W217" s="65">
        <f>126300</f>
        <v>126300</v>
      </c>
      <c r="X217" s="69">
        <f>20</f>
        <v>20</v>
      </c>
    </row>
    <row r="218" spans="1:24">
      <c r="A218" s="60" t="s">
        <v>956</v>
      </c>
      <c r="B218" s="60" t="s">
        <v>723</v>
      </c>
      <c r="C218" s="60" t="s">
        <v>724</v>
      </c>
      <c r="D218" s="60" t="s">
        <v>725</v>
      </c>
      <c r="E218" s="61" t="s">
        <v>46</v>
      </c>
      <c r="F218" s="62" t="s">
        <v>46</v>
      </c>
      <c r="G218" s="63" t="s">
        <v>46</v>
      </c>
      <c r="H218" s="64"/>
      <c r="I218" s="64" t="s">
        <v>47</v>
      </c>
      <c r="J218" s="65">
        <v>10</v>
      </c>
      <c r="K218" s="66">
        <f>1248</f>
        <v>1248</v>
      </c>
      <c r="L218" s="67" t="s">
        <v>853</v>
      </c>
      <c r="M218" s="66">
        <f>1303</f>
        <v>1303</v>
      </c>
      <c r="N218" s="67" t="s">
        <v>176</v>
      </c>
      <c r="O218" s="66">
        <f>1242</f>
        <v>1242</v>
      </c>
      <c r="P218" s="67" t="s">
        <v>857</v>
      </c>
      <c r="Q218" s="66">
        <f>1244</f>
        <v>1244</v>
      </c>
      <c r="R218" s="67" t="s">
        <v>873</v>
      </c>
      <c r="S218" s="68">
        <f>1264.48</f>
        <v>1264.48</v>
      </c>
      <c r="T218" s="65">
        <f>1987270</f>
        <v>1987270</v>
      </c>
      <c r="U218" s="65">
        <f>1455300</f>
        <v>1455300</v>
      </c>
      <c r="V218" s="65">
        <f>2540586197</f>
        <v>2540586197</v>
      </c>
      <c r="W218" s="65">
        <f>1866722582</f>
        <v>1866722582</v>
      </c>
      <c r="X218" s="69">
        <f>20</f>
        <v>20</v>
      </c>
    </row>
    <row r="219" spans="1:24">
      <c r="A219" s="60" t="s">
        <v>956</v>
      </c>
      <c r="B219" s="60" t="s">
        <v>726</v>
      </c>
      <c r="C219" s="60" t="s">
        <v>727</v>
      </c>
      <c r="D219" s="60" t="s">
        <v>728</v>
      </c>
      <c r="E219" s="61" t="s">
        <v>46</v>
      </c>
      <c r="F219" s="62" t="s">
        <v>46</v>
      </c>
      <c r="G219" s="63" t="s">
        <v>46</v>
      </c>
      <c r="H219" s="64"/>
      <c r="I219" s="64" t="s">
        <v>47</v>
      </c>
      <c r="J219" s="65">
        <v>10</v>
      </c>
      <c r="K219" s="66">
        <f>871</f>
        <v>871</v>
      </c>
      <c r="L219" s="67" t="s">
        <v>853</v>
      </c>
      <c r="M219" s="66">
        <f>925</f>
        <v>925</v>
      </c>
      <c r="N219" s="67" t="s">
        <v>855</v>
      </c>
      <c r="O219" s="66">
        <f>821</f>
        <v>821</v>
      </c>
      <c r="P219" s="67" t="s">
        <v>873</v>
      </c>
      <c r="Q219" s="66">
        <f>823.3</f>
        <v>823.3</v>
      </c>
      <c r="R219" s="67" t="s">
        <v>873</v>
      </c>
      <c r="S219" s="68">
        <f>879.33</f>
        <v>879.33</v>
      </c>
      <c r="T219" s="65">
        <f>14638230</f>
        <v>14638230</v>
      </c>
      <c r="U219" s="65">
        <f>386460</f>
        <v>386460</v>
      </c>
      <c r="V219" s="65">
        <f>12925955189</f>
        <v>12925955189</v>
      </c>
      <c r="W219" s="65">
        <f>341310939</f>
        <v>341310939</v>
      </c>
      <c r="X219" s="69">
        <f>20</f>
        <v>20</v>
      </c>
    </row>
    <row r="220" spans="1:24">
      <c r="A220" s="60" t="s">
        <v>956</v>
      </c>
      <c r="B220" s="60" t="s">
        <v>729</v>
      </c>
      <c r="C220" s="60" t="s">
        <v>730</v>
      </c>
      <c r="D220" s="60" t="s">
        <v>731</v>
      </c>
      <c r="E220" s="61" t="s">
        <v>46</v>
      </c>
      <c r="F220" s="62" t="s">
        <v>46</v>
      </c>
      <c r="G220" s="63" t="s">
        <v>46</v>
      </c>
      <c r="H220" s="64"/>
      <c r="I220" s="64" t="s">
        <v>47</v>
      </c>
      <c r="J220" s="65">
        <v>10</v>
      </c>
      <c r="K220" s="66">
        <f>1225</f>
        <v>1225</v>
      </c>
      <c r="L220" s="67" t="s">
        <v>853</v>
      </c>
      <c r="M220" s="66">
        <f>1226</f>
        <v>1226</v>
      </c>
      <c r="N220" s="67" t="s">
        <v>84</v>
      </c>
      <c r="O220" s="66">
        <f>1167</f>
        <v>1167</v>
      </c>
      <c r="P220" s="67" t="s">
        <v>50</v>
      </c>
      <c r="Q220" s="66">
        <f>1170</f>
        <v>1170</v>
      </c>
      <c r="R220" s="67" t="s">
        <v>873</v>
      </c>
      <c r="S220" s="68">
        <f>1201.7</f>
        <v>1201.7</v>
      </c>
      <c r="T220" s="65">
        <f>430910</f>
        <v>430910</v>
      </c>
      <c r="U220" s="65">
        <f>200750</f>
        <v>200750</v>
      </c>
      <c r="V220" s="65">
        <f>519704021</f>
        <v>519704021</v>
      </c>
      <c r="W220" s="65">
        <f>244263501</f>
        <v>244263501</v>
      </c>
      <c r="X220" s="69">
        <f>20</f>
        <v>20</v>
      </c>
    </row>
    <row r="221" spans="1:24">
      <c r="A221" s="60" t="s">
        <v>956</v>
      </c>
      <c r="B221" s="60" t="s">
        <v>732</v>
      </c>
      <c r="C221" s="60" t="s">
        <v>733</v>
      </c>
      <c r="D221" s="60" t="s">
        <v>734</v>
      </c>
      <c r="E221" s="61" t="s">
        <v>46</v>
      </c>
      <c r="F221" s="62" t="s">
        <v>46</v>
      </c>
      <c r="G221" s="63" t="s">
        <v>46</v>
      </c>
      <c r="H221" s="64"/>
      <c r="I221" s="64" t="s">
        <v>47</v>
      </c>
      <c r="J221" s="65">
        <v>1</v>
      </c>
      <c r="K221" s="66">
        <f>1180</f>
        <v>1180</v>
      </c>
      <c r="L221" s="67" t="s">
        <v>853</v>
      </c>
      <c r="M221" s="66">
        <f>1196</f>
        <v>1196</v>
      </c>
      <c r="N221" s="67" t="s">
        <v>855</v>
      </c>
      <c r="O221" s="66">
        <f>1116</f>
        <v>1116</v>
      </c>
      <c r="P221" s="67" t="s">
        <v>873</v>
      </c>
      <c r="Q221" s="66">
        <f>1116</f>
        <v>1116</v>
      </c>
      <c r="R221" s="67" t="s">
        <v>873</v>
      </c>
      <c r="S221" s="68">
        <f>1169.55</f>
        <v>1169.55</v>
      </c>
      <c r="T221" s="65">
        <f>319889</f>
        <v>319889</v>
      </c>
      <c r="U221" s="65">
        <f>44006</f>
        <v>44006</v>
      </c>
      <c r="V221" s="65">
        <f>374367835</f>
        <v>374367835</v>
      </c>
      <c r="W221" s="65">
        <f>51157911</f>
        <v>51157911</v>
      </c>
      <c r="X221" s="69">
        <f>20</f>
        <v>20</v>
      </c>
    </row>
    <row r="222" spans="1:24">
      <c r="A222" s="60" t="s">
        <v>956</v>
      </c>
      <c r="B222" s="60" t="s">
        <v>735</v>
      </c>
      <c r="C222" s="60" t="s">
        <v>736</v>
      </c>
      <c r="D222" s="60" t="s">
        <v>737</v>
      </c>
      <c r="E222" s="61" t="s">
        <v>46</v>
      </c>
      <c r="F222" s="62" t="s">
        <v>46</v>
      </c>
      <c r="G222" s="63" t="s">
        <v>46</v>
      </c>
      <c r="H222" s="64"/>
      <c r="I222" s="64" t="s">
        <v>47</v>
      </c>
      <c r="J222" s="65">
        <v>10</v>
      </c>
      <c r="K222" s="66">
        <f>1041</f>
        <v>1041</v>
      </c>
      <c r="L222" s="67" t="s">
        <v>853</v>
      </c>
      <c r="M222" s="66">
        <f>1060</f>
        <v>1060</v>
      </c>
      <c r="N222" s="67" t="s">
        <v>131</v>
      </c>
      <c r="O222" s="66">
        <f>1021</f>
        <v>1021</v>
      </c>
      <c r="P222" s="67" t="s">
        <v>50</v>
      </c>
      <c r="Q222" s="66">
        <f>1024.5</f>
        <v>1024.5</v>
      </c>
      <c r="R222" s="67" t="s">
        <v>873</v>
      </c>
      <c r="S222" s="68">
        <f>1048.98</f>
        <v>1048.98</v>
      </c>
      <c r="T222" s="65">
        <f>220100</f>
        <v>220100</v>
      </c>
      <c r="U222" s="65">
        <f>148270</f>
        <v>148270</v>
      </c>
      <c r="V222" s="65">
        <f>230609013</f>
        <v>230609013</v>
      </c>
      <c r="W222" s="65">
        <f>155314453</f>
        <v>155314453</v>
      </c>
      <c r="X222" s="69">
        <f>20</f>
        <v>20</v>
      </c>
    </row>
    <row r="223" spans="1:24">
      <c r="A223" s="60" t="s">
        <v>956</v>
      </c>
      <c r="B223" s="60" t="s">
        <v>738</v>
      </c>
      <c r="C223" s="60" t="s">
        <v>739</v>
      </c>
      <c r="D223" s="60" t="s">
        <v>740</v>
      </c>
      <c r="E223" s="61" t="s">
        <v>46</v>
      </c>
      <c r="F223" s="62" t="s">
        <v>46</v>
      </c>
      <c r="G223" s="63" t="s">
        <v>46</v>
      </c>
      <c r="H223" s="64"/>
      <c r="I223" s="64" t="s">
        <v>47</v>
      </c>
      <c r="J223" s="65">
        <v>10</v>
      </c>
      <c r="K223" s="66">
        <f>1255</f>
        <v>1255</v>
      </c>
      <c r="L223" s="67" t="s">
        <v>853</v>
      </c>
      <c r="M223" s="66">
        <f>1281</f>
        <v>1281</v>
      </c>
      <c r="N223" s="67" t="s">
        <v>854</v>
      </c>
      <c r="O223" s="66">
        <f>1173.5</f>
        <v>1173.5</v>
      </c>
      <c r="P223" s="67" t="s">
        <v>873</v>
      </c>
      <c r="Q223" s="66">
        <f>1173.5</f>
        <v>1173.5</v>
      </c>
      <c r="R223" s="67" t="s">
        <v>873</v>
      </c>
      <c r="S223" s="68">
        <f>1249.05</f>
        <v>1249.05</v>
      </c>
      <c r="T223" s="65">
        <f>228060</f>
        <v>228060</v>
      </c>
      <c r="U223" s="65">
        <f>94380</f>
        <v>94380</v>
      </c>
      <c r="V223" s="65">
        <f>282334131</f>
        <v>282334131</v>
      </c>
      <c r="W223" s="65">
        <f>117536666</f>
        <v>117536666</v>
      </c>
      <c r="X223" s="69">
        <f>20</f>
        <v>20</v>
      </c>
    </row>
    <row r="224" spans="1:24">
      <c r="A224" s="60" t="s">
        <v>956</v>
      </c>
      <c r="B224" s="60" t="s">
        <v>741</v>
      </c>
      <c r="C224" s="60" t="s">
        <v>742</v>
      </c>
      <c r="D224" s="60" t="s">
        <v>743</v>
      </c>
      <c r="E224" s="61" t="s">
        <v>46</v>
      </c>
      <c r="F224" s="62" t="s">
        <v>46</v>
      </c>
      <c r="G224" s="63" t="s">
        <v>46</v>
      </c>
      <c r="H224" s="64"/>
      <c r="I224" s="64" t="s">
        <v>47</v>
      </c>
      <c r="J224" s="65">
        <v>10</v>
      </c>
      <c r="K224" s="66">
        <f>1616</f>
        <v>1616</v>
      </c>
      <c r="L224" s="67" t="s">
        <v>853</v>
      </c>
      <c r="M224" s="66">
        <f>1654</f>
        <v>1654</v>
      </c>
      <c r="N224" s="67" t="s">
        <v>613</v>
      </c>
      <c r="O224" s="66">
        <f>1610</f>
        <v>1610</v>
      </c>
      <c r="P224" s="67" t="s">
        <v>857</v>
      </c>
      <c r="Q224" s="66">
        <f>1615.5</f>
        <v>1615.5</v>
      </c>
      <c r="R224" s="67" t="s">
        <v>873</v>
      </c>
      <c r="S224" s="68">
        <f>1635</f>
        <v>1635</v>
      </c>
      <c r="T224" s="65">
        <f>9698550</f>
        <v>9698550</v>
      </c>
      <c r="U224" s="65">
        <f>1653960</f>
        <v>1653960</v>
      </c>
      <c r="V224" s="65">
        <f>15858024714</f>
        <v>15858024714</v>
      </c>
      <c r="W224" s="65">
        <f>2702747399</f>
        <v>2702747399</v>
      </c>
      <c r="X224" s="69">
        <f>20</f>
        <v>20</v>
      </c>
    </row>
    <row r="225" spans="1:24">
      <c r="A225" s="60" t="s">
        <v>956</v>
      </c>
      <c r="B225" s="60" t="s">
        <v>744</v>
      </c>
      <c r="C225" s="60" t="s">
        <v>745</v>
      </c>
      <c r="D225" s="60" t="s">
        <v>746</v>
      </c>
      <c r="E225" s="61" t="s">
        <v>46</v>
      </c>
      <c r="F225" s="62" t="s">
        <v>46</v>
      </c>
      <c r="G225" s="63" t="s">
        <v>46</v>
      </c>
      <c r="H225" s="64"/>
      <c r="I225" s="64" t="s">
        <v>47</v>
      </c>
      <c r="J225" s="65">
        <v>1</v>
      </c>
      <c r="K225" s="66">
        <f>4235</f>
        <v>4235</v>
      </c>
      <c r="L225" s="67" t="s">
        <v>853</v>
      </c>
      <c r="M225" s="66">
        <f>4515</f>
        <v>4515</v>
      </c>
      <c r="N225" s="67" t="s">
        <v>855</v>
      </c>
      <c r="O225" s="66">
        <f>4200</f>
        <v>4200</v>
      </c>
      <c r="P225" s="67" t="s">
        <v>240</v>
      </c>
      <c r="Q225" s="66">
        <f>4240</f>
        <v>4240</v>
      </c>
      <c r="R225" s="67" t="s">
        <v>873</v>
      </c>
      <c r="S225" s="68">
        <f>4384.5</f>
        <v>4384.5</v>
      </c>
      <c r="T225" s="65">
        <f>101885</f>
        <v>101885</v>
      </c>
      <c r="U225" s="65">
        <f>53</f>
        <v>53</v>
      </c>
      <c r="V225" s="65">
        <f>444661205</f>
        <v>444661205</v>
      </c>
      <c r="W225" s="65">
        <f>221710</f>
        <v>221710</v>
      </c>
      <c r="X225" s="69">
        <f>20</f>
        <v>20</v>
      </c>
    </row>
    <row r="226" spans="1:24">
      <c r="A226" s="60" t="s">
        <v>956</v>
      </c>
      <c r="B226" s="60" t="s">
        <v>747</v>
      </c>
      <c r="C226" s="60" t="s">
        <v>748</v>
      </c>
      <c r="D226" s="60" t="s">
        <v>749</v>
      </c>
      <c r="E226" s="61" t="s">
        <v>46</v>
      </c>
      <c r="F226" s="62" t="s">
        <v>46</v>
      </c>
      <c r="G226" s="63" t="s">
        <v>46</v>
      </c>
      <c r="H226" s="64"/>
      <c r="I226" s="64" t="s">
        <v>47</v>
      </c>
      <c r="J226" s="65">
        <v>10</v>
      </c>
      <c r="K226" s="66">
        <f>1715</f>
        <v>1715</v>
      </c>
      <c r="L226" s="67" t="s">
        <v>853</v>
      </c>
      <c r="M226" s="66">
        <f>1744</f>
        <v>1744</v>
      </c>
      <c r="N226" s="67" t="s">
        <v>84</v>
      </c>
      <c r="O226" s="66">
        <f>1673.5</f>
        <v>1673.5</v>
      </c>
      <c r="P226" s="67" t="s">
        <v>873</v>
      </c>
      <c r="Q226" s="66">
        <f>1684.5</f>
        <v>1684.5</v>
      </c>
      <c r="R226" s="67" t="s">
        <v>873</v>
      </c>
      <c r="S226" s="68">
        <f>1723.53</f>
        <v>1723.53</v>
      </c>
      <c r="T226" s="65">
        <f>4680</f>
        <v>4680</v>
      </c>
      <c r="U226" s="65" t="str">
        <f>"－"</f>
        <v>－</v>
      </c>
      <c r="V226" s="65">
        <f>8084355</f>
        <v>8084355</v>
      </c>
      <c r="W226" s="65" t="str">
        <f>"－"</f>
        <v>－</v>
      </c>
      <c r="X226" s="69">
        <f>18</f>
        <v>18</v>
      </c>
    </row>
    <row r="227" spans="1:24">
      <c r="A227" s="60" t="s">
        <v>956</v>
      </c>
      <c r="B227" s="60" t="s">
        <v>750</v>
      </c>
      <c r="C227" s="60" t="s">
        <v>751</v>
      </c>
      <c r="D227" s="60" t="s">
        <v>752</v>
      </c>
      <c r="E227" s="61" t="s">
        <v>46</v>
      </c>
      <c r="F227" s="62" t="s">
        <v>46</v>
      </c>
      <c r="G227" s="63" t="s">
        <v>46</v>
      </c>
      <c r="H227" s="64"/>
      <c r="I227" s="64" t="s">
        <v>47</v>
      </c>
      <c r="J227" s="65">
        <v>10</v>
      </c>
      <c r="K227" s="66">
        <f>2078</f>
        <v>2078</v>
      </c>
      <c r="L227" s="67" t="s">
        <v>853</v>
      </c>
      <c r="M227" s="66">
        <f>2093</f>
        <v>2093</v>
      </c>
      <c r="N227" s="67" t="s">
        <v>48</v>
      </c>
      <c r="O227" s="66">
        <f>1974</f>
        <v>1974</v>
      </c>
      <c r="P227" s="67" t="s">
        <v>873</v>
      </c>
      <c r="Q227" s="66">
        <f>1974</f>
        <v>1974</v>
      </c>
      <c r="R227" s="67" t="s">
        <v>873</v>
      </c>
      <c r="S227" s="68">
        <f>2065.2</f>
        <v>2065.1999999999998</v>
      </c>
      <c r="T227" s="65">
        <f>193760</f>
        <v>193760</v>
      </c>
      <c r="U227" s="65" t="str">
        <f>"－"</f>
        <v>－</v>
      </c>
      <c r="V227" s="65">
        <f>401946915</f>
        <v>401946915</v>
      </c>
      <c r="W227" s="65" t="str">
        <f>"－"</f>
        <v>－</v>
      </c>
      <c r="X227" s="69">
        <f>10</f>
        <v>10</v>
      </c>
    </row>
    <row r="228" spans="1:24">
      <c r="A228" s="60" t="s">
        <v>956</v>
      </c>
      <c r="B228" s="60" t="s">
        <v>753</v>
      </c>
      <c r="C228" s="60" t="s">
        <v>754</v>
      </c>
      <c r="D228" s="60" t="s">
        <v>755</v>
      </c>
      <c r="E228" s="61" t="s">
        <v>46</v>
      </c>
      <c r="F228" s="62" t="s">
        <v>46</v>
      </c>
      <c r="G228" s="63" t="s">
        <v>46</v>
      </c>
      <c r="H228" s="64"/>
      <c r="I228" s="64" t="s">
        <v>47</v>
      </c>
      <c r="J228" s="65">
        <v>1</v>
      </c>
      <c r="K228" s="66">
        <f>29870</f>
        <v>29870</v>
      </c>
      <c r="L228" s="67" t="s">
        <v>853</v>
      </c>
      <c r="M228" s="66">
        <f>30200</f>
        <v>30200</v>
      </c>
      <c r="N228" s="67" t="s">
        <v>48</v>
      </c>
      <c r="O228" s="66">
        <f>28280</f>
        <v>28280</v>
      </c>
      <c r="P228" s="67" t="s">
        <v>873</v>
      </c>
      <c r="Q228" s="66">
        <f>28325</f>
        <v>28325</v>
      </c>
      <c r="R228" s="67" t="s">
        <v>873</v>
      </c>
      <c r="S228" s="68">
        <f>29738</f>
        <v>29738</v>
      </c>
      <c r="T228" s="65">
        <f>32408</f>
        <v>32408</v>
      </c>
      <c r="U228" s="65">
        <f>19902</f>
        <v>19902</v>
      </c>
      <c r="V228" s="65">
        <f>945987075</f>
        <v>945987075</v>
      </c>
      <c r="W228" s="65">
        <f>585741540</f>
        <v>585741540</v>
      </c>
      <c r="X228" s="69">
        <f>15</f>
        <v>15</v>
      </c>
    </row>
    <row r="229" spans="1:24">
      <c r="A229" s="60" t="s">
        <v>956</v>
      </c>
      <c r="B229" s="60" t="s">
        <v>756</v>
      </c>
      <c r="C229" s="60" t="s">
        <v>757</v>
      </c>
      <c r="D229" s="60" t="s">
        <v>758</v>
      </c>
      <c r="E229" s="61" t="s">
        <v>46</v>
      </c>
      <c r="F229" s="62" t="s">
        <v>46</v>
      </c>
      <c r="G229" s="63" t="s">
        <v>46</v>
      </c>
      <c r="H229" s="64"/>
      <c r="I229" s="64" t="s">
        <v>47</v>
      </c>
      <c r="J229" s="65">
        <v>1</v>
      </c>
      <c r="K229" s="66">
        <f>18640</f>
        <v>18640</v>
      </c>
      <c r="L229" s="67" t="s">
        <v>853</v>
      </c>
      <c r="M229" s="66">
        <f>18850</f>
        <v>18850</v>
      </c>
      <c r="N229" s="67" t="s">
        <v>69</v>
      </c>
      <c r="O229" s="66">
        <f>17920</f>
        <v>17920</v>
      </c>
      <c r="P229" s="67" t="s">
        <v>50</v>
      </c>
      <c r="Q229" s="66">
        <f>17920</f>
        <v>17920</v>
      </c>
      <c r="R229" s="67" t="s">
        <v>50</v>
      </c>
      <c r="S229" s="68">
        <f>18584.71</f>
        <v>18584.71</v>
      </c>
      <c r="T229" s="65">
        <f>65170</f>
        <v>65170</v>
      </c>
      <c r="U229" s="65" t="str">
        <f>"－"</f>
        <v>－</v>
      </c>
      <c r="V229" s="65">
        <f>1222082670</f>
        <v>1222082670</v>
      </c>
      <c r="W229" s="65" t="str">
        <f>"－"</f>
        <v>－</v>
      </c>
      <c r="X229" s="69">
        <f>17</f>
        <v>17</v>
      </c>
    </row>
    <row r="230" spans="1:24">
      <c r="A230" s="60" t="s">
        <v>956</v>
      </c>
      <c r="B230" s="60" t="s">
        <v>759</v>
      </c>
      <c r="C230" s="60" t="s">
        <v>760</v>
      </c>
      <c r="D230" s="60" t="s">
        <v>761</v>
      </c>
      <c r="E230" s="61" t="s">
        <v>46</v>
      </c>
      <c r="F230" s="62" t="s">
        <v>46</v>
      </c>
      <c r="G230" s="63" t="s">
        <v>46</v>
      </c>
      <c r="H230" s="64"/>
      <c r="I230" s="64" t="s">
        <v>47</v>
      </c>
      <c r="J230" s="65">
        <v>10</v>
      </c>
      <c r="K230" s="66">
        <f>1231</f>
        <v>1231</v>
      </c>
      <c r="L230" s="67" t="s">
        <v>853</v>
      </c>
      <c r="M230" s="66">
        <f>1233</f>
        <v>1233</v>
      </c>
      <c r="N230" s="67" t="s">
        <v>48</v>
      </c>
      <c r="O230" s="66">
        <f>1194</f>
        <v>1194</v>
      </c>
      <c r="P230" s="67" t="s">
        <v>50</v>
      </c>
      <c r="Q230" s="66">
        <f>1196</f>
        <v>1196</v>
      </c>
      <c r="R230" s="67" t="s">
        <v>50</v>
      </c>
      <c r="S230" s="68">
        <f>1219.55</f>
        <v>1219.55</v>
      </c>
      <c r="T230" s="65">
        <f>124370</f>
        <v>124370</v>
      </c>
      <c r="U230" s="65" t="str">
        <f>"－"</f>
        <v>－</v>
      </c>
      <c r="V230" s="65">
        <f>150848740</f>
        <v>150848740</v>
      </c>
      <c r="W230" s="65" t="str">
        <f>"－"</f>
        <v>－</v>
      </c>
      <c r="X230" s="69">
        <f>11</f>
        <v>11</v>
      </c>
    </row>
    <row r="231" spans="1:24">
      <c r="A231" s="60" t="s">
        <v>956</v>
      </c>
      <c r="B231" s="60" t="s">
        <v>762</v>
      </c>
      <c r="C231" s="60" t="s">
        <v>763</v>
      </c>
      <c r="D231" s="60" t="s">
        <v>764</v>
      </c>
      <c r="E231" s="61" t="s">
        <v>46</v>
      </c>
      <c r="F231" s="62" t="s">
        <v>46</v>
      </c>
      <c r="G231" s="63" t="s">
        <v>46</v>
      </c>
      <c r="H231" s="64"/>
      <c r="I231" s="64" t="s">
        <v>47</v>
      </c>
      <c r="J231" s="65">
        <v>10</v>
      </c>
      <c r="K231" s="66">
        <f>1220</f>
        <v>1220</v>
      </c>
      <c r="L231" s="67" t="s">
        <v>853</v>
      </c>
      <c r="M231" s="66">
        <f>1224</f>
        <v>1224</v>
      </c>
      <c r="N231" s="67" t="s">
        <v>48</v>
      </c>
      <c r="O231" s="66">
        <f>1173</f>
        <v>1173</v>
      </c>
      <c r="P231" s="67" t="s">
        <v>50</v>
      </c>
      <c r="Q231" s="66">
        <f>1179</f>
        <v>1179</v>
      </c>
      <c r="R231" s="67" t="s">
        <v>873</v>
      </c>
      <c r="S231" s="68">
        <f>1202.55</f>
        <v>1202.55</v>
      </c>
      <c r="T231" s="65">
        <f>5880</f>
        <v>5880</v>
      </c>
      <c r="U231" s="65" t="str">
        <f>"－"</f>
        <v>－</v>
      </c>
      <c r="V231" s="65">
        <f>7091760</f>
        <v>7091760</v>
      </c>
      <c r="W231" s="65" t="str">
        <f>"－"</f>
        <v>－</v>
      </c>
      <c r="X231" s="69">
        <f>20</f>
        <v>20</v>
      </c>
    </row>
    <row r="232" spans="1:24">
      <c r="A232" s="60" t="s">
        <v>956</v>
      </c>
      <c r="B232" s="60" t="s">
        <v>765</v>
      </c>
      <c r="C232" s="60" t="s">
        <v>766</v>
      </c>
      <c r="D232" s="60" t="s">
        <v>767</v>
      </c>
      <c r="E232" s="61" t="s">
        <v>46</v>
      </c>
      <c r="F232" s="62" t="s">
        <v>46</v>
      </c>
      <c r="G232" s="63" t="s">
        <v>46</v>
      </c>
      <c r="H232" s="64"/>
      <c r="I232" s="64" t="s">
        <v>47</v>
      </c>
      <c r="J232" s="65">
        <v>1</v>
      </c>
      <c r="K232" s="66">
        <f>1148</f>
        <v>1148</v>
      </c>
      <c r="L232" s="67" t="s">
        <v>853</v>
      </c>
      <c r="M232" s="66">
        <f>1160</f>
        <v>1160</v>
      </c>
      <c r="N232" s="67" t="s">
        <v>48</v>
      </c>
      <c r="O232" s="66">
        <f>1080</f>
        <v>1080</v>
      </c>
      <c r="P232" s="67" t="s">
        <v>873</v>
      </c>
      <c r="Q232" s="66">
        <f>1090</f>
        <v>1090</v>
      </c>
      <c r="R232" s="67" t="s">
        <v>873</v>
      </c>
      <c r="S232" s="68">
        <f>1135.45</f>
        <v>1135.45</v>
      </c>
      <c r="T232" s="65">
        <f>50635</f>
        <v>50635</v>
      </c>
      <c r="U232" s="65">
        <f>20</f>
        <v>20</v>
      </c>
      <c r="V232" s="65">
        <f>57144314</f>
        <v>57144314</v>
      </c>
      <c r="W232" s="65">
        <f>21904</f>
        <v>21904</v>
      </c>
      <c r="X232" s="69">
        <f>20</f>
        <v>20</v>
      </c>
    </row>
    <row r="233" spans="1:24">
      <c r="A233" s="60" t="s">
        <v>956</v>
      </c>
      <c r="B233" s="60" t="s">
        <v>768</v>
      </c>
      <c r="C233" s="60" t="s">
        <v>769</v>
      </c>
      <c r="D233" s="60" t="s">
        <v>770</v>
      </c>
      <c r="E233" s="61" t="s">
        <v>46</v>
      </c>
      <c r="F233" s="62" t="s">
        <v>46</v>
      </c>
      <c r="G233" s="63" t="s">
        <v>46</v>
      </c>
      <c r="H233" s="64"/>
      <c r="I233" s="64" t="s">
        <v>47</v>
      </c>
      <c r="J233" s="65">
        <v>1</v>
      </c>
      <c r="K233" s="66">
        <f>14140</f>
        <v>14140</v>
      </c>
      <c r="L233" s="67" t="s">
        <v>853</v>
      </c>
      <c r="M233" s="66">
        <f>14140</f>
        <v>14140</v>
      </c>
      <c r="N233" s="67" t="s">
        <v>853</v>
      </c>
      <c r="O233" s="66">
        <f>12900</f>
        <v>12900</v>
      </c>
      <c r="P233" s="67" t="s">
        <v>96</v>
      </c>
      <c r="Q233" s="66">
        <f>13915</f>
        <v>13915</v>
      </c>
      <c r="R233" s="67" t="s">
        <v>873</v>
      </c>
      <c r="S233" s="68">
        <f>13832.75</f>
        <v>13832.75</v>
      </c>
      <c r="T233" s="65">
        <f>1482</f>
        <v>1482</v>
      </c>
      <c r="U233" s="65">
        <f>4</f>
        <v>4</v>
      </c>
      <c r="V233" s="65">
        <f>20289715</f>
        <v>20289715</v>
      </c>
      <c r="W233" s="65">
        <f>54820</f>
        <v>54820</v>
      </c>
      <c r="X233" s="69">
        <f>20</f>
        <v>20</v>
      </c>
    </row>
    <row r="234" spans="1:24">
      <c r="A234" s="60" t="s">
        <v>956</v>
      </c>
      <c r="B234" s="60" t="s">
        <v>771</v>
      </c>
      <c r="C234" s="60" t="s">
        <v>772</v>
      </c>
      <c r="D234" s="60" t="s">
        <v>773</v>
      </c>
      <c r="E234" s="61" t="s">
        <v>46</v>
      </c>
      <c r="F234" s="62" t="s">
        <v>46</v>
      </c>
      <c r="G234" s="63" t="s">
        <v>46</v>
      </c>
      <c r="H234" s="64"/>
      <c r="I234" s="64" t="s">
        <v>47</v>
      </c>
      <c r="J234" s="65">
        <v>1</v>
      </c>
      <c r="K234" s="66">
        <f>2239</f>
        <v>2239</v>
      </c>
      <c r="L234" s="67" t="s">
        <v>853</v>
      </c>
      <c r="M234" s="66">
        <f>2245</f>
        <v>2245</v>
      </c>
      <c r="N234" s="67" t="s">
        <v>84</v>
      </c>
      <c r="O234" s="66">
        <f>2148</f>
        <v>2148</v>
      </c>
      <c r="P234" s="67" t="s">
        <v>50</v>
      </c>
      <c r="Q234" s="66">
        <f>2150</f>
        <v>2150</v>
      </c>
      <c r="R234" s="67" t="s">
        <v>873</v>
      </c>
      <c r="S234" s="68">
        <f>2202.6</f>
        <v>2202.6</v>
      </c>
      <c r="T234" s="65">
        <f>13627</f>
        <v>13627</v>
      </c>
      <c r="U234" s="65">
        <f>2</f>
        <v>2</v>
      </c>
      <c r="V234" s="65">
        <f>29991979</f>
        <v>29991979</v>
      </c>
      <c r="W234" s="65">
        <f>4390</f>
        <v>4390</v>
      </c>
      <c r="X234" s="69">
        <f>20</f>
        <v>20</v>
      </c>
    </row>
    <row r="235" spans="1:24">
      <c r="A235" s="60" t="s">
        <v>956</v>
      </c>
      <c r="B235" s="60" t="s">
        <v>774</v>
      </c>
      <c r="C235" s="60" t="s">
        <v>775</v>
      </c>
      <c r="D235" s="60" t="s">
        <v>776</v>
      </c>
      <c r="E235" s="61" t="s">
        <v>46</v>
      </c>
      <c r="F235" s="62" t="s">
        <v>46</v>
      </c>
      <c r="G235" s="63" t="s">
        <v>46</v>
      </c>
      <c r="H235" s="64"/>
      <c r="I235" s="64" t="s">
        <v>47</v>
      </c>
      <c r="J235" s="65">
        <v>10</v>
      </c>
      <c r="K235" s="66">
        <f>1705</f>
        <v>1705</v>
      </c>
      <c r="L235" s="67" t="s">
        <v>853</v>
      </c>
      <c r="M235" s="66">
        <f>1755</f>
        <v>1755</v>
      </c>
      <c r="N235" s="67" t="s">
        <v>50</v>
      </c>
      <c r="O235" s="66">
        <f>1612</f>
        <v>1612</v>
      </c>
      <c r="P235" s="67" t="s">
        <v>859</v>
      </c>
      <c r="Q235" s="66">
        <f>1755</f>
        <v>1755</v>
      </c>
      <c r="R235" s="67" t="s">
        <v>873</v>
      </c>
      <c r="S235" s="68">
        <f>1701.7</f>
        <v>1701.7</v>
      </c>
      <c r="T235" s="65">
        <f>5190</f>
        <v>5190</v>
      </c>
      <c r="U235" s="65">
        <f>20</f>
        <v>20</v>
      </c>
      <c r="V235" s="65">
        <f>8791680</f>
        <v>8791680</v>
      </c>
      <c r="W235" s="65">
        <f>33730</f>
        <v>33730</v>
      </c>
      <c r="X235" s="69">
        <f>20</f>
        <v>20</v>
      </c>
    </row>
    <row r="236" spans="1:24">
      <c r="A236" s="60" t="s">
        <v>956</v>
      </c>
      <c r="B236" s="60" t="s">
        <v>777</v>
      </c>
      <c r="C236" s="60" t="s">
        <v>932</v>
      </c>
      <c r="D236" s="60" t="s">
        <v>933</v>
      </c>
      <c r="E236" s="61" t="s">
        <v>46</v>
      </c>
      <c r="F236" s="62" t="s">
        <v>46</v>
      </c>
      <c r="G236" s="63" t="s">
        <v>46</v>
      </c>
      <c r="H236" s="64"/>
      <c r="I236" s="64" t="s">
        <v>47</v>
      </c>
      <c r="J236" s="65">
        <v>10</v>
      </c>
      <c r="K236" s="66">
        <f>999</f>
        <v>999</v>
      </c>
      <c r="L236" s="67" t="s">
        <v>853</v>
      </c>
      <c r="M236" s="66">
        <f>1006</f>
        <v>1006</v>
      </c>
      <c r="N236" s="67" t="s">
        <v>860</v>
      </c>
      <c r="O236" s="66">
        <f>991</f>
        <v>991</v>
      </c>
      <c r="P236" s="67" t="s">
        <v>176</v>
      </c>
      <c r="Q236" s="66">
        <f>994.9</f>
        <v>994.9</v>
      </c>
      <c r="R236" s="67" t="s">
        <v>873</v>
      </c>
      <c r="S236" s="68">
        <f>997.61</f>
        <v>997.61</v>
      </c>
      <c r="T236" s="65">
        <f>1839010</f>
        <v>1839010</v>
      </c>
      <c r="U236" s="65">
        <f>1045790</f>
        <v>1045790</v>
      </c>
      <c r="V236" s="65">
        <f>1833962163</f>
        <v>1833962163</v>
      </c>
      <c r="W236" s="65">
        <f>1042286880</f>
        <v>1042286880</v>
      </c>
      <c r="X236" s="69">
        <f>20</f>
        <v>20</v>
      </c>
    </row>
    <row r="237" spans="1:24">
      <c r="A237" s="60" t="s">
        <v>956</v>
      </c>
      <c r="B237" s="60" t="s">
        <v>780</v>
      </c>
      <c r="C237" s="60" t="s">
        <v>781</v>
      </c>
      <c r="D237" s="60" t="s">
        <v>782</v>
      </c>
      <c r="E237" s="61" t="s">
        <v>46</v>
      </c>
      <c r="F237" s="62" t="s">
        <v>46</v>
      </c>
      <c r="G237" s="63" t="s">
        <v>46</v>
      </c>
      <c r="H237" s="64"/>
      <c r="I237" s="64" t="s">
        <v>47</v>
      </c>
      <c r="J237" s="65">
        <v>10</v>
      </c>
      <c r="K237" s="66">
        <f>2140</f>
        <v>2140</v>
      </c>
      <c r="L237" s="67" t="s">
        <v>853</v>
      </c>
      <c r="M237" s="66">
        <f>2140</f>
        <v>2140</v>
      </c>
      <c r="N237" s="67" t="s">
        <v>853</v>
      </c>
      <c r="O237" s="66">
        <f>1950</f>
        <v>1950</v>
      </c>
      <c r="P237" s="67" t="s">
        <v>50</v>
      </c>
      <c r="Q237" s="66">
        <f>2046.5</f>
        <v>2046.5</v>
      </c>
      <c r="R237" s="67" t="s">
        <v>873</v>
      </c>
      <c r="S237" s="68">
        <f>2101.58</f>
        <v>2101.58</v>
      </c>
      <c r="T237" s="65">
        <f>13030</f>
        <v>13030</v>
      </c>
      <c r="U237" s="65">
        <f>60</f>
        <v>60</v>
      </c>
      <c r="V237" s="65">
        <f>27413190</f>
        <v>27413190</v>
      </c>
      <c r="W237" s="65">
        <f>125640</f>
        <v>125640</v>
      </c>
      <c r="X237" s="69">
        <f>20</f>
        <v>20</v>
      </c>
    </row>
    <row r="238" spans="1:24">
      <c r="A238" s="60" t="s">
        <v>956</v>
      </c>
      <c r="B238" s="60" t="s">
        <v>783</v>
      </c>
      <c r="C238" s="60" t="s">
        <v>784</v>
      </c>
      <c r="D238" s="60" t="s">
        <v>785</v>
      </c>
      <c r="E238" s="61" t="s">
        <v>46</v>
      </c>
      <c r="F238" s="62" t="s">
        <v>46</v>
      </c>
      <c r="G238" s="63" t="s">
        <v>46</v>
      </c>
      <c r="H238" s="64"/>
      <c r="I238" s="64" t="s">
        <v>47</v>
      </c>
      <c r="J238" s="65">
        <v>10</v>
      </c>
      <c r="K238" s="66">
        <f>2134</f>
        <v>2134</v>
      </c>
      <c r="L238" s="67" t="s">
        <v>853</v>
      </c>
      <c r="M238" s="66">
        <f>2135</f>
        <v>2135</v>
      </c>
      <c r="N238" s="67" t="s">
        <v>84</v>
      </c>
      <c r="O238" s="66">
        <f>2050</f>
        <v>2050</v>
      </c>
      <c r="P238" s="67" t="s">
        <v>50</v>
      </c>
      <c r="Q238" s="66">
        <f>2050.5</f>
        <v>2050.5</v>
      </c>
      <c r="R238" s="67" t="s">
        <v>873</v>
      </c>
      <c r="S238" s="68">
        <f>2100.58</f>
        <v>2100.58</v>
      </c>
      <c r="T238" s="65">
        <f>191440</f>
        <v>191440</v>
      </c>
      <c r="U238" s="65">
        <f>30080</f>
        <v>30080</v>
      </c>
      <c r="V238" s="65">
        <f>401144095</f>
        <v>401144095</v>
      </c>
      <c r="W238" s="65">
        <f>61983460</f>
        <v>61983460</v>
      </c>
      <c r="X238" s="69">
        <f>20</f>
        <v>20</v>
      </c>
    </row>
    <row r="239" spans="1:24">
      <c r="A239" s="60" t="s">
        <v>956</v>
      </c>
      <c r="B239" s="60" t="s">
        <v>786</v>
      </c>
      <c r="C239" s="60" t="s">
        <v>787</v>
      </c>
      <c r="D239" s="60" t="s">
        <v>788</v>
      </c>
      <c r="E239" s="61" t="s">
        <v>46</v>
      </c>
      <c r="F239" s="62" t="s">
        <v>46</v>
      </c>
      <c r="G239" s="63" t="s">
        <v>46</v>
      </c>
      <c r="H239" s="64"/>
      <c r="I239" s="64" t="s">
        <v>47</v>
      </c>
      <c r="J239" s="65">
        <v>10</v>
      </c>
      <c r="K239" s="66">
        <f>2042</f>
        <v>2042</v>
      </c>
      <c r="L239" s="67" t="s">
        <v>853</v>
      </c>
      <c r="M239" s="66">
        <f>2076</f>
        <v>2076</v>
      </c>
      <c r="N239" s="67" t="s">
        <v>69</v>
      </c>
      <c r="O239" s="66">
        <f>1970.5</f>
        <v>1970.5</v>
      </c>
      <c r="P239" s="67" t="s">
        <v>50</v>
      </c>
      <c r="Q239" s="66">
        <f>1970.5</f>
        <v>1970.5</v>
      </c>
      <c r="R239" s="67" t="s">
        <v>50</v>
      </c>
      <c r="S239" s="68">
        <f>2035.88</f>
        <v>2035.88</v>
      </c>
      <c r="T239" s="65">
        <f>1080</f>
        <v>1080</v>
      </c>
      <c r="U239" s="65" t="str">
        <f>"－"</f>
        <v>－</v>
      </c>
      <c r="V239" s="65">
        <f>2188185</f>
        <v>2188185</v>
      </c>
      <c r="W239" s="65" t="str">
        <f>"－"</f>
        <v>－</v>
      </c>
      <c r="X239" s="69">
        <f>12</f>
        <v>12</v>
      </c>
    </row>
    <row r="240" spans="1:24">
      <c r="A240" s="60" t="s">
        <v>956</v>
      </c>
      <c r="B240" s="60" t="s">
        <v>789</v>
      </c>
      <c r="C240" s="60" t="s">
        <v>790</v>
      </c>
      <c r="D240" s="60" t="s">
        <v>791</v>
      </c>
      <c r="E240" s="61" t="s">
        <v>46</v>
      </c>
      <c r="F240" s="62" t="s">
        <v>46</v>
      </c>
      <c r="G240" s="63" t="s">
        <v>46</v>
      </c>
      <c r="H240" s="64"/>
      <c r="I240" s="64" t="s">
        <v>47</v>
      </c>
      <c r="J240" s="65">
        <v>1</v>
      </c>
      <c r="K240" s="66">
        <f>15150</f>
        <v>15150</v>
      </c>
      <c r="L240" s="67" t="s">
        <v>853</v>
      </c>
      <c r="M240" s="66">
        <f>15650</f>
        <v>15650</v>
      </c>
      <c r="N240" s="67" t="s">
        <v>176</v>
      </c>
      <c r="O240" s="66">
        <f>14985</f>
        <v>14985</v>
      </c>
      <c r="P240" s="67" t="s">
        <v>873</v>
      </c>
      <c r="Q240" s="66">
        <f>14995</f>
        <v>14995</v>
      </c>
      <c r="R240" s="67" t="s">
        <v>873</v>
      </c>
      <c r="S240" s="68">
        <f>15302.5</f>
        <v>15302.5</v>
      </c>
      <c r="T240" s="65">
        <f>818829</f>
        <v>818829</v>
      </c>
      <c r="U240" s="65">
        <f>1</f>
        <v>1</v>
      </c>
      <c r="V240" s="65">
        <f>12523101890</f>
        <v>12523101890</v>
      </c>
      <c r="W240" s="65">
        <f>15150</f>
        <v>15150</v>
      </c>
      <c r="X240" s="69">
        <f>20</f>
        <v>20</v>
      </c>
    </row>
    <row r="241" spans="1:24">
      <c r="A241" s="60" t="s">
        <v>956</v>
      </c>
      <c r="B241" s="60" t="s">
        <v>792</v>
      </c>
      <c r="C241" s="60" t="s">
        <v>793</v>
      </c>
      <c r="D241" s="60" t="s">
        <v>794</v>
      </c>
      <c r="E241" s="61" t="s">
        <v>46</v>
      </c>
      <c r="F241" s="62" t="s">
        <v>46</v>
      </c>
      <c r="G241" s="63" t="s">
        <v>46</v>
      </c>
      <c r="H241" s="64"/>
      <c r="I241" s="64" t="s">
        <v>47</v>
      </c>
      <c r="J241" s="65">
        <v>1</v>
      </c>
      <c r="K241" s="66">
        <f>14080</f>
        <v>14080</v>
      </c>
      <c r="L241" s="67" t="s">
        <v>853</v>
      </c>
      <c r="M241" s="66">
        <f>14400</f>
        <v>14400</v>
      </c>
      <c r="N241" s="67" t="s">
        <v>84</v>
      </c>
      <c r="O241" s="66">
        <f>13630</f>
        <v>13630</v>
      </c>
      <c r="P241" s="67" t="s">
        <v>873</v>
      </c>
      <c r="Q241" s="66">
        <f>13655</f>
        <v>13655</v>
      </c>
      <c r="R241" s="67" t="s">
        <v>873</v>
      </c>
      <c r="S241" s="68">
        <f>14155.25</f>
        <v>14155.25</v>
      </c>
      <c r="T241" s="65">
        <f>227433</f>
        <v>227433</v>
      </c>
      <c r="U241" s="65">
        <f>37502</f>
        <v>37502</v>
      </c>
      <c r="V241" s="65">
        <f>3198609390</f>
        <v>3198609390</v>
      </c>
      <c r="W241" s="65">
        <f>515969660</f>
        <v>515969660</v>
      </c>
      <c r="X241" s="69">
        <f>20</f>
        <v>20</v>
      </c>
    </row>
    <row r="242" spans="1:24">
      <c r="A242" s="60" t="s">
        <v>956</v>
      </c>
      <c r="B242" s="60" t="s">
        <v>795</v>
      </c>
      <c r="C242" s="60" t="s">
        <v>796</v>
      </c>
      <c r="D242" s="60" t="s">
        <v>797</v>
      </c>
      <c r="E242" s="61" t="s">
        <v>46</v>
      </c>
      <c r="F242" s="62" t="s">
        <v>46</v>
      </c>
      <c r="G242" s="63" t="s">
        <v>46</v>
      </c>
      <c r="H242" s="64"/>
      <c r="I242" s="64" t="s">
        <v>47</v>
      </c>
      <c r="J242" s="65">
        <v>1</v>
      </c>
      <c r="K242" s="66">
        <f>27170</f>
        <v>27170</v>
      </c>
      <c r="L242" s="67" t="s">
        <v>853</v>
      </c>
      <c r="M242" s="66">
        <f>27510</f>
        <v>27510</v>
      </c>
      <c r="N242" s="67" t="s">
        <v>96</v>
      </c>
      <c r="O242" s="66">
        <f>25900</f>
        <v>25900</v>
      </c>
      <c r="P242" s="67" t="s">
        <v>873</v>
      </c>
      <c r="Q242" s="66">
        <f>25900</f>
        <v>25900</v>
      </c>
      <c r="R242" s="67" t="s">
        <v>873</v>
      </c>
      <c r="S242" s="68">
        <f>27012.5</f>
        <v>27012.5</v>
      </c>
      <c r="T242" s="65">
        <f>144</f>
        <v>144</v>
      </c>
      <c r="U242" s="65" t="str">
        <f>"－"</f>
        <v>－</v>
      </c>
      <c r="V242" s="65">
        <f>3889920</f>
        <v>3889920</v>
      </c>
      <c r="W242" s="65" t="str">
        <f>"－"</f>
        <v>－</v>
      </c>
      <c r="X242" s="69">
        <f>12</f>
        <v>12</v>
      </c>
    </row>
    <row r="243" spans="1:24">
      <c r="A243" s="60" t="s">
        <v>956</v>
      </c>
      <c r="B243" s="60" t="s">
        <v>798</v>
      </c>
      <c r="C243" s="60" t="s">
        <v>799</v>
      </c>
      <c r="D243" s="60" t="s">
        <v>800</v>
      </c>
      <c r="E243" s="61" t="s">
        <v>46</v>
      </c>
      <c r="F243" s="62" t="s">
        <v>46</v>
      </c>
      <c r="G243" s="63" t="s">
        <v>46</v>
      </c>
      <c r="H243" s="64"/>
      <c r="I243" s="64" t="s">
        <v>47</v>
      </c>
      <c r="J243" s="65">
        <v>1</v>
      </c>
      <c r="K243" s="66">
        <f>2706</f>
        <v>2706</v>
      </c>
      <c r="L243" s="67" t="s">
        <v>853</v>
      </c>
      <c r="M243" s="66">
        <f>2716</f>
        <v>2716</v>
      </c>
      <c r="N243" s="67" t="s">
        <v>96</v>
      </c>
      <c r="O243" s="66">
        <f>2700</f>
        <v>2700</v>
      </c>
      <c r="P243" s="67" t="s">
        <v>853</v>
      </c>
      <c r="Q243" s="66">
        <f>2710</f>
        <v>2710</v>
      </c>
      <c r="R243" s="67" t="s">
        <v>873</v>
      </c>
      <c r="S243" s="68">
        <f>2707.85</f>
        <v>2707.85</v>
      </c>
      <c r="T243" s="65">
        <f>3043772</f>
        <v>3043772</v>
      </c>
      <c r="U243" s="65">
        <f>1749736</f>
        <v>1749736</v>
      </c>
      <c r="V243" s="65">
        <f>8242085643</f>
        <v>8242085643</v>
      </c>
      <c r="W243" s="65">
        <f>4737653868</f>
        <v>4737653868</v>
      </c>
      <c r="X243" s="69">
        <f>20</f>
        <v>20</v>
      </c>
    </row>
    <row r="244" spans="1:24">
      <c r="A244" s="60" t="s">
        <v>956</v>
      </c>
      <c r="B244" s="60" t="s">
        <v>801</v>
      </c>
      <c r="C244" s="60" t="s">
        <v>802</v>
      </c>
      <c r="D244" s="60" t="s">
        <v>803</v>
      </c>
      <c r="E244" s="61" t="s">
        <v>46</v>
      </c>
      <c r="F244" s="62" t="s">
        <v>46</v>
      </c>
      <c r="G244" s="63" t="s">
        <v>46</v>
      </c>
      <c r="H244" s="64"/>
      <c r="I244" s="64" t="s">
        <v>47</v>
      </c>
      <c r="J244" s="65">
        <v>10</v>
      </c>
      <c r="K244" s="66">
        <f>3100</f>
        <v>3100</v>
      </c>
      <c r="L244" s="67" t="s">
        <v>853</v>
      </c>
      <c r="M244" s="66">
        <f>3195</f>
        <v>3195</v>
      </c>
      <c r="N244" s="67" t="s">
        <v>100</v>
      </c>
      <c r="O244" s="66">
        <f>3006</f>
        <v>3006</v>
      </c>
      <c r="P244" s="67" t="s">
        <v>873</v>
      </c>
      <c r="Q244" s="66">
        <f>3009</f>
        <v>3009</v>
      </c>
      <c r="R244" s="67" t="s">
        <v>873</v>
      </c>
      <c r="S244" s="68">
        <f>3105.3</f>
        <v>3105.3</v>
      </c>
      <c r="T244" s="65">
        <f>2514570</f>
        <v>2514570</v>
      </c>
      <c r="U244" s="65">
        <f>1230920</f>
        <v>1230920</v>
      </c>
      <c r="V244" s="65">
        <f>7789094824</f>
        <v>7789094824</v>
      </c>
      <c r="W244" s="65">
        <f>3826903014</f>
        <v>3826903014</v>
      </c>
      <c r="X244" s="69">
        <f>20</f>
        <v>20</v>
      </c>
    </row>
    <row r="245" spans="1:24">
      <c r="A245" s="60" t="s">
        <v>956</v>
      </c>
      <c r="B245" s="60" t="s">
        <v>804</v>
      </c>
      <c r="C245" s="60" t="s">
        <v>805</v>
      </c>
      <c r="D245" s="60" t="s">
        <v>806</v>
      </c>
      <c r="E245" s="61" t="s">
        <v>46</v>
      </c>
      <c r="F245" s="62" t="s">
        <v>46</v>
      </c>
      <c r="G245" s="63" t="s">
        <v>46</v>
      </c>
      <c r="H245" s="64"/>
      <c r="I245" s="64" t="s">
        <v>47</v>
      </c>
      <c r="J245" s="65">
        <v>1</v>
      </c>
      <c r="K245" s="66">
        <f>3000</f>
        <v>3000</v>
      </c>
      <c r="L245" s="67" t="s">
        <v>853</v>
      </c>
      <c r="M245" s="66">
        <f>3080</f>
        <v>3080</v>
      </c>
      <c r="N245" s="67" t="s">
        <v>613</v>
      </c>
      <c r="O245" s="66">
        <f>2993</f>
        <v>2993</v>
      </c>
      <c r="P245" s="67" t="s">
        <v>857</v>
      </c>
      <c r="Q245" s="66">
        <f>3005</f>
        <v>3005</v>
      </c>
      <c r="R245" s="67" t="s">
        <v>873</v>
      </c>
      <c r="S245" s="68">
        <f>3040.9</f>
        <v>3040.9</v>
      </c>
      <c r="T245" s="65">
        <f>4834775</f>
        <v>4834775</v>
      </c>
      <c r="U245" s="65">
        <f>2431753</f>
        <v>2431753</v>
      </c>
      <c r="V245" s="65">
        <f>14713725724</f>
        <v>14713725724</v>
      </c>
      <c r="W245" s="65">
        <f>7413761538</f>
        <v>7413761538</v>
      </c>
      <c r="X245" s="69">
        <f>20</f>
        <v>20</v>
      </c>
    </row>
    <row r="246" spans="1:24">
      <c r="A246" s="60" t="s">
        <v>956</v>
      </c>
      <c r="B246" s="60" t="s">
        <v>807</v>
      </c>
      <c r="C246" s="60" t="s">
        <v>808</v>
      </c>
      <c r="D246" s="60" t="s">
        <v>809</v>
      </c>
      <c r="E246" s="61" t="s">
        <v>46</v>
      </c>
      <c r="F246" s="62" t="s">
        <v>46</v>
      </c>
      <c r="G246" s="63" t="s">
        <v>46</v>
      </c>
      <c r="H246" s="64"/>
      <c r="I246" s="64" t="s">
        <v>47</v>
      </c>
      <c r="J246" s="65">
        <v>1</v>
      </c>
      <c r="K246" s="66">
        <f>1921</f>
        <v>1921</v>
      </c>
      <c r="L246" s="67" t="s">
        <v>853</v>
      </c>
      <c r="M246" s="66">
        <f>1937</f>
        <v>1937</v>
      </c>
      <c r="N246" s="67" t="s">
        <v>69</v>
      </c>
      <c r="O246" s="66">
        <f>1800</f>
        <v>1800</v>
      </c>
      <c r="P246" s="67" t="s">
        <v>873</v>
      </c>
      <c r="Q246" s="66">
        <f>1804</f>
        <v>1804</v>
      </c>
      <c r="R246" s="67" t="s">
        <v>873</v>
      </c>
      <c r="S246" s="68">
        <f>1893.65</f>
        <v>1893.65</v>
      </c>
      <c r="T246" s="65">
        <f>64455</f>
        <v>64455</v>
      </c>
      <c r="U246" s="65">
        <f>2</f>
        <v>2</v>
      </c>
      <c r="V246" s="65">
        <f>120237023</f>
        <v>120237023</v>
      </c>
      <c r="W246" s="65">
        <f>3818</f>
        <v>3818</v>
      </c>
      <c r="X246" s="69">
        <f>20</f>
        <v>20</v>
      </c>
    </row>
    <row r="247" spans="1:24">
      <c r="A247" s="60" t="s">
        <v>956</v>
      </c>
      <c r="B247" s="60" t="s">
        <v>810</v>
      </c>
      <c r="C247" s="60" t="s">
        <v>811</v>
      </c>
      <c r="D247" s="60" t="s">
        <v>812</v>
      </c>
      <c r="E247" s="61" t="s">
        <v>46</v>
      </c>
      <c r="F247" s="62" t="s">
        <v>46</v>
      </c>
      <c r="G247" s="63" t="s">
        <v>46</v>
      </c>
      <c r="H247" s="64"/>
      <c r="I247" s="64" t="s">
        <v>47</v>
      </c>
      <c r="J247" s="65">
        <v>1</v>
      </c>
      <c r="K247" s="66">
        <f>1210</f>
        <v>1210</v>
      </c>
      <c r="L247" s="67" t="s">
        <v>853</v>
      </c>
      <c r="M247" s="66">
        <f>1236</f>
        <v>1236</v>
      </c>
      <c r="N247" s="67" t="s">
        <v>96</v>
      </c>
      <c r="O247" s="66">
        <f>1182</f>
        <v>1182</v>
      </c>
      <c r="P247" s="67" t="s">
        <v>873</v>
      </c>
      <c r="Q247" s="66">
        <f>1182</f>
        <v>1182</v>
      </c>
      <c r="R247" s="67" t="s">
        <v>873</v>
      </c>
      <c r="S247" s="68">
        <f>1194.95</f>
        <v>1194.95</v>
      </c>
      <c r="T247" s="65">
        <f>118665</f>
        <v>118665</v>
      </c>
      <c r="U247" s="65">
        <f>6</f>
        <v>6</v>
      </c>
      <c r="V247" s="65">
        <f>141940121</f>
        <v>141940121</v>
      </c>
      <c r="W247" s="65">
        <f>7120</f>
        <v>7120</v>
      </c>
      <c r="X247" s="69">
        <f>20</f>
        <v>20</v>
      </c>
    </row>
    <row r="248" spans="1:24">
      <c r="A248" s="60" t="s">
        <v>956</v>
      </c>
      <c r="B248" s="60" t="s">
        <v>813</v>
      </c>
      <c r="C248" s="60" t="s">
        <v>814</v>
      </c>
      <c r="D248" s="60" t="s">
        <v>815</v>
      </c>
      <c r="E248" s="61" t="s">
        <v>46</v>
      </c>
      <c r="F248" s="62" t="s">
        <v>46</v>
      </c>
      <c r="G248" s="63" t="s">
        <v>46</v>
      </c>
      <c r="H248" s="64"/>
      <c r="I248" s="64" t="s">
        <v>47</v>
      </c>
      <c r="J248" s="65">
        <v>10</v>
      </c>
      <c r="K248" s="66">
        <f>1181</f>
        <v>1181</v>
      </c>
      <c r="L248" s="67" t="s">
        <v>853</v>
      </c>
      <c r="M248" s="66">
        <f>1182</f>
        <v>1182</v>
      </c>
      <c r="N248" s="67" t="s">
        <v>84</v>
      </c>
      <c r="O248" s="66">
        <f>1136</f>
        <v>1136</v>
      </c>
      <c r="P248" s="67" t="s">
        <v>50</v>
      </c>
      <c r="Q248" s="66">
        <f>1138</f>
        <v>1138</v>
      </c>
      <c r="R248" s="67" t="s">
        <v>873</v>
      </c>
      <c r="S248" s="68">
        <f>1162.45</f>
        <v>1162.45</v>
      </c>
      <c r="T248" s="65">
        <f>98450</f>
        <v>98450</v>
      </c>
      <c r="U248" s="65">
        <f>52020</f>
        <v>52020</v>
      </c>
      <c r="V248" s="65">
        <f>114718500</f>
        <v>114718500</v>
      </c>
      <c r="W248" s="65">
        <f>60574350</f>
        <v>60574350</v>
      </c>
      <c r="X248" s="69">
        <f>20</f>
        <v>20</v>
      </c>
    </row>
    <row r="249" spans="1:24">
      <c r="A249" s="60" t="s">
        <v>956</v>
      </c>
      <c r="B249" s="60" t="s">
        <v>816</v>
      </c>
      <c r="C249" s="60" t="s">
        <v>817</v>
      </c>
      <c r="D249" s="60" t="s">
        <v>818</v>
      </c>
      <c r="E249" s="61" t="s">
        <v>46</v>
      </c>
      <c r="F249" s="62" t="s">
        <v>46</v>
      </c>
      <c r="G249" s="63" t="s">
        <v>46</v>
      </c>
      <c r="H249" s="64"/>
      <c r="I249" s="64" t="s">
        <v>47</v>
      </c>
      <c r="J249" s="65">
        <v>10</v>
      </c>
      <c r="K249" s="66">
        <f>256</f>
        <v>256</v>
      </c>
      <c r="L249" s="67" t="s">
        <v>853</v>
      </c>
      <c r="M249" s="66">
        <f>271</f>
        <v>271</v>
      </c>
      <c r="N249" s="67" t="s">
        <v>131</v>
      </c>
      <c r="O249" s="66">
        <f>252</f>
        <v>252</v>
      </c>
      <c r="P249" s="67" t="s">
        <v>873</v>
      </c>
      <c r="Q249" s="66">
        <f>253.1</f>
        <v>253.1</v>
      </c>
      <c r="R249" s="67" t="s">
        <v>873</v>
      </c>
      <c r="S249" s="68">
        <f>258.76</f>
        <v>258.76</v>
      </c>
      <c r="T249" s="65">
        <f>31070</f>
        <v>31070</v>
      </c>
      <c r="U249" s="65">
        <f>40</f>
        <v>40</v>
      </c>
      <c r="V249" s="65">
        <f>8090188</f>
        <v>8090188</v>
      </c>
      <c r="W249" s="65">
        <f>10270</f>
        <v>10270</v>
      </c>
      <c r="X249" s="69">
        <f>20</f>
        <v>20</v>
      </c>
    </row>
    <row r="250" spans="1:24">
      <c r="A250" s="60" t="s">
        <v>956</v>
      </c>
      <c r="B250" s="60" t="s">
        <v>819</v>
      </c>
      <c r="C250" s="60" t="s">
        <v>820</v>
      </c>
      <c r="D250" s="60" t="s">
        <v>821</v>
      </c>
      <c r="E250" s="61" t="s">
        <v>46</v>
      </c>
      <c r="F250" s="62" t="s">
        <v>46</v>
      </c>
      <c r="G250" s="63" t="s">
        <v>46</v>
      </c>
      <c r="H250" s="64"/>
      <c r="I250" s="64" t="s">
        <v>47</v>
      </c>
      <c r="J250" s="65">
        <v>10</v>
      </c>
      <c r="K250" s="66">
        <f>3130</f>
        <v>3130</v>
      </c>
      <c r="L250" s="67" t="s">
        <v>853</v>
      </c>
      <c r="M250" s="66">
        <f>3275</f>
        <v>3275</v>
      </c>
      <c r="N250" s="67" t="s">
        <v>132</v>
      </c>
      <c r="O250" s="66">
        <f>3105</f>
        <v>3105</v>
      </c>
      <c r="P250" s="67" t="s">
        <v>857</v>
      </c>
      <c r="Q250" s="66">
        <f>3178</f>
        <v>3178</v>
      </c>
      <c r="R250" s="67" t="s">
        <v>873</v>
      </c>
      <c r="S250" s="68">
        <f>3189.85</f>
        <v>3189.85</v>
      </c>
      <c r="T250" s="65">
        <f>1745460</f>
        <v>1745460</v>
      </c>
      <c r="U250" s="65">
        <f>64980</f>
        <v>64980</v>
      </c>
      <c r="V250" s="65">
        <f>5565759818</f>
        <v>5565759818</v>
      </c>
      <c r="W250" s="65">
        <f>206221218</f>
        <v>206221218</v>
      </c>
      <c r="X250" s="69">
        <f>20</f>
        <v>20</v>
      </c>
    </row>
    <row r="251" spans="1:24">
      <c r="A251" s="60" t="s">
        <v>956</v>
      </c>
      <c r="B251" s="60" t="s">
        <v>822</v>
      </c>
      <c r="C251" s="60" t="s">
        <v>823</v>
      </c>
      <c r="D251" s="60" t="s">
        <v>824</v>
      </c>
      <c r="E251" s="61" t="s">
        <v>46</v>
      </c>
      <c r="F251" s="62" t="s">
        <v>46</v>
      </c>
      <c r="G251" s="63" t="s">
        <v>46</v>
      </c>
      <c r="H251" s="64"/>
      <c r="I251" s="64" t="s">
        <v>47</v>
      </c>
      <c r="J251" s="65">
        <v>10</v>
      </c>
      <c r="K251" s="66">
        <f>2856</f>
        <v>2856</v>
      </c>
      <c r="L251" s="67" t="s">
        <v>853</v>
      </c>
      <c r="M251" s="66">
        <f>2992</f>
        <v>2992</v>
      </c>
      <c r="N251" s="67" t="s">
        <v>132</v>
      </c>
      <c r="O251" s="66">
        <f>2853</f>
        <v>2853</v>
      </c>
      <c r="P251" s="67" t="s">
        <v>857</v>
      </c>
      <c r="Q251" s="66">
        <f>2935</f>
        <v>2935</v>
      </c>
      <c r="R251" s="67" t="s">
        <v>873</v>
      </c>
      <c r="S251" s="68">
        <f>2923.3</f>
        <v>2923.3</v>
      </c>
      <c r="T251" s="65">
        <f>4503260</f>
        <v>4503260</v>
      </c>
      <c r="U251" s="65">
        <f>1058150</f>
        <v>1058150</v>
      </c>
      <c r="V251" s="65">
        <f>13133232520</f>
        <v>13133232520</v>
      </c>
      <c r="W251" s="65">
        <f>3074759850</f>
        <v>3074759850</v>
      </c>
      <c r="X251" s="69">
        <f>20</f>
        <v>20</v>
      </c>
    </row>
    <row r="252" spans="1:24">
      <c r="A252" s="60" t="s">
        <v>956</v>
      </c>
      <c r="B252" s="60" t="s">
        <v>825</v>
      </c>
      <c r="C252" s="60" t="s">
        <v>826</v>
      </c>
      <c r="D252" s="60" t="s">
        <v>827</v>
      </c>
      <c r="E252" s="61" t="s">
        <v>46</v>
      </c>
      <c r="F252" s="62" t="s">
        <v>46</v>
      </c>
      <c r="G252" s="63" t="s">
        <v>46</v>
      </c>
      <c r="H252" s="64"/>
      <c r="I252" s="64" t="s">
        <v>47</v>
      </c>
      <c r="J252" s="65">
        <v>1</v>
      </c>
      <c r="K252" s="66">
        <f>2669</f>
        <v>2669</v>
      </c>
      <c r="L252" s="67" t="s">
        <v>853</v>
      </c>
      <c r="M252" s="66">
        <f>2693</f>
        <v>2693</v>
      </c>
      <c r="N252" s="67" t="s">
        <v>176</v>
      </c>
      <c r="O252" s="66">
        <f>2639</f>
        <v>2639</v>
      </c>
      <c r="P252" s="67" t="s">
        <v>859</v>
      </c>
      <c r="Q252" s="66">
        <f>2647</f>
        <v>2647</v>
      </c>
      <c r="R252" s="67" t="s">
        <v>873</v>
      </c>
      <c r="S252" s="68">
        <f>2664.3</f>
        <v>2664.3</v>
      </c>
      <c r="T252" s="65">
        <f>1978077</f>
        <v>1978077</v>
      </c>
      <c r="U252" s="65">
        <f>1125000</f>
        <v>1125000</v>
      </c>
      <c r="V252" s="65">
        <f>5251562165</f>
        <v>5251562165</v>
      </c>
      <c r="W252" s="65">
        <f>2986307897</f>
        <v>2986307897</v>
      </c>
      <c r="X252" s="69">
        <f>20</f>
        <v>20</v>
      </c>
    </row>
    <row r="253" spans="1:24">
      <c r="A253" s="60" t="s">
        <v>956</v>
      </c>
      <c r="B253" s="60" t="s">
        <v>828</v>
      </c>
      <c r="C253" s="60" t="s">
        <v>829</v>
      </c>
      <c r="D253" s="60" t="s">
        <v>830</v>
      </c>
      <c r="E253" s="61" t="s">
        <v>46</v>
      </c>
      <c r="F253" s="62" t="s">
        <v>46</v>
      </c>
      <c r="G253" s="63" t="s">
        <v>46</v>
      </c>
      <c r="H253" s="64"/>
      <c r="I253" s="64" t="s">
        <v>47</v>
      </c>
      <c r="J253" s="65">
        <v>1</v>
      </c>
      <c r="K253" s="66">
        <f>2250</f>
        <v>2250</v>
      </c>
      <c r="L253" s="67" t="s">
        <v>853</v>
      </c>
      <c r="M253" s="66">
        <f>2311</f>
        <v>2311</v>
      </c>
      <c r="N253" s="67" t="s">
        <v>860</v>
      </c>
      <c r="O253" s="66">
        <f>2211</f>
        <v>2211</v>
      </c>
      <c r="P253" s="67" t="s">
        <v>855</v>
      </c>
      <c r="Q253" s="66">
        <f>2302</f>
        <v>2302</v>
      </c>
      <c r="R253" s="67" t="s">
        <v>873</v>
      </c>
      <c r="S253" s="68">
        <f>2258.5</f>
        <v>2258.5</v>
      </c>
      <c r="T253" s="65">
        <f>1416340</f>
        <v>1416340</v>
      </c>
      <c r="U253" s="65">
        <f>6</f>
        <v>6</v>
      </c>
      <c r="V253" s="65">
        <f>3198955311</f>
        <v>3198955311</v>
      </c>
      <c r="W253" s="65">
        <f>13564</f>
        <v>13564</v>
      </c>
      <c r="X253" s="69">
        <f>20</f>
        <v>20</v>
      </c>
    </row>
    <row r="254" spans="1:24">
      <c r="A254" s="60" t="s">
        <v>956</v>
      </c>
      <c r="B254" s="60" t="s">
        <v>831</v>
      </c>
      <c r="C254" s="60" t="s">
        <v>832</v>
      </c>
      <c r="D254" s="60" t="s">
        <v>833</v>
      </c>
      <c r="E254" s="61" t="s">
        <v>46</v>
      </c>
      <c r="F254" s="62" t="s">
        <v>46</v>
      </c>
      <c r="G254" s="63" t="s">
        <v>46</v>
      </c>
      <c r="H254" s="64"/>
      <c r="I254" s="64" t="s">
        <v>47</v>
      </c>
      <c r="J254" s="65">
        <v>1</v>
      </c>
      <c r="K254" s="66">
        <f>2476</f>
        <v>2476</v>
      </c>
      <c r="L254" s="67" t="s">
        <v>853</v>
      </c>
      <c r="M254" s="66">
        <f>2490</f>
        <v>2490</v>
      </c>
      <c r="N254" s="67" t="s">
        <v>96</v>
      </c>
      <c r="O254" s="66">
        <f>2395</f>
        <v>2395</v>
      </c>
      <c r="P254" s="67" t="s">
        <v>50</v>
      </c>
      <c r="Q254" s="66">
        <f>2411</f>
        <v>2411</v>
      </c>
      <c r="R254" s="67" t="s">
        <v>873</v>
      </c>
      <c r="S254" s="68">
        <f>2452.15</f>
        <v>2452.15</v>
      </c>
      <c r="T254" s="65">
        <f>60292</f>
        <v>60292</v>
      </c>
      <c r="U254" s="65">
        <f>20669</f>
        <v>20669</v>
      </c>
      <c r="V254" s="65">
        <f>145465202</f>
        <v>145465202</v>
      </c>
      <c r="W254" s="65">
        <f>49473776</f>
        <v>49473776</v>
      </c>
      <c r="X254" s="69">
        <f>20</f>
        <v>20</v>
      </c>
    </row>
    <row r="255" spans="1:24">
      <c r="A255" s="60" t="s">
        <v>956</v>
      </c>
      <c r="B255" s="60" t="s">
        <v>834</v>
      </c>
      <c r="C255" s="60" t="s">
        <v>835</v>
      </c>
      <c r="D255" s="60" t="s">
        <v>836</v>
      </c>
      <c r="E255" s="61" t="s">
        <v>46</v>
      </c>
      <c r="F255" s="62" t="s">
        <v>46</v>
      </c>
      <c r="G255" s="63" t="s">
        <v>46</v>
      </c>
      <c r="H255" s="64"/>
      <c r="I255" s="64" t="s">
        <v>47</v>
      </c>
      <c r="J255" s="65">
        <v>1</v>
      </c>
      <c r="K255" s="66">
        <f>2497</f>
        <v>2497</v>
      </c>
      <c r="L255" s="67" t="s">
        <v>853</v>
      </c>
      <c r="M255" s="66">
        <f>2518</f>
        <v>2518</v>
      </c>
      <c r="N255" s="67" t="s">
        <v>854</v>
      </c>
      <c r="O255" s="66">
        <f>2480</f>
        <v>2480</v>
      </c>
      <c r="P255" s="67" t="s">
        <v>48</v>
      </c>
      <c r="Q255" s="66">
        <f>2490</f>
        <v>2490</v>
      </c>
      <c r="R255" s="67" t="s">
        <v>50</v>
      </c>
      <c r="S255" s="68">
        <f>2498.2</f>
        <v>2498.1999999999998</v>
      </c>
      <c r="T255" s="65">
        <f>14134</f>
        <v>14134</v>
      </c>
      <c r="U255" s="65">
        <f>4</f>
        <v>4</v>
      </c>
      <c r="V255" s="65">
        <f>35372144</f>
        <v>35372144</v>
      </c>
      <c r="W255" s="65">
        <f>10016</f>
        <v>10016</v>
      </c>
      <c r="X255" s="69">
        <f>15</f>
        <v>15</v>
      </c>
    </row>
    <row r="256" spans="1:24">
      <c r="A256" s="60" t="s">
        <v>956</v>
      </c>
      <c r="B256" s="60" t="s">
        <v>837</v>
      </c>
      <c r="C256" s="60" t="s">
        <v>838</v>
      </c>
      <c r="D256" s="60" t="s">
        <v>839</v>
      </c>
      <c r="E256" s="61" t="s">
        <v>46</v>
      </c>
      <c r="F256" s="62" t="s">
        <v>46</v>
      </c>
      <c r="G256" s="63" t="s">
        <v>46</v>
      </c>
      <c r="H256" s="64"/>
      <c r="I256" s="64" t="s">
        <v>47</v>
      </c>
      <c r="J256" s="65">
        <v>1</v>
      </c>
      <c r="K256" s="66">
        <f>2948</f>
        <v>2948</v>
      </c>
      <c r="L256" s="67" t="s">
        <v>853</v>
      </c>
      <c r="M256" s="66">
        <f>3000</f>
        <v>3000</v>
      </c>
      <c r="N256" s="67" t="s">
        <v>854</v>
      </c>
      <c r="O256" s="66">
        <f>2786</f>
        <v>2786</v>
      </c>
      <c r="P256" s="67" t="s">
        <v>873</v>
      </c>
      <c r="Q256" s="66">
        <f>2786</f>
        <v>2786</v>
      </c>
      <c r="R256" s="67" t="s">
        <v>873</v>
      </c>
      <c r="S256" s="68">
        <f>2941</f>
        <v>2941</v>
      </c>
      <c r="T256" s="65">
        <f>205539</f>
        <v>205539</v>
      </c>
      <c r="U256" s="65">
        <f>20000</f>
        <v>20000</v>
      </c>
      <c r="V256" s="65">
        <f>601419974</f>
        <v>601419974</v>
      </c>
      <c r="W256" s="65">
        <f>59120000</f>
        <v>59120000</v>
      </c>
      <c r="X256" s="69">
        <f>20</f>
        <v>20</v>
      </c>
    </row>
    <row r="257" spans="1:24">
      <c r="A257" s="60" t="s">
        <v>956</v>
      </c>
      <c r="B257" s="60" t="s">
        <v>840</v>
      </c>
      <c r="C257" s="60" t="s">
        <v>841</v>
      </c>
      <c r="D257" s="60" t="s">
        <v>842</v>
      </c>
      <c r="E257" s="61" t="s">
        <v>46</v>
      </c>
      <c r="F257" s="62" t="s">
        <v>46</v>
      </c>
      <c r="G257" s="63" t="s">
        <v>46</v>
      </c>
      <c r="H257" s="64"/>
      <c r="I257" s="64" t="s">
        <v>47</v>
      </c>
      <c r="J257" s="65">
        <v>1</v>
      </c>
      <c r="K257" s="66">
        <f>2036</f>
        <v>2036</v>
      </c>
      <c r="L257" s="67" t="s">
        <v>853</v>
      </c>
      <c r="M257" s="66">
        <f>2068</f>
        <v>2068</v>
      </c>
      <c r="N257" s="67" t="s">
        <v>855</v>
      </c>
      <c r="O257" s="66">
        <f>1928</f>
        <v>1928</v>
      </c>
      <c r="P257" s="67" t="s">
        <v>873</v>
      </c>
      <c r="Q257" s="66">
        <f>1939</f>
        <v>1939</v>
      </c>
      <c r="R257" s="67" t="s">
        <v>873</v>
      </c>
      <c r="S257" s="68">
        <f>2025.5</f>
        <v>2025.5</v>
      </c>
      <c r="T257" s="65">
        <f>599335</f>
        <v>599335</v>
      </c>
      <c r="U257" s="65">
        <f>50004</f>
        <v>50004</v>
      </c>
      <c r="V257" s="65">
        <f>1215113662</f>
        <v>1215113662</v>
      </c>
      <c r="W257" s="65">
        <f>102548130</f>
        <v>102548130</v>
      </c>
      <c r="X257" s="69">
        <f>20</f>
        <v>20</v>
      </c>
    </row>
    <row r="258" spans="1:24">
      <c r="A258" s="60" t="s">
        <v>956</v>
      </c>
      <c r="B258" s="60" t="s">
        <v>843</v>
      </c>
      <c r="C258" s="60" t="s">
        <v>844</v>
      </c>
      <c r="D258" s="60" t="s">
        <v>845</v>
      </c>
      <c r="E258" s="61" t="s">
        <v>46</v>
      </c>
      <c r="F258" s="62" t="s">
        <v>46</v>
      </c>
      <c r="G258" s="63" t="s">
        <v>46</v>
      </c>
      <c r="H258" s="64"/>
      <c r="I258" s="64" t="s">
        <v>47</v>
      </c>
      <c r="J258" s="65">
        <v>1</v>
      </c>
      <c r="K258" s="66">
        <f>2116</f>
        <v>2116</v>
      </c>
      <c r="L258" s="67" t="s">
        <v>853</v>
      </c>
      <c r="M258" s="66">
        <f>2202</f>
        <v>2202</v>
      </c>
      <c r="N258" s="67" t="s">
        <v>855</v>
      </c>
      <c r="O258" s="66">
        <f>2062</f>
        <v>2062</v>
      </c>
      <c r="P258" s="67" t="s">
        <v>873</v>
      </c>
      <c r="Q258" s="66">
        <f>2062</f>
        <v>2062</v>
      </c>
      <c r="R258" s="67" t="s">
        <v>873</v>
      </c>
      <c r="S258" s="68">
        <f>2145.75</f>
        <v>2145.75</v>
      </c>
      <c r="T258" s="65">
        <f>151721</f>
        <v>151721</v>
      </c>
      <c r="U258" s="65">
        <f>6</f>
        <v>6</v>
      </c>
      <c r="V258" s="65">
        <f>325086201</f>
        <v>325086201</v>
      </c>
      <c r="W258" s="65">
        <f>12946</f>
        <v>12946</v>
      </c>
      <c r="X258" s="69">
        <f>20</f>
        <v>20</v>
      </c>
    </row>
    <row r="259" spans="1:24">
      <c r="A259" s="60" t="s">
        <v>956</v>
      </c>
      <c r="B259" s="60" t="s">
        <v>849</v>
      </c>
      <c r="C259" s="60" t="s">
        <v>850</v>
      </c>
      <c r="D259" s="60" t="s">
        <v>851</v>
      </c>
      <c r="E259" s="61" t="s">
        <v>46</v>
      </c>
      <c r="F259" s="62" t="s">
        <v>46</v>
      </c>
      <c r="G259" s="63" t="s">
        <v>46</v>
      </c>
      <c r="H259" s="64"/>
      <c r="I259" s="64" t="s">
        <v>47</v>
      </c>
      <c r="J259" s="65">
        <v>1</v>
      </c>
      <c r="K259" s="66">
        <f>2274</f>
        <v>2274</v>
      </c>
      <c r="L259" s="67" t="s">
        <v>853</v>
      </c>
      <c r="M259" s="66">
        <f>2345</f>
        <v>2345</v>
      </c>
      <c r="N259" s="67" t="s">
        <v>96</v>
      </c>
      <c r="O259" s="66">
        <f>2170</f>
        <v>2170</v>
      </c>
      <c r="P259" s="67" t="s">
        <v>873</v>
      </c>
      <c r="Q259" s="66">
        <f>2170</f>
        <v>2170</v>
      </c>
      <c r="R259" s="67" t="s">
        <v>873</v>
      </c>
      <c r="S259" s="68">
        <f>2283.1</f>
        <v>2283.1</v>
      </c>
      <c r="T259" s="65">
        <f>155930</f>
        <v>155930</v>
      </c>
      <c r="U259" s="65">
        <f>2</f>
        <v>2</v>
      </c>
      <c r="V259" s="65">
        <f>356561987</f>
        <v>356561987</v>
      </c>
      <c r="W259" s="65">
        <f>4646</f>
        <v>4646</v>
      </c>
      <c r="X259" s="69">
        <f>20</f>
        <v>20</v>
      </c>
    </row>
    <row r="260" spans="1:24">
      <c r="A260" s="60" t="s">
        <v>956</v>
      </c>
      <c r="B260" s="60" t="s">
        <v>899</v>
      </c>
      <c r="C260" s="60" t="s">
        <v>900</v>
      </c>
      <c r="D260" s="60" t="s">
        <v>901</v>
      </c>
      <c r="E260" s="61" t="s">
        <v>46</v>
      </c>
      <c r="F260" s="62" t="s">
        <v>46</v>
      </c>
      <c r="G260" s="63" t="s">
        <v>46</v>
      </c>
      <c r="H260" s="64"/>
      <c r="I260" s="64" t="s">
        <v>47</v>
      </c>
      <c r="J260" s="65">
        <v>1</v>
      </c>
      <c r="K260" s="66">
        <f>2520</f>
        <v>2520</v>
      </c>
      <c r="L260" s="67" t="s">
        <v>853</v>
      </c>
      <c r="M260" s="66">
        <f>2705</f>
        <v>2705</v>
      </c>
      <c r="N260" s="67" t="s">
        <v>856</v>
      </c>
      <c r="O260" s="66">
        <f>2490</f>
        <v>2490</v>
      </c>
      <c r="P260" s="67" t="s">
        <v>96</v>
      </c>
      <c r="Q260" s="66">
        <f>2636</f>
        <v>2636</v>
      </c>
      <c r="R260" s="67" t="s">
        <v>873</v>
      </c>
      <c r="S260" s="68">
        <f>2591.3</f>
        <v>2591.3000000000002</v>
      </c>
      <c r="T260" s="65">
        <f>19419</f>
        <v>19419</v>
      </c>
      <c r="U260" s="65">
        <f>6</f>
        <v>6</v>
      </c>
      <c r="V260" s="65">
        <f>50516700</f>
        <v>50516700</v>
      </c>
      <c r="W260" s="65">
        <f>15763</f>
        <v>15763</v>
      </c>
      <c r="X260" s="69">
        <f>20</f>
        <v>20</v>
      </c>
    </row>
    <row r="261" spans="1:24">
      <c r="A261" s="60" t="s">
        <v>956</v>
      </c>
      <c r="B261" s="60" t="s">
        <v>903</v>
      </c>
      <c r="C261" s="60" t="s">
        <v>904</v>
      </c>
      <c r="D261" s="60" t="s">
        <v>905</v>
      </c>
      <c r="E261" s="61" t="s">
        <v>46</v>
      </c>
      <c r="F261" s="62" t="s">
        <v>46</v>
      </c>
      <c r="G261" s="63" t="s">
        <v>46</v>
      </c>
      <c r="H261" s="64"/>
      <c r="I261" s="64" t="s">
        <v>47</v>
      </c>
      <c r="J261" s="65">
        <v>1</v>
      </c>
      <c r="K261" s="66">
        <f>2745</f>
        <v>2745</v>
      </c>
      <c r="L261" s="67" t="s">
        <v>853</v>
      </c>
      <c r="M261" s="66">
        <f>2830</f>
        <v>2830</v>
      </c>
      <c r="N261" s="67" t="s">
        <v>855</v>
      </c>
      <c r="O261" s="66">
        <f>2660</f>
        <v>2660</v>
      </c>
      <c r="P261" s="67" t="s">
        <v>860</v>
      </c>
      <c r="Q261" s="66">
        <f>2670</f>
        <v>2670</v>
      </c>
      <c r="R261" s="67" t="s">
        <v>873</v>
      </c>
      <c r="S261" s="68">
        <f>2748.55</f>
        <v>2748.55</v>
      </c>
      <c r="T261" s="65">
        <f>7738</f>
        <v>7738</v>
      </c>
      <c r="U261" s="65">
        <f>6</f>
        <v>6</v>
      </c>
      <c r="V261" s="65">
        <f>21244738</f>
        <v>21244738</v>
      </c>
      <c r="W261" s="65">
        <f>16533</f>
        <v>16533</v>
      </c>
      <c r="X261" s="69">
        <f>20</f>
        <v>20</v>
      </c>
    </row>
    <row r="262" spans="1:24">
      <c r="A262" s="60" t="s">
        <v>956</v>
      </c>
      <c r="B262" s="60" t="s">
        <v>861</v>
      </c>
      <c r="C262" s="60" t="s">
        <v>862</v>
      </c>
      <c r="D262" s="60" t="s">
        <v>863</v>
      </c>
      <c r="E262" s="61" t="s">
        <v>46</v>
      </c>
      <c r="F262" s="62" t="s">
        <v>46</v>
      </c>
      <c r="G262" s="63" t="s">
        <v>46</v>
      </c>
      <c r="H262" s="64"/>
      <c r="I262" s="64" t="s">
        <v>47</v>
      </c>
      <c r="J262" s="65">
        <v>1</v>
      </c>
      <c r="K262" s="66">
        <f>11950</f>
        <v>11950</v>
      </c>
      <c r="L262" s="67" t="s">
        <v>853</v>
      </c>
      <c r="M262" s="66">
        <f>12260</f>
        <v>12260</v>
      </c>
      <c r="N262" s="67" t="s">
        <v>176</v>
      </c>
      <c r="O262" s="66">
        <f>11900</f>
        <v>11900</v>
      </c>
      <c r="P262" s="67" t="s">
        <v>857</v>
      </c>
      <c r="Q262" s="66">
        <f>11930</f>
        <v>11930</v>
      </c>
      <c r="R262" s="67" t="s">
        <v>873</v>
      </c>
      <c r="S262" s="68">
        <f>12088</f>
        <v>12088</v>
      </c>
      <c r="T262" s="65">
        <f>294353</f>
        <v>294353</v>
      </c>
      <c r="U262" s="65">
        <f>104400</f>
        <v>104400</v>
      </c>
      <c r="V262" s="65">
        <f>3551142557</f>
        <v>3551142557</v>
      </c>
      <c r="W262" s="65">
        <f>1251366562</f>
        <v>1251366562</v>
      </c>
      <c r="X262" s="69">
        <f>20</f>
        <v>20</v>
      </c>
    </row>
    <row r="263" spans="1:24">
      <c r="A263" s="60" t="s">
        <v>956</v>
      </c>
      <c r="B263" s="60" t="s">
        <v>865</v>
      </c>
      <c r="C263" s="60" t="s">
        <v>866</v>
      </c>
      <c r="D263" s="60" t="s">
        <v>867</v>
      </c>
      <c r="E263" s="61" t="s">
        <v>46</v>
      </c>
      <c r="F263" s="62" t="s">
        <v>46</v>
      </c>
      <c r="G263" s="63" t="s">
        <v>46</v>
      </c>
      <c r="H263" s="64"/>
      <c r="I263" s="64" t="s">
        <v>47</v>
      </c>
      <c r="J263" s="65">
        <v>1</v>
      </c>
      <c r="K263" s="66">
        <f>13050</f>
        <v>13050</v>
      </c>
      <c r="L263" s="67" t="s">
        <v>853</v>
      </c>
      <c r="M263" s="66">
        <f>13660</f>
        <v>13660</v>
      </c>
      <c r="N263" s="67" t="s">
        <v>132</v>
      </c>
      <c r="O263" s="66">
        <f>12980</f>
        <v>12980</v>
      </c>
      <c r="P263" s="67" t="s">
        <v>857</v>
      </c>
      <c r="Q263" s="66">
        <f>13270</f>
        <v>13270</v>
      </c>
      <c r="R263" s="67" t="s">
        <v>873</v>
      </c>
      <c r="S263" s="68">
        <f>13331.75</f>
        <v>13331.75</v>
      </c>
      <c r="T263" s="65">
        <f>752552</f>
        <v>752552</v>
      </c>
      <c r="U263" s="65">
        <f>15205</f>
        <v>15205</v>
      </c>
      <c r="V263" s="65">
        <f>10043699417</f>
        <v>10043699417</v>
      </c>
      <c r="W263" s="65">
        <f>200643192</f>
        <v>200643192</v>
      </c>
      <c r="X263" s="69">
        <f>20</f>
        <v>20</v>
      </c>
    </row>
    <row r="264" spans="1:24">
      <c r="A264" s="60" t="s">
        <v>956</v>
      </c>
      <c r="B264" s="60" t="s">
        <v>868</v>
      </c>
      <c r="C264" s="60" t="s">
        <v>869</v>
      </c>
      <c r="D264" s="60" t="s">
        <v>870</v>
      </c>
      <c r="E264" s="61" t="s">
        <v>46</v>
      </c>
      <c r="F264" s="62" t="s">
        <v>46</v>
      </c>
      <c r="G264" s="63" t="s">
        <v>46</v>
      </c>
      <c r="H264" s="64"/>
      <c r="I264" s="64" t="s">
        <v>47</v>
      </c>
      <c r="J264" s="65">
        <v>1</v>
      </c>
      <c r="K264" s="66">
        <f>12030</f>
        <v>12030</v>
      </c>
      <c r="L264" s="67" t="s">
        <v>853</v>
      </c>
      <c r="M264" s="66">
        <f>12590</f>
        <v>12590</v>
      </c>
      <c r="N264" s="67" t="s">
        <v>132</v>
      </c>
      <c r="O264" s="66">
        <f>12000</f>
        <v>12000</v>
      </c>
      <c r="P264" s="67" t="s">
        <v>857</v>
      </c>
      <c r="Q264" s="66">
        <f>12335</f>
        <v>12335</v>
      </c>
      <c r="R264" s="67" t="s">
        <v>873</v>
      </c>
      <c r="S264" s="68">
        <f>12298.5</f>
        <v>12298.5</v>
      </c>
      <c r="T264" s="65">
        <f>295997</f>
        <v>295997</v>
      </c>
      <c r="U264" s="65">
        <f>34052</f>
        <v>34052</v>
      </c>
      <c r="V264" s="65">
        <f>3641980144</f>
        <v>3641980144</v>
      </c>
      <c r="W264" s="65">
        <f>418246944</f>
        <v>418246944</v>
      </c>
      <c r="X264" s="69">
        <f>20</f>
        <v>20</v>
      </c>
    </row>
    <row r="265" spans="1:24">
      <c r="A265" s="60" t="s">
        <v>956</v>
      </c>
      <c r="B265" s="60" t="s">
        <v>879</v>
      </c>
      <c r="C265" s="60" t="s">
        <v>880</v>
      </c>
      <c r="D265" s="60" t="s">
        <v>881</v>
      </c>
      <c r="E265" s="61" t="s">
        <v>46</v>
      </c>
      <c r="F265" s="62" t="s">
        <v>46</v>
      </c>
      <c r="G265" s="63" t="s">
        <v>46</v>
      </c>
      <c r="H265" s="64"/>
      <c r="I265" s="64" t="s">
        <v>47</v>
      </c>
      <c r="J265" s="65">
        <v>10</v>
      </c>
      <c r="K265" s="66">
        <f>2441</f>
        <v>2441</v>
      </c>
      <c r="L265" s="67" t="s">
        <v>853</v>
      </c>
      <c r="M265" s="66">
        <f>2521</f>
        <v>2521</v>
      </c>
      <c r="N265" s="67" t="s">
        <v>176</v>
      </c>
      <c r="O265" s="66">
        <f>2415</f>
        <v>2415</v>
      </c>
      <c r="P265" s="67" t="s">
        <v>873</v>
      </c>
      <c r="Q265" s="66">
        <f>2415</f>
        <v>2415</v>
      </c>
      <c r="R265" s="67" t="s">
        <v>873</v>
      </c>
      <c r="S265" s="68">
        <f>2464.6</f>
        <v>2464.6</v>
      </c>
      <c r="T265" s="65">
        <f>790070</f>
        <v>790070</v>
      </c>
      <c r="U265" s="65">
        <f>82090</f>
        <v>82090</v>
      </c>
      <c r="V265" s="65">
        <f>1943713623</f>
        <v>1943713623</v>
      </c>
      <c r="W265" s="65">
        <f>200386848</f>
        <v>200386848</v>
      </c>
      <c r="X265" s="69">
        <f>20</f>
        <v>20</v>
      </c>
    </row>
    <row r="266" spans="1:24">
      <c r="A266" s="60" t="s">
        <v>956</v>
      </c>
      <c r="B266" s="60" t="s">
        <v>883</v>
      </c>
      <c r="C266" s="60" t="s">
        <v>884</v>
      </c>
      <c r="D266" s="60" t="s">
        <v>885</v>
      </c>
      <c r="E266" s="61" t="s">
        <v>46</v>
      </c>
      <c r="F266" s="62" t="s">
        <v>46</v>
      </c>
      <c r="G266" s="63" t="s">
        <v>46</v>
      </c>
      <c r="H266" s="64"/>
      <c r="I266" s="64" t="s">
        <v>47</v>
      </c>
      <c r="J266" s="65">
        <v>10</v>
      </c>
      <c r="K266" s="66">
        <f>2334</f>
        <v>2334</v>
      </c>
      <c r="L266" s="67" t="s">
        <v>853</v>
      </c>
      <c r="M266" s="66">
        <f>2398</f>
        <v>2398</v>
      </c>
      <c r="N266" s="67" t="s">
        <v>613</v>
      </c>
      <c r="O266" s="66">
        <f>2324</f>
        <v>2324</v>
      </c>
      <c r="P266" s="67" t="s">
        <v>857</v>
      </c>
      <c r="Q266" s="66">
        <f>2332</f>
        <v>2332</v>
      </c>
      <c r="R266" s="67" t="s">
        <v>873</v>
      </c>
      <c r="S266" s="68">
        <f>2361.23</f>
        <v>2361.23</v>
      </c>
      <c r="T266" s="65">
        <f>3436030</f>
        <v>3436030</v>
      </c>
      <c r="U266" s="65">
        <f>2241320</f>
        <v>2241320</v>
      </c>
      <c r="V266" s="65">
        <f>8118980769</f>
        <v>8118980769</v>
      </c>
      <c r="W266" s="65">
        <f>5300190629</f>
        <v>5300190629</v>
      </c>
      <c r="X266" s="69">
        <f>20</f>
        <v>20</v>
      </c>
    </row>
    <row r="267" spans="1:24">
      <c r="A267" s="60" t="s">
        <v>956</v>
      </c>
      <c r="B267" s="60" t="s">
        <v>886</v>
      </c>
      <c r="C267" s="60" t="s">
        <v>887</v>
      </c>
      <c r="D267" s="60" t="s">
        <v>888</v>
      </c>
      <c r="E267" s="61" t="s">
        <v>46</v>
      </c>
      <c r="F267" s="62" t="s">
        <v>46</v>
      </c>
      <c r="G267" s="63" t="s">
        <v>46</v>
      </c>
      <c r="H267" s="64"/>
      <c r="I267" s="64" t="s">
        <v>47</v>
      </c>
      <c r="J267" s="65">
        <v>10</v>
      </c>
      <c r="K267" s="66">
        <f>2482</f>
        <v>2482</v>
      </c>
      <c r="L267" s="67" t="s">
        <v>853</v>
      </c>
      <c r="M267" s="66">
        <f>2581</f>
        <v>2581</v>
      </c>
      <c r="N267" s="67" t="s">
        <v>176</v>
      </c>
      <c r="O267" s="66">
        <f>2460</f>
        <v>2460</v>
      </c>
      <c r="P267" s="67" t="s">
        <v>857</v>
      </c>
      <c r="Q267" s="66">
        <f>2469</f>
        <v>2469</v>
      </c>
      <c r="R267" s="67" t="s">
        <v>873</v>
      </c>
      <c r="S267" s="68">
        <f>2515.48</f>
        <v>2515.48</v>
      </c>
      <c r="T267" s="65">
        <f>238760</f>
        <v>238760</v>
      </c>
      <c r="U267" s="65">
        <f>20000</f>
        <v>20000</v>
      </c>
      <c r="V267" s="65">
        <f>598394413</f>
        <v>598394413</v>
      </c>
      <c r="W267" s="65">
        <f>50559588</f>
        <v>50559588</v>
      </c>
      <c r="X267" s="69">
        <f>20</f>
        <v>20</v>
      </c>
    </row>
    <row r="268" spans="1:24">
      <c r="A268" s="60" t="s">
        <v>956</v>
      </c>
      <c r="B268" s="60" t="s">
        <v>889</v>
      </c>
      <c r="C268" s="60" t="s">
        <v>890</v>
      </c>
      <c r="D268" s="60" t="s">
        <v>891</v>
      </c>
      <c r="E268" s="61" t="s">
        <v>46</v>
      </c>
      <c r="F268" s="62" t="s">
        <v>46</v>
      </c>
      <c r="G268" s="63" t="s">
        <v>46</v>
      </c>
      <c r="H268" s="64"/>
      <c r="I268" s="64" t="s">
        <v>47</v>
      </c>
      <c r="J268" s="65">
        <v>1</v>
      </c>
      <c r="K268" s="66">
        <f>2855</f>
        <v>2855</v>
      </c>
      <c r="L268" s="67" t="s">
        <v>853</v>
      </c>
      <c r="M268" s="66">
        <f>2918</f>
        <v>2918</v>
      </c>
      <c r="N268" s="67" t="s">
        <v>132</v>
      </c>
      <c r="O268" s="66">
        <f>2759</f>
        <v>2759</v>
      </c>
      <c r="P268" s="67" t="s">
        <v>873</v>
      </c>
      <c r="Q268" s="66">
        <f>2759</f>
        <v>2759</v>
      </c>
      <c r="R268" s="67" t="s">
        <v>873</v>
      </c>
      <c r="S268" s="68">
        <f>2861.5</f>
        <v>2861.5</v>
      </c>
      <c r="T268" s="65">
        <f>6725</f>
        <v>6725</v>
      </c>
      <c r="U268" s="65" t="str">
        <f>"－"</f>
        <v>－</v>
      </c>
      <c r="V268" s="65">
        <f>19134851</f>
        <v>19134851</v>
      </c>
      <c r="W268" s="65" t="str">
        <f>"－"</f>
        <v>－</v>
      </c>
      <c r="X268" s="69">
        <f>20</f>
        <v>20</v>
      </c>
    </row>
    <row r="269" spans="1:24">
      <c r="A269" s="60" t="s">
        <v>956</v>
      </c>
      <c r="B269" s="60" t="s">
        <v>892</v>
      </c>
      <c r="C269" s="60" t="s">
        <v>893</v>
      </c>
      <c r="D269" s="60" t="s">
        <v>894</v>
      </c>
      <c r="E269" s="61" t="s">
        <v>46</v>
      </c>
      <c r="F269" s="62" t="s">
        <v>46</v>
      </c>
      <c r="G269" s="63" t="s">
        <v>46</v>
      </c>
      <c r="H269" s="64"/>
      <c r="I269" s="64" t="s">
        <v>47</v>
      </c>
      <c r="J269" s="65">
        <v>1</v>
      </c>
      <c r="K269" s="66">
        <f>1821</f>
        <v>1821</v>
      </c>
      <c r="L269" s="67" t="s">
        <v>853</v>
      </c>
      <c r="M269" s="66">
        <f>1863</f>
        <v>1863</v>
      </c>
      <c r="N269" s="67" t="s">
        <v>132</v>
      </c>
      <c r="O269" s="66">
        <f>1720</f>
        <v>1720</v>
      </c>
      <c r="P269" s="67" t="s">
        <v>50</v>
      </c>
      <c r="Q269" s="66">
        <f>1733</f>
        <v>1733</v>
      </c>
      <c r="R269" s="67" t="s">
        <v>873</v>
      </c>
      <c r="S269" s="68">
        <f>1821.15</f>
        <v>1821.15</v>
      </c>
      <c r="T269" s="65">
        <f>149275</f>
        <v>149275</v>
      </c>
      <c r="U269" s="65">
        <f>6</f>
        <v>6</v>
      </c>
      <c r="V269" s="65">
        <f>272188162</f>
        <v>272188162</v>
      </c>
      <c r="W269" s="65">
        <f>10908</f>
        <v>10908</v>
      </c>
      <c r="X269" s="69">
        <f>20</f>
        <v>20</v>
      </c>
    </row>
    <row r="270" spans="1:24">
      <c r="A270" s="60" t="s">
        <v>956</v>
      </c>
      <c r="B270" s="60" t="s">
        <v>910</v>
      </c>
      <c r="C270" s="60" t="s">
        <v>911</v>
      </c>
      <c r="D270" s="60" t="s">
        <v>912</v>
      </c>
      <c r="E270" s="61" t="s">
        <v>46</v>
      </c>
      <c r="F270" s="62" t="s">
        <v>46</v>
      </c>
      <c r="G270" s="63" t="s">
        <v>46</v>
      </c>
      <c r="H270" s="64"/>
      <c r="I270" s="64" t="s">
        <v>47</v>
      </c>
      <c r="J270" s="65">
        <v>1</v>
      </c>
      <c r="K270" s="66">
        <f>2306</f>
        <v>2306</v>
      </c>
      <c r="L270" s="67" t="s">
        <v>853</v>
      </c>
      <c r="M270" s="66">
        <f>2405</f>
        <v>2405</v>
      </c>
      <c r="N270" s="67" t="s">
        <v>613</v>
      </c>
      <c r="O270" s="66">
        <f>2245</f>
        <v>2245</v>
      </c>
      <c r="P270" s="67" t="s">
        <v>50</v>
      </c>
      <c r="Q270" s="66">
        <f>2247</f>
        <v>2247</v>
      </c>
      <c r="R270" s="67" t="s">
        <v>873</v>
      </c>
      <c r="S270" s="68">
        <f>2329.7</f>
        <v>2329.6999999999998</v>
      </c>
      <c r="T270" s="65">
        <f>53558</f>
        <v>53558</v>
      </c>
      <c r="U270" s="65">
        <f>2</f>
        <v>2</v>
      </c>
      <c r="V270" s="65">
        <f>124313924</f>
        <v>124313924</v>
      </c>
      <c r="W270" s="65">
        <f>4780</f>
        <v>4780</v>
      </c>
      <c r="X270" s="69">
        <f>20</f>
        <v>20</v>
      </c>
    </row>
    <row r="271" spans="1:24">
      <c r="A271" s="60" t="s">
        <v>956</v>
      </c>
      <c r="B271" s="60" t="s">
        <v>914</v>
      </c>
      <c r="C271" s="60" t="s">
        <v>915</v>
      </c>
      <c r="D271" s="60" t="s">
        <v>916</v>
      </c>
      <c r="E271" s="61" t="s">
        <v>46</v>
      </c>
      <c r="F271" s="62" t="s">
        <v>46</v>
      </c>
      <c r="G271" s="63" t="s">
        <v>46</v>
      </c>
      <c r="H271" s="64"/>
      <c r="I271" s="64" t="s">
        <v>47</v>
      </c>
      <c r="J271" s="65">
        <v>1</v>
      </c>
      <c r="K271" s="66">
        <f>1891</f>
        <v>1891</v>
      </c>
      <c r="L271" s="67" t="s">
        <v>853</v>
      </c>
      <c r="M271" s="66">
        <f>1891</f>
        <v>1891</v>
      </c>
      <c r="N271" s="67" t="s">
        <v>853</v>
      </c>
      <c r="O271" s="66">
        <f>1772</f>
        <v>1772</v>
      </c>
      <c r="P271" s="67" t="s">
        <v>873</v>
      </c>
      <c r="Q271" s="66">
        <f>1772</f>
        <v>1772</v>
      </c>
      <c r="R271" s="67" t="s">
        <v>873</v>
      </c>
      <c r="S271" s="68">
        <f>1846.45</f>
        <v>1846.45</v>
      </c>
      <c r="T271" s="65">
        <f>63820</f>
        <v>63820</v>
      </c>
      <c r="U271" s="65">
        <f>2</f>
        <v>2</v>
      </c>
      <c r="V271" s="65">
        <f>117566616</f>
        <v>117566616</v>
      </c>
      <c r="W271" s="65">
        <f>3738</f>
        <v>3738</v>
      </c>
      <c r="X271" s="69">
        <f>20</f>
        <v>20</v>
      </c>
    </row>
    <row r="272" spans="1:24">
      <c r="A272" s="60" t="s">
        <v>956</v>
      </c>
      <c r="B272" s="60" t="s">
        <v>917</v>
      </c>
      <c r="C272" s="60" t="s">
        <v>918</v>
      </c>
      <c r="D272" s="60" t="s">
        <v>919</v>
      </c>
      <c r="E272" s="61" t="s">
        <v>46</v>
      </c>
      <c r="F272" s="62" t="s">
        <v>46</v>
      </c>
      <c r="G272" s="63" t="s">
        <v>46</v>
      </c>
      <c r="H272" s="64"/>
      <c r="I272" s="64" t="s">
        <v>47</v>
      </c>
      <c r="J272" s="65">
        <v>1</v>
      </c>
      <c r="K272" s="66">
        <f>2592</f>
        <v>2592</v>
      </c>
      <c r="L272" s="67" t="s">
        <v>853</v>
      </c>
      <c r="M272" s="66">
        <f>2773</f>
        <v>2773</v>
      </c>
      <c r="N272" s="67" t="s">
        <v>854</v>
      </c>
      <c r="O272" s="66">
        <f>2568</f>
        <v>2568</v>
      </c>
      <c r="P272" s="67" t="s">
        <v>873</v>
      </c>
      <c r="Q272" s="66">
        <f>2571</f>
        <v>2571</v>
      </c>
      <c r="R272" s="67" t="s">
        <v>873</v>
      </c>
      <c r="S272" s="68">
        <f>2670.7</f>
        <v>2670.7</v>
      </c>
      <c r="T272" s="65">
        <f>59852</f>
        <v>59852</v>
      </c>
      <c r="U272" s="65">
        <f>19</f>
        <v>19</v>
      </c>
      <c r="V272" s="65">
        <f>159371120</f>
        <v>159371120</v>
      </c>
      <c r="W272" s="65">
        <f>50920</f>
        <v>50920</v>
      </c>
      <c r="X272" s="69">
        <f>20</f>
        <v>20</v>
      </c>
    </row>
    <row r="273" spans="1:24">
      <c r="A273" s="60" t="s">
        <v>956</v>
      </c>
      <c r="B273" s="60" t="s">
        <v>920</v>
      </c>
      <c r="C273" s="60" t="s">
        <v>921</v>
      </c>
      <c r="D273" s="60" t="s">
        <v>922</v>
      </c>
      <c r="E273" s="61" t="s">
        <v>46</v>
      </c>
      <c r="F273" s="62" t="s">
        <v>46</v>
      </c>
      <c r="G273" s="63" t="s">
        <v>46</v>
      </c>
      <c r="H273" s="64"/>
      <c r="I273" s="64" t="s">
        <v>47</v>
      </c>
      <c r="J273" s="65">
        <v>1</v>
      </c>
      <c r="K273" s="66">
        <f>2125</f>
        <v>2125</v>
      </c>
      <c r="L273" s="67" t="s">
        <v>853</v>
      </c>
      <c r="M273" s="66">
        <f>2198</f>
        <v>2198</v>
      </c>
      <c r="N273" s="67" t="s">
        <v>613</v>
      </c>
      <c r="O273" s="66">
        <f>2067</f>
        <v>2067</v>
      </c>
      <c r="P273" s="67" t="s">
        <v>873</v>
      </c>
      <c r="Q273" s="66">
        <f>2067</f>
        <v>2067</v>
      </c>
      <c r="R273" s="67" t="s">
        <v>873</v>
      </c>
      <c r="S273" s="68">
        <f>2143.25</f>
        <v>2143.25</v>
      </c>
      <c r="T273" s="65">
        <f>89556</f>
        <v>89556</v>
      </c>
      <c r="U273" s="65">
        <f>2</f>
        <v>2</v>
      </c>
      <c r="V273" s="65">
        <f>192095002</f>
        <v>192095002</v>
      </c>
      <c r="W273" s="65">
        <f>4263</f>
        <v>4263</v>
      </c>
      <c r="X273" s="69">
        <f>20</f>
        <v>20</v>
      </c>
    </row>
    <row r="274" spans="1:24">
      <c r="A274" s="60" t="s">
        <v>956</v>
      </c>
      <c r="B274" s="60" t="s">
        <v>923</v>
      </c>
      <c r="C274" s="60" t="s">
        <v>924</v>
      </c>
      <c r="D274" s="60" t="s">
        <v>925</v>
      </c>
      <c r="E274" s="61" t="s">
        <v>46</v>
      </c>
      <c r="F274" s="62" t="s">
        <v>46</v>
      </c>
      <c r="G274" s="63" t="s">
        <v>46</v>
      </c>
      <c r="H274" s="64"/>
      <c r="I274" s="64" t="s">
        <v>47</v>
      </c>
      <c r="J274" s="65">
        <v>1</v>
      </c>
      <c r="K274" s="66">
        <f>26500</f>
        <v>26500</v>
      </c>
      <c r="L274" s="67" t="s">
        <v>853</v>
      </c>
      <c r="M274" s="66">
        <f>27820</f>
        <v>27820</v>
      </c>
      <c r="N274" s="67" t="s">
        <v>69</v>
      </c>
      <c r="O274" s="66">
        <f>25810</f>
        <v>25810</v>
      </c>
      <c r="P274" s="67" t="s">
        <v>873</v>
      </c>
      <c r="Q274" s="66">
        <f>25810</f>
        <v>25810</v>
      </c>
      <c r="R274" s="67" t="s">
        <v>873</v>
      </c>
      <c r="S274" s="68">
        <f>26894.58</f>
        <v>26894.58</v>
      </c>
      <c r="T274" s="65">
        <f>65</f>
        <v>65</v>
      </c>
      <c r="U274" s="65" t="str">
        <f>"－"</f>
        <v>－</v>
      </c>
      <c r="V274" s="65">
        <f>1752990</f>
        <v>1752990</v>
      </c>
      <c r="W274" s="65" t="str">
        <f>"－"</f>
        <v>－</v>
      </c>
      <c r="X274" s="69">
        <f>12</f>
        <v>12</v>
      </c>
    </row>
    <row r="275" spans="1:24">
      <c r="A275" s="60" t="s">
        <v>956</v>
      </c>
      <c r="B275" s="60" t="s">
        <v>927</v>
      </c>
      <c r="C275" s="60" t="s">
        <v>928</v>
      </c>
      <c r="D275" s="60" t="s">
        <v>929</v>
      </c>
      <c r="E275" s="61" t="s">
        <v>46</v>
      </c>
      <c r="F275" s="62" t="s">
        <v>46</v>
      </c>
      <c r="G275" s="63" t="s">
        <v>46</v>
      </c>
      <c r="H275" s="64"/>
      <c r="I275" s="64" t="s">
        <v>47</v>
      </c>
      <c r="J275" s="65">
        <v>1</v>
      </c>
      <c r="K275" s="66">
        <f>2118</f>
        <v>2118</v>
      </c>
      <c r="L275" s="67" t="s">
        <v>853</v>
      </c>
      <c r="M275" s="66">
        <f>2170</f>
        <v>2170</v>
      </c>
      <c r="N275" s="67" t="s">
        <v>96</v>
      </c>
      <c r="O275" s="66">
        <f>2025</f>
        <v>2025</v>
      </c>
      <c r="P275" s="67" t="s">
        <v>873</v>
      </c>
      <c r="Q275" s="66">
        <f>2025</f>
        <v>2025</v>
      </c>
      <c r="R275" s="67" t="s">
        <v>873</v>
      </c>
      <c r="S275" s="68">
        <f>2111</f>
        <v>2111</v>
      </c>
      <c r="T275" s="65">
        <f>55765</f>
        <v>55765</v>
      </c>
      <c r="U275" s="65">
        <f>6</f>
        <v>6</v>
      </c>
      <c r="V275" s="65">
        <f>116987344</f>
        <v>116987344</v>
      </c>
      <c r="W275" s="65">
        <f>12797</f>
        <v>12797</v>
      </c>
      <c r="X275" s="69">
        <f>20</f>
        <v>20</v>
      </c>
    </row>
    <row r="276" spans="1:24">
      <c r="A276" s="60" t="s">
        <v>956</v>
      </c>
      <c r="B276" s="60" t="s">
        <v>936</v>
      </c>
      <c r="C276" s="60" t="s">
        <v>937</v>
      </c>
      <c r="D276" s="60" t="s">
        <v>938</v>
      </c>
      <c r="E276" s="61" t="s">
        <v>46</v>
      </c>
      <c r="F276" s="62" t="s">
        <v>46</v>
      </c>
      <c r="G276" s="63" t="s">
        <v>46</v>
      </c>
      <c r="H276" s="64"/>
      <c r="I276" s="64" t="s">
        <v>47</v>
      </c>
      <c r="J276" s="65">
        <v>1</v>
      </c>
      <c r="K276" s="66">
        <f>2374</f>
        <v>2374</v>
      </c>
      <c r="L276" s="67" t="s">
        <v>853</v>
      </c>
      <c r="M276" s="66">
        <f>2688</f>
        <v>2688</v>
      </c>
      <c r="N276" s="67" t="s">
        <v>132</v>
      </c>
      <c r="O276" s="66">
        <f>2354</f>
        <v>2354</v>
      </c>
      <c r="P276" s="67" t="s">
        <v>853</v>
      </c>
      <c r="Q276" s="66">
        <f>2494</f>
        <v>2494</v>
      </c>
      <c r="R276" s="67" t="s">
        <v>873</v>
      </c>
      <c r="S276" s="68">
        <f>2516.25</f>
        <v>2516.25</v>
      </c>
      <c r="T276" s="65">
        <f>781169</f>
        <v>781169</v>
      </c>
      <c r="U276" s="65">
        <f>37186</f>
        <v>37186</v>
      </c>
      <c r="V276" s="65">
        <f>1997219176</f>
        <v>1997219176</v>
      </c>
      <c r="W276" s="65">
        <f>96806034</f>
        <v>96806034</v>
      </c>
      <c r="X276" s="69">
        <f>20</f>
        <v>20</v>
      </c>
    </row>
    <row r="277" spans="1:24">
      <c r="A277" s="60" t="s">
        <v>956</v>
      </c>
      <c r="B277" s="60" t="s">
        <v>940</v>
      </c>
      <c r="C277" s="60" t="s">
        <v>941</v>
      </c>
      <c r="D277" s="60" t="s">
        <v>942</v>
      </c>
      <c r="E277" s="61" t="s">
        <v>46</v>
      </c>
      <c r="F277" s="62" t="s">
        <v>46</v>
      </c>
      <c r="G277" s="63" t="s">
        <v>46</v>
      </c>
      <c r="H277" s="64"/>
      <c r="I277" s="64" t="s">
        <v>47</v>
      </c>
      <c r="J277" s="65">
        <v>1</v>
      </c>
      <c r="K277" s="66">
        <f>2101</f>
        <v>2101</v>
      </c>
      <c r="L277" s="67" t="s">
        <v>853</v>
      </c>
      <c r="M277" s="66">
        <f>2189</f>
        <v>2189</v>
      </c>
      <c r="N277" s="67" t="s">
        <v>69</v>
      </c>
      <c r="O277" s="66">
        <f>1958</f>
        <v>1958</v>
      </c>
      <c r="P277" s="67" t="s">
        <v>50</v>
      </c>
      <c r="Q277" s="66">
        <f>1972</f>
        <v>1972</v>
      </c>
      <c r="R277" s="67" t="s">
        <v>873</v>
      </c>
      <c r="S277" s="68">
        <f>2124.8</f>
        <v>2124.8000000000002</v>
      </c>
      <c r="T277" s="65">
        <f>156605</f>
        <v>156605</v>
      </c>
      <c r="U277" s="65" t="str">
        <f>"－"</f>
        <v>－</v>
      </c>
      <c r="V277" s="65">
        <f>335543321</f>
        <v>335543321</v>
      </c>
      <c r="W277" s="65" t="str">
        <f>"－"</f>
        <v>－</v>
      </c>
      <c r="X277" s="69">
        <f>20</f>
        <v>20</v>
      </c>
    </row>
    <row r="278" spans="1:24">
      <c r="A278" s="60" t="s">
        <v>956</v>
      </c>
      <c r="B278" s="60" t="s">
        <v>943</v>
      </c>
      <c r="C278" s="60" t="s">
        <v>944</v>
      </c>
      <c r="D278" s="60" t="s">
        <v>945</v>
      </c>
      <c r="E278" s="61" t="s">
        <v>46</v>
      </c>
      <c r="F278" s="62" t="s">
        <v>46</v>
      </c>
      <c r="G278" s="63" t="s">
        <v>46</v>
      </c>
      <c r="H278" s="64"/>
      <c r="I278" s="64" t="s">
        <v>47</v>
      </c>
      <c r="J278" s="65">
        <v>1</v>
      </c>
      <c r="K278" s="66">
        <f>1453</f>
        <v>1453</v>
      </c>
      <c r="L278" s="67" t="s">
        <v>853</v>
      </c>
      <c r="M278" s="66">
        <f>1462</f>
        <v>1462</v>
      </c>
      <c r="N278" s="67" t="s">
        <v>857</v>
      </c>
      <c r="O278" s="66">
        <f>1314</f>
        <v>1314</v>
      </c>
      <c r="P278" s="67" t="s">
        <v>873</v>
      </c>
      <c r="Q278" s="66">
        <f>1314</f>
        <v>1314</v>
      </c>
      <c r="R278" s="67" t="s">
        <v>873</v>
      </c>
      <c r="S278" s="68">
        <f>1393.2</f>
        <v>1393.2</v>
      </c>
      <c r="T278" s="65">
        <f>44879</f>
        <v>44879</v>
      </c>
      <c r="U278" s="65" t="str">
        <f>"－"</f>
        <v>－</v>
      </c>
      <c r="V278" s="65">
        <f>62245978</f>
        <v>62245978</v>
      </c>
      <c r="W278" s="65" t="str">
        <f>"－"</f>
        <v>－</v>
      </c>
      <c r="X278" s="69">
        <f>20</f>
        <v>20</v>
      </c>
    </row>
    <row r="279" spans="1:24">
      <c r="A279" s="60" t="s">
        <v>956</v>
      </c>
      <c r="B279" s="60" t="s">
        <v>948</v>
      </c>
      <c r="C279" s="60" t="s">
        <v>949</v>
      </c>
      <c r="D279" s="60" t="s">
        <v>950</v>
      </c>
      <c r="E279" s="61" t="s">
        <v>46</v>
      </c>
      <c r="F279" s="62" t="s">
        <v>46</v>
      </c>
      <c r="G279" s="63" t="s">
        <v>46</v>
      </c>
      <c r="H279" s="64"/>
      <c r="I279" s="64" t="s">
        <v>47</v>
      </c>
      <c r="J279" s="65">
        <v>10</v>
      </c>
      <c r="K279" s="66">
        <f>5020</f>
        <v>5020</v>
      </c>
      <c r="L279" s="67" t="s">
        <v>853</v>
      </c>
      <c r="M279" s="66">
        <f>5110</f>
        <v>5110</v>
      </c>
      <c r="N279" s="67" t="s">
        <v>69</v>
      </c>
      <c r="O279" s="66">
        <f>5019</f>
        <v>5019</v>
      </c>
      <c r="P279" s="67" t="s">
        <v>50</v>
      </c>
      <c r="Q279" s="66">
        <f>5042</f>
        <v>5042</v>
      </c>
      <c r="R279" s="67" t="s">
        <v>873</v>
      </c>
      <c r="S279" s="68">
        <f>5029.4</f>
        <v>5029.3999999999996</v>
      </c>
      <c r="T279" s="65">
        <f>164580</f>
        <v>164580</v>
      </c>
      <c r="U279" s="65" t="str">
        <f>"－"</f>
        <v>－</v>
      </c>
      <c r="V279" s="65">
        <f>826984160</f>
        <v>826984160</v>
      </c>
      <c r="W279" s="65" t="str">
        <f>"－"</f>
        <v>－</v>
      </c>
      <c r="X279" s="69">
        <f>15</f>
        <v>15</v>
      </c>
    </row>
    <row r="280" spans="1:24">
      <c r="A280" s="60" t="s">
        <v>956</v>
      </c>
      <c r="B280" s="60" t="s">
        <v>952</v>
      </c>
      <c r="C280" s="60" t="s">
        <v>953</v>
      </c>
      <c r="D280" s="60" t="s">
        <v>954</v>
      </c>
      <c r="E280" s="61" t="s">
        <v>46</v>
      </c>
      <c r="F280" s="62" t="s">
        <v>46</v>
      </c>
      <c r="G280" s="63" t="s">
        <v>46</v>
      </c>
      <c r="H280" s="64"/>
      <c r="I280" s="64" t="s">
        <v>47</v>
      </c>
      <c r="J280" s="65">
        <v>10</v>
      </c>
      <c r="K280" s="66">
        <f>5010</f>
        <v>5010</v>
      </c>
      <c r="L280" s="67" t="s">
        <v>853</v>
      </c>
      <c r="M280" s="66">
        <f>5050</f>
        <v>5050</v>
      </c>
      <c r="N280" s="67" t="s">
        <v>859</v>
      </c>
      <c r="O280" s="66">
        <f>4965</f>
        <v>4965</v>
      </c>
      <c r="P280" s="67" t="s">
        <v>856</v>
      </c>
      <c r="Q280" s="66">
        <f>5048</f>
        <v>5048</v>
      </c>
      <c r="R280" s="67" t="s">
        <v>873</v>
      </c>
      <c r="S280" s="68">
        <f>5012.64</f>
        <v>5012.6400000000003</v>
      </c>
      <c r="T280" s="65">
        <f>191120</f>
        <v>191120</v>
      </c>
      <c r="U280" s="65">
        <f>40000</f>
        <v>40000</v>
      </c>
      <c r="V280" s="65">
        <f>958232550</f>
        <v>958232550</v>
      </c>
      <c r="W280" s="65">
        <f>199088000</f>
        <v>199088000</v>
      </c>
      <c r="X280" s="69">
        <f>14</f>
        <v>14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B43D1-4A20-4E9C-A1AA-76784F1C34A9}">
  <sheetPr>
    <pageSetUpPr fitToPage="1"/>
  </sheetPr>
  <dimension ref="A1:X284"/>
  <sheetViews>
    <sheetView showGridLines="0" view="pageBreakPreview" zoomScaleNormal="70" zoomScaleSheetLayoutView="100" workbookViewId="0">
      <pane ySplit="6" topLeftCell="A25" activePane="bottomLeft" state="frozen"/>
      <selection pane="bottomLeft"/>
    </sheetView>
  </sheetViews>
  <sheetFormatPr defaultColWidth="9" defaultRowHeight="13.2"/>
  <cols>
    <col min="1" max="1" width="13.109375" style="1" bestFit="1" customWidth="1"/>
    <col min="2" max="2" width="10.77734375" style="1" bestFit="1" customWidth="1"/>
    <col min="3" max="4" width="27.6640625" style="1" customWidth="1"/>
    <col min="5" max="5" width="13.77734375" style="1" bestFit="1" customWidth="1"/>
    <col min="6" max="6" width="20.77734375" style="1" bestFit="1" customWidth="1"/>
    <col min="7" max="7" width="11.21875" style="1" customWidth="1"/>
    <col min="8" max="8" width="8.77734375" style="1" bestFit="1" customWidth="1"/>
    <col min="9" max="9" width="11.77734375" style="1" bestFit="1" customWidth="1"/>
    <col min="10" max="10" width="12.6640625" style="1" bestFit="1" customWidth="1"/>
    <col min="11" max="11" width="16.21875" style="1" customWidth="1"/>
    <col min="12" max="12" width="5.6640625" style="1" bestFit="1" customWidth="1"/>
    <col min="13" max="13" width="16.21875" style="1" customWidth="1"/>
    <col min="14" max="14" width="5.6640625" style="1" bestFit="1" customWidth="1"/>
    <col min="15" max="15" width="16.21875" style="1" customWidth="1"/>
    <col min="16" max="16" width="5.6640625" style="1" bestFit="1" customWidth="1"/>
    <col min="17" max="17" width="16.21875" style="1" customWidth="1"/>
    <col min="18" max="18" width="5.6640625" style="1" bestFit="1" customWidth="1"/>
    <col min="19" max="19" width="23.88671875" style="1" bestFit="1" customWidth="1"/>
    <col min="20" max="20" width="16.21875" style="1" customWidth="1"/>
    <col min="21" max="21" width="24.109375" style="1" customWidth="1"/>
    <col min="22" max="22" width="19.88671875" style="1" bestFit="1" customWidth="1"/>
    <col min="23" max="23" width="25" style="1" bestFit="1" customWidth="1"/>
    <col min="24" max="24" width="13.109375" style="1" bestFit="1" customWidth="1"/>
    <col min="25" max="16384" width="9" style="1"/>
  </cols>
  <sheetData>
    <row r="1" spans="1:24" ht="13.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70" t="s">
        <v>22</v>
      </c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4" ht="99" customHeight="1">
      <c r="A2" s="76" t="s">
        <v>23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2"/>
      <c r="O2" s="72"/>
      <c r="P2" s="72"/>
      <c r="Q2" s="72"/>
      <c r="R2" s="72"/>
      <c r="S2" s="72"/>
      <c r="T2" s="72"/>
      <c r="U2" s="72"/>
      <c r="V2" s="72"/>
      <c r="W2" s="72"/>
      <c r="X2" s="73"/>
    </row>
    <row r="3" spans="1:24" ht="39" customHeight="1">
      <c r="A3" s="78" t="s">
        <v>24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</row>
    <row r="4" spans="1:24" s="2" customFormat="1" ht="13.5" customHeight="1">
      <c r="A4" s="40" t="s">
        <v>25</v>
      </c>
      <c r="B4" s="40" t="s">
        <v>0</v>
      </c>
      <c r="C4" s="40"/>
      <c r="D4" s="40"/>
      <c r="E4" s="41"/>
      <c r="F4" s="42"/>
      <c r="G4" s="43" t="s">
        <v>2</v>
      </c>
      <c r="H4" s="40" t="s">
        <v>26</v>
      </c>
      <c r="I4" s="40" t="s">
        <v>3</v>
      </c>
      <c r="J4" s="40" t="s">
        <v>4</v>
      </c>
      <c r="K4" s="44" t="s">
        <v>5</v>
      </c>
      <c r="L4" s="43" t="s">
        <v>2</v>
      </c>
      <c r="M4" s="44" t="s">
        <v>6</v>
      </c>
      <c r="N4" s="43" t="s">
        <v>2</v>
      </c>
      <c r="O4" s="44" t="s">
        <v>7</v>
      </c>
      <c r="P4" s="43" t="s">
        <v>2</v>
      </c>
      <c r="Q4" s="44" t="s">
        <v>8</v>
      </c>
      <c r="R4" s="43" t="s">
        <v>2</v>
      </c>
      <c r="S4" s="40" t="s">
        <v>9</v>
      </c>
      <c r="T4" s="40" t="s">
        <v>10</v>
      </c>
      <c r="U4" s="45" t="s">
        <v>11</v>
      </c>
      <c r="V4" s="40" t="s">
        <v>12</v>
      </c>
      <c r="W4" s="40" t="s">
        <v>13</v>
      </c>
      <c r="X4" s="40" t="s">
        <v>14</v>
      </c>
    </row>
    <row r="5" spans="1:24">
      <c r="A5" s="46" t="s">
        <v>27</v>
      </c>
      <c r="B5" s="46" t="s">
        <v>28</v>
      </c>
      <c r="C5" s="46" t="s">
        <v>29</v>
      </c>
      <c r="D5" s="46" t="s">
        <v>1</v>
      </c>
      <c r="E5" s="47" t="s">
        <v>30</v>
      </c>
      <c r="F5" s="48" t="s">
        <v>31</v>
      </c>
      <c r="G5" s="49" t="s">
        <v>32</v>
      </c>
      <c r="H5" s="50" t="s">
        <v>33</v>
      </c>
      <c r="I5" s="50" t="s">
        <v>15</v>
      </c>
      <c r="J5" s="50" t="s">
        <v>34</v>
      </c>
      <c r="K5" s="51" t="s">
        <v>16</v>
      </c>
      <c r="L5" s="49" t="s">
        <v>32</v>
      </c>
      <c r="M5" s="51" t="s">
        <v>35</v>
      </c>
      <c r="N5" s="49" t="s">
        <v>32</v>
      </c>
      <c r="O5" s="51" t="s">
        <v>17</v>
      </c>
      <c r="P5" s="49" t="s">
        <v>32</v>
      </c>
      <c r="Q5" s="51" t="s">
        <v>18</v>
      </c>
      <c r="R5" s="49" t="s">
        <v>32</v>
      </c>
      <c r="S5" s="52" t="s">
        <v>36</v>
      </c>
      <c r="T5" s="52" t="s">
        <v>19</v>
      </c>
      <c r="U5" s="46" t="s">
        <v>37</v>
      </c>
      <c r="V5" s="52" t="s">
        <v>20</v>
      </c>
      <c r="W5" s="52" t="s">
        <v>38</v>
      </c>
      <c r="X5" s="52" t="s">
        <v>39</v>
      </c>
    </row>
    <row r="6" spans="1:24">
      <c r="A6" s="53"/>
      <c r="B6" s="53"/>
      <c r="C6" s="53"/>
      <c r="D6" s="53"/>
      <c r="E6" s="54"/>
      <c r="F6" s="55"/>
      <c r="G6" s="56"/>
      <c r="H6" s="57"/>
      <c r="I6" s="57"/>
      <c r="J6" s="57" t="s">
        <v>40</v>
      </c>
      <c r="K6" s="58" t="s">
        <v>41</v>
      </c>
      <c r="L6" s="59"/>
      <c r="M6" s="58" t="s">
        <v>41</v>
      </c>
      <c r="N6" s="59"/>
      <c r="O6" s="58" t="s">
        <v>41</v>
      </c>
      <c r="P6" s="59"/>
      <c r="Q6" s="58" t="s">
        <v>41</v>
      </c>
      <c r="R6" s="59"/>
      <c r="S6" s="58" t="s">
        <v>41</v>
      </c>
      <c r="T6" s="57" t="s">
        <v>21</v>
      </c>
      <c r="U6" s="57" t="s">
        <v>21</v>
      </c>
      <c r="V6" s="58" t="s">
        <v>41</v>
      </c>
      <c r="W6" s="58" t="s">
        <v>41</v>
      </c>
      <c r="X6" s="57"/>
    </row>
    <row r="7" spans="1:24" s="28" customFormat="1" ht="13.5" customHeight="1">
      <c r="A7" s="60" t="s">
        <v>946</v>
      </c>
      <c r="B7" s="60" t="s">
        <v>43</v>
      </c>
      <c r="C7" s="60" t="s">
        <v>44</v>
      </c>
      <c r="D7" s="60" t="s">
        <v>45</v>
      </c>
      <c r="E7" s="61" t="s">
        <v>46</v>
      </c>
      <c r="F7" s="62" t="s">
        <v>46</v>
      </c>
      <c r="G7" s="63" t="s">
        <v>46</v>
      </c>
      <c r="H7" s="64"/>
      <c r="I7" s="64" t="s">
        <v>47</v>
      </c>
      <c r="J7" s="65">
        <v>10</v>
      </c>
      <c r="K7" s="66">
        <v>2115</v>
      </c>
      <c r="L7" s="67" t="s">
        <v>853</v>
      </c>
      <c r="M7" s="66">
        <v>2147</v>
      </c>
      <c r="N7" s="67" t="s">
        <v>371</v>
      </c>
      <c r="O7" s="66">
        <v>2028</v>
      </c>
      <c r="P7" s="67" t="s">
        <v>84</v>
      </c>
      <c r="Q7" s="66">
        <v>2103</v>
      </c>
      <c r="R7" s="67" t="s">
        <v>50</v>
      </c>
      <c r="S7" s="68">
        <v>2094.52</v>
      </c>
      <c r="T7" s="65">
        <v>28942450</v>
      </c>
      <c r="U7" s="65">
        <v>20823770</v>
      </c>
      <c r="V7" s="65">
        <v>60380650936</v>
      </c>
      <c r="W7" s="65">
        <v>43344456086</v>
      </c>
      <c r="X7" s="69">
        <v>21</v>
      </c>
    </row>
    <row r="8" spans="1:24">
      <c r="A8" s="60" t="s">
        <v>946</v>
      </c>
      <c r="B8" s="60" t="s">
        <v>51</v>
      </c>
      <c r="C8" s="60" t="s">
        <v>52</v>
      </c>
      <c r="D8" s="60" t="s">
        <v>53</v>
      </c>
      <c r="E8" s="61" t="s">
        <v>46</v>
      </c>
      <c r="F8" s="62" t="s">
        <v>46</v>
      </c>
      <c r="G8" s="63" t="s">
        <v>46</v>
      </c>
      <c r="H8" s="64"/>
      <c r="I8" s="64" t="s">
        <v>47</v>
      </c>
      <c r="J8" s="65">
        <v>10</v>
      </c>
      <c r="K8" s="66">
        <v>2087</v>
      </c>
      <c r="L8" s="67" t="s">
        <v>853</v>
      </c>
      <c r="M8" s="66">
        <v>2123</v>
      </c>
      <c r="N8" s="67" t="s">
        <v>371</v>
      </c>
      <c r="O8" s="66">
        <v>2005</v>
      </c>
      <c r="P8" s="67" t="s">
        <v>84</v>
      </c>
      <c r="Q8" s="66">
        <v>2082</v>
      </c>
      <c r="R8" s="67" t="s">
        <v>50</v>
      </c>
      <c r="S8" s="68">
        <v>2070.52</v>
      </c>
      <c r="T8" s="65">
        <v>65814460</v>
      </c>
      <c r="U8" s="65">
        <v>21174270</v>
      </c>
      <c r="V8" s="65">
        <v>135670778356</v>
      </c>
      <c r="W8" s="65">
        <v>43492180796</v>
      </c>
      <c r="X8" s="69">
        <v>21</v>
      </c>
    </row>
    <row r="9" spans="1:24">
      <c r="A9" s="60" t="s">
        <v>946</v>
      </c>
      <c r="B9" s="60" t="s">
        <v>54</v>
      </c>
      <c r="C9" s="60" t="s">
        <v>55</v>
      </c>
      <c r="D9" s="60" t="s">
        <v>56</v>
      </c>
      <c r="E9" s="61" t="s">
        <v>46</v>
      </c>
      <c r="F9" s="62" t="s">
        <v>46</v>
      </c>
      <c r="G9" s="63" t="s">
        <v>46</v>
      </c>
      <c r="H9" s="64"/>
      <c r="I9" s="64" t="s">
        <v>47</v>
      </c>
      <c r="J9" s="65">
        <v>100</v>
      </c>
      <c r="K9" s="66">
        <v>2069</v>
      </c>
      <c r="L9" s="67" t="s">
        <v>853</v>
      </c>
      <c r="M9" s="66">
        <v>2101</v>
      </c>
      <c r="N9" s="67" t="s">
        <v>371</v>
      </c>
      <c r="O9" s="66">
        <v>1982</v>
      </c>
      <c r="P9" s="67" t="s">
        <v>77</v>
      </c>
      <c r="Q9" s="66">
        <v>2059</v>
      </c>
      <c r="R9" s="67" t="s">
        <v>50</v>
      </c>
      <c r="S9" s="68">
        <v>2048</v>
      </c>
      <c r="T9" s="65">
        <v>23654300</v>
      </c>
      <c r="U9" s="65">
        <v>18980400</v>
      </c>
      <c r="V9" s="65">
        <v>48061533800</v>
      </c>
      <c r="W9" s="65">
        <v>38512592900</v>
      </c>
      <c r="X9" s="69">
        <v>21</v>
      </c>
    </row>
    <row r="10" spans="1:24">
      <c r="A10" s="60" t="s">
        <v>946</v>
      </c>
      <c r="B10" s="60" t="s">
        <v>57</v>
      </c>
      <c r="C10" s="60" t="s">
        <v>58</v>
      </c>
      <c r="D10" s="60" t="s">
        <v>59</v>
      </c>
      <c r="E10" s="61" t="s">
        <v>46</v>
      </c>
      <c r="F10" s="62" t="s">
        <v>46</v>
      </c>
      <c r="G10" s="63" t="s">
        <v>46</v>
      </c>
      <c r="H10" s="64"/>
      <c r="I10" s="64" t="s">
        <v>47</v>
      </c>
      <c r="J10" s="65">
        <v>1</v>
      </c>
      <c r="K10" s="66">
        <v>42050</v>
      </c>
      <c r="L10" s="67" t="s">
        <v>853</v>
      </c>
      <c r="M10" s="66">
        <v>45050</v>
      </c>
      <c r="N10" s="67" t="s">
        <v>132</v>
      </c>
      <c r="O10" s="66">
        <v>40550</v>
      </c>
      <c r="P10" s="67" t="s">
        <v>84</v>
      </c>
      <c r="Q10" s="66">
        <v>43700</v>
      </c>
      <c r="R10" s="67" t="s">
        <v>50</v>
      </c>
      <c r="S10" s="68">
        <v>43235.71</v>
      </c>
      <c r="T10" s="65">
        <v>24169</v>
      </c>
      <c r="U10" s="65" t="s">
        <v>955</v>
      </c>
      <c r="V10" s="65">
        <v>1030653400</v>
      </c>
      <c r="W10" s="65" t="s">
        <v>955</v>
      </c>
      <c r="X10" s="69">
        <v>21</v>
      </c>
    </row>
    <row r="11" spans="1:24">
      <c r="A11" s="60" t="s">
        <v>946</v>
      </c>
      <c r="B11" s="60" t="s">
        <v>60</v>
      </c>
      <c r="C11" s="60" t="s">
        <v>61</v>
      </c>
      <c r="D11" s="60" t="s">
        <v>62</v>
      </c>
      <c r="E11" s="61" t="s">
        <v>46</v>
      </c>
      <c r="F11" s="62" t="s">
        <v>46</v>
      </c>
      <c r="G11" s="63" t="s">
        <v>46</v>
      </c>
      <c r="H11" s="64"/>
      <c r="I11" s="64" t="s">
        <v>47</v>
      </c>
      <c r="J11" s="65">
        <v>10</v>
      </c>
      <c r="K11" s="66">
        <v>945</v>
      </c>
      <c r="L11" s="67" t="s">
        <v>853</v>
      </c>
      <c r="M11" s="66">
        <v>966</v>
      </c>
      <c r="N11" s="67" t="s">
        <v>371</v>
      </c>
      <c r="O11" s="66">
        <v>902</v>
      </c>
      <c r="P11" s="67" t="s">
        <v>77</v>
      </c>
      <c r="Q11" s="66">
        <v>946</v>
      </c>
      <c r="R11" s="67" t="s">
        <v>50</v>
      </c>
      <c r="S11" s="68">
        <v>939.14</v>
      </c>
      <c r="T11" s="65">
        <v>99920</v>
      </c>
      <c r="U11" s="65">
        <v>70</v>
      </c>
      <c r="V11" s="65">
        <v>93362860</v>
      </c>
      <c r="W11" s="65">
        <v>64540</v>
      </c>
      <c r="X11" s="69">
        <v>21</v>
      </c>
    </row>
    <row r="12" spans="1:24">
      <c r="A12" s="60" t="s">
        <v>946</v>
      </c>
      <c r="B12" s="60" t="s">
        <v>63</v>
      </c>
      <c r="C12" s="60" t="s">
        <v>64</v>
      </c>
      <c r="D12" s="60" t="s">
        <v>65</v>
      </c>
      <c r="E12" s="61" t="s">
        <v>46</v>
      </c>
      <c r="F12" s="62" t="s">
        <v>46</v>
      </c>
      <c r="G12" s="63" t="s">
        <v>46</v>
      </c>
      <c r="H12" s="64"/>
      <c r="I12" s="64" t="s">
        <v>47</v>
      </c>
      <c r="J12" s="65">
        <v>1</v>
      </c>
      <c r="K12" s="66">
        <v>20640</v>
      </c>
      <c r="L12" s="67" t="s">
        <v>853</v>
      </c>
      <c r="M12" s="66">
        <v>21820</v>
      </c>
      <c r="N12" s="67" t="s">
        <v>371</v>
      </c>
      <c r="O12" s="66">
        <v>20070</v>
      </c>
      <c r="P12" s="67" t="s">
        <v>853</v>
      </c>
      <c r="Q12" s="66">
        <v>21080</v>
      </c>
      <c r="R12" s="67" t="s">
        <v>50</v>
      </c>
      <c r="S12" s="68">
        <v>20928.099999999999</v>
      </c>
      <c r="T12" s="65">
        <v>2401</v>
      </c>
      <c r="U12" s="65">
        <v>3</v>
      </c>
      <c r="V12" s="65">
        <v>50491520</v>
      </c>
      <c r="W12" s="65">
        <v>64700</v>
      </c>
      <c r="X12" s="69">
        <v>21</v>
      </c>
    </row>
    <row r="13" spans="1:24">
      <c r="A13" s="60" t="s">
        <v>946</v>
      </c>
      <c r="B13" s="60" t="s">
        <v>66</v>
      </c>
      <c r="C13" s="60" t="s">
        <v>67</v>
      </c>
      <c r="D13" s="60" t="s">
        <v>68</v>
      </c>
      <c r="E13" s="61" t="s">
        <v>46</v>
      </c>
      <c r="F13" s="62" t="s">
        <v>46</v>
      </c>
      <c r="G13" s="63" t="s">
        <v>46</v>
      </c>
      <c r="H13" s="64"/>
      <c r="I13" s="64" t="s">
        <v>47</v>
      </c>
      <c r="J13" s="65">
        <v>10</v>
      </c>
      <c r="K13" s="66">
        <v>3830</v>
      </c>
      <c r="L13" s="67" t="s">
        <v>853</v>
      </c>
      <c r="M13" s="66">
        <v>3960</v>
      </c>
      <c r="N13" s="67" t="s">
        <v>240</v>
      </c>
      <c r="O13" s="66">
        <v>3700</v>
      </c>
      <c r="P13" s="67" t="s">
        <v>96</v>
      </c>
      <c r="Q13" s="66">
        <v>3960</v>
      </c>
      <c r="R13" s="67" t="s">
        <v>73</v>
      </c>
      <c r="S13" s="68">
        <v>3819.17</v>
      </c>
      <c r="T13" s="65">
        <v>3170</v>
      </c>
      <c r="U13" s="65" t="s">
        <v>955</v>
      </c>
      <c r="V13" s="65">
        <v>12045750</v>
      </c>
      <c r="W13" s="65" t="s">
        <v>955</v>
      </c>
      <c r="X13" s="69">
        <v>18</v>
      </c>
    </row>
    <row r="14" spans="1:24">
      <c r="A14" s="60" t="s">
        <v>946</v>
      </c>
      <c r="B14" s="60" t="s">
        <v>70</v>
      </c>
      <c r="C14" s="60" t="s">
        <v>71</v>
      </c>
      <c r="D14" s="60" t="s">
        <v>72</v>
      </c>
      <c r="E14" s="61" t="s">
        <v>46</v>
      </c>
      <c r="F14" s="62" t="s">
        <v>46</v>
      </c>
      <c r="G14" s="63" t="s">
        <v>46</v>
      </c>
      <c r="H14" s="64"/>
      <c r="I14" s="64" t="s">
        <v>47</v>
      </c>
      <c r="J14" s="65">
        <v>1000</v>
      </c>
      <c r="K14" s="66">
        <v>380</v>
      </c>
      <c r="L14" s="67" t="s">
        <v>853</v>
      </c>
      <c r="M14" s="66">
        <v>382</v>
      </c>
      <c r="N14" s="67" t="s">
        <v>48</v>
      </c>
      <c r="O14" s="66">
        <v>359</v>
      </c>
      <c r="P14" s="67" t="s">
        <v>77</v>
      </c>
      <c r="Q14" s="66">
        <v>375</v>
      </c>
      <c r="R14" s="67" t="s">
        <v>50</v>
      </c>
      <c r="S14" s="68">
        <v>374.68</v>
      </c>
      <c r="T14" s="65">
        <v>98000</v>
      </c>
      <c r="U14" s="65">
        <v>2000</v>
      </c>
      <c r="V14" s="65">
        <v>36562000</v>
      </c>
      <c r="W14" s="65">
        <v>759000</v>
      </c>
      <c r="X14" s="69">
        <v>19</v>
      </c>
    </row>
    <row r="15" spans="1:24">
      <c r="A15" s="60" t="s">
        <v>946</v>
      </c>
      <c r="B15" s="60" t="s">
        <v>74</v>
      </c>
      <c r="C15" s="60" t="s">
        <v>75</v>
      </c>
      <c r="D15" s="60" t="s">
        <v>76</v>
      </c>
      <c r="E15" s="61" t="s">
        <v>46</v>
      </c>
      <c r="F15" s="62" t="s">
        <v>46</v>
      </c>
      <c r="G15" s="63" t="s">
        <v>46</v>
      </c>
      <c r="H15" s="64"/>
      <c r="I15" s="64" t="s">
        <v>47</v>
      </c>
      <c r="J15" s="65">
        <v>1</v>
      </c>
      <c r="K15" s="66">
        <v>30150</v>
      </c>
      <c r="L15" s="67" t="s">
        <v>853</v>
      </c>
      <c r="M15" s="66">
        <v>30350</v>
      </c>
      <c r="N15" s="67" t="s">
        <v>371</v>
      </c>
      <c r="O15" s="66">
        <v>28080</v>
      </c>
      <c r="P15" s="67" t="s">
        <v>77</v>
      </c>
      <c r="Q15" s="66">
        <v>29760</v>
      </c>
      <c r="R15" s="67" t="s">
        <v>50</v>
      </c>
      <c r="S15" s="68">
        <v>29426.67</v>
      </c>
      <c r="T15" s="65">
        <v>2269455</v>
      </c>
      <c r="U15" s="65">
        <v>101010</v>
      </c>
      <c r="V15" s="65">
        <v>66485241740</v>
      </c>
      <c r="W15" s="65">
        <v>2952514200</v>
      </c>
      <c r="X15" s="69">
        <v>21</v>
      </c>
    </row>
    <row r="16" spans="1:24">
      <c r="A16" s="60" t="s">
        <v>946</v>
      </c>
      <c r="B16" s="60" t="s">
        <v>78</v>
      </c>
      <c r="C16" s="60" t="s">
        <v>79</v>
      </c>
      <c r="D16" s="60" t="s">
        <v>80</v>
      </c>
      <c r="E16" s="61" t="s">
        <v>46</v>
      </c>
      <c r="F16" s="62" t="s">
        <v>46</v>
      </c>
      <c r="G16" s="63" t="s">
        <v>46</v>
      </c>
      <c r="H16" s="64"/>
      <c r="I16" s="64" t="s">
        <v>47</v>
      </c>
      <c r="J16" s="65">
        <v>1</v>
      </c>
      <c r="K16" s="66">
        <v>30200</v>
      </c>
      <c r="L16" s="67" t="s">
        <v>853</v>
      </c>
      <c r="M16" s="66">
        <v>30450</v>
      </c>
      <c r="N16" s="67" t="s">
        <v>371</v>
      </c>
      <c r="O16" s="66">
        <v>28160</v>
      </c>
      <c r="P16" s="67" t="s">
        <v>77</v>
      </c>
      <c r="Q16" s="66">
        <v>29840</v>
      </c>
      <c r="R16" s="67" t="s">
        <v>50</v>
      </c>
      <c r="S16" s="68">
        <v>29500.48</v>
      </c>
      <c r="T16" s="65">
        <v>7049181</v>
      </c>
      <c r="U16" s="65">
        <v>341692</v>
      </c>
      <c r="V16" s="65">
        <v>207035999779</v>
      </c>
      <c r="W16" s="65">
        <v>10068474389</v>
      </c>
      <c r="X16" s="69">
        <v>21</v>
      </c>
    </row>
    <row r="17" spans="1:24">
      <c r="A17" s="60" t="s">
        <v>946</v>
      </c>
      <c r="B17" s="60" t="s">
        <v>81</v>
      </c>
      <c r="C17" s="60" t="s">
        <v>82</v>
      </c>
      <c r="D17" s="60" t="s">
        <v>83</v>
      </c>
      <c r="E17" s="61" t="s">
        <v>46</v>
      </c>
      <c r="F17" s="62" t="s">
        <v>46</v>
      </c>
      <c r="G17" s="63" t="s">
        <v>46</v>
      </c>
      <c r="H17" s="64"/>
      <c r="I17" s="64" t="s">
        <v>47</v>
      </c>
      <c r="J17" s="65">
        <v>10</v>
      </c>
      <c r="K17" s="66">
        <v>8000</v>
      </c>
      <c r="L17" s="67" t="s">
        <v>853</v>
      </c>
      <c r="M17" s="66">
        <v>8440</v>
      </c>
      <c r="N17" s="67" t="s">
        <v>240</v>
      </c>
      <c r="O17" s="66">
        <v>7700</v>
      </c>
      <c r="P17" s="67" t="s">
        <v>77</v>
      </c>
      <c r="Q17" s="66">
        <v>8200</v>
      </c>
      <c r="R17" s="67" t="s">
        <v>50</v>
      </c>
      <c r="S17" s="68">
        <v>8134.76</v>
      </c>
      <c r="T17" s="65">
        <v>24980</v>
      </c>
      <c r="U17" s="65" t="s">
        <v>955</v>
      </c>
      <c r="V17" s="65">
        <v>203692400</v>
      </c>
      <c r="W17" s="65" t="s">
        <v>955</v>
      </c>
      <c r="X17" s="69">
        <v>21</v>
      </c>
    </row>
    <row r="18" spans="1:24">
      <c r="A18" s="60" t="s">
        <v>946</v>
      </c>
      <c r="B18" s="60" t="s">
        <v>85</v>
      </c>
      <c r="C18" s="60" t="s">
        <v>86</v>
      </c>
      <c r="D18" s="60" t="s">
        <v>87</v>
      </c>
      <c r="E18" s="61" t="s">
        <v>46</v>
      </c>
      <c r="F18" s="62" t="s">
        <v>46</v>
      </c>
      <c r="G18" s="63" t="s">
        <v>46</v>
      </c>
      <c r="H18" s="64"/>
      <c r="I18" s="64" t="s">
        <v>47</v>
      </c>
      <c r="J18" s="65">
        <v>100</v>
      </c>
      <c r="K18" s="66">
        <v>473</v>
      </c>
      <c r="L18" s="67" t="s">
        <v>853</v>
      </c>
      <c r="M18" s="66">
        <v>514</v>
      </c>
      <c r="N18" s="67" t="s">
        <v>613</v>
      </c>
      <c r="O18" s="66">
        <v>452</v>
      </c>
      <c r="P18" s="67" t="s">
        <v>84</v>
      </c>
      <c r="Q18" s="66">
        <v>487</v>
      </c>
      <c r="R18" s="67" t="s">
        <v>50</v>
      </c>
      <c r="S18" s="68">
        <v>477.52</v>
      </c>
      <c r="T18" s="65">
        <v>132900</v>
      </c>
      <c r="U18" s="65" t="s">
        <v>955</v>
      </c>
      <c r="V18" s="65">
        <v>64350300</v>
      </c>
      <c r="W18" s="65" t="s">
        <v>955</v>
      </c>
      <c r="X18" s="69">
        <v>21</v>
      </c>
    </row>
    <row r="19" spans="1:24">
      <c r="A19" s="60" t="s">
        <v>946</v>
      </c>
      <c r="B19" s="60" t="s">
        <v>89</v>
      </c>
      <c r="C19" s="60" t="s">
        <v>90</v>
      </c>
      <c r="D19" s="60" t="s">
        <v>91</v>
      </c>
      <c r="E19" s="61" t="s">
        <v>46</v>
      </c>
      <c r="F19" s="62" t="s">
        <v>46</v>
      </c>
      <c r="G19" s="63" t="s">
        <v>46</v>
      </c>
      <c r="H19" s="64"/>
      <c r="I19" s="64" t="s">
        <v>47</v>
      </c>
      <c r="J19" s="65">
        <v>100</v>
      </c>
      <c r="K19" s="66">
        <v>171</v>
      </c>
      <c r="L19" s="67" t="s">
        <v>853</v>
      </c>
      <c r="M19" s="66">
        <v>206</v>
      </c>
      <c r="N19" s="67" t="s">
        <v>100</v>
      </c>
      <c r="O19" s="66">
        <v>169</v>
      </c>
      <c r="P19" s="67" t="s">
        <v>853</v>
      </c>
      <c r="Q19" s="66">
        <v>186</v>
      </c>
      <c r="R19" s="67" t="s">
        <v>50</v>
      </c>
      <c r="S19" s="68">
        <v>185.48</v>
      </c>
      <c r="T19" s="65">
        <v>2073000</v>
      </c>
      <c r="U19" s="65">
        <v>100</v>
      </c>
      <c r="V19" s="65">
        <v>397790000</v>
      </c>
      <c r="W19" s="65">
        <v>18800</v>
      </c>
      <c r="X19" s="69">
        <v>21</v>
      </c>
    </row>
    <row r="20" spans="1:24">
      <c r="A20" s="60" t="s">
        <v>946</v>
      </c>
      <c r="B20" s="60" t="s">
        <v>93</v>
      </c>
      <c r="C20" s="60" t="s">
        <v>94</v>
      </c>
      <c r="D20" s="60" t="s">
        <v>95</v>
      </c>
      <c r="E20" s="61" t="s">
        <v>46</v>
      </c>
      <c r="F20" s="62" t="s">
        <v>46</v>
      </c>
      <c r="G20" s="63" t="s">
        <v>46</v>
      </c>
      <c r="H20" s="64"/>
      <c r="I20" s="64" t="s">
        <v>47</v>
      </c>
      <c r="J20" s="65">
        <v>100</v>
      </c>
      <c r="K20" s="66">
        <v>183</v>
      </c>
      <c r="L20" s="67" t="s">
        <v>853</v>
      </c>
      <c r="M20" s="66">
        <v>184</v>
      </c>
      <c r="N20" s="67" t="s">
        <v>613</v>
      </c>
      <c r="O20" s="66">
        <v>171</v>
      </c>
      <c r="P20" s="67" t="s">
        <v>50</v>
      </c>
      <c r="Q20" s="66">
        <v>171</v>
      </c>
      <c r="R20" s="67" t="s">
        <v>50</v>
      </c>
      <c r="S20" s="68">
        <v>178.86</v>
      </c>
      <c r="T20" s="65">
        <v>527000</v>
      </c>
      <c r="U20" s="65" t="s">
        <v>955</v>
      </c>
      <c r="V20" s="65">
        <v>93600900</v>
      </c>
      <c r="W20" s="65" t="s">
        <v>955</v>
      </c>
      <c r="X20" s="69">
        <v>21</v>
      </c>
    </row>
    <row r="21" spans="1:24">
      <c r="A21" s="60" t="s">
        <v>946</v>
      </c>
      <c r="B21" s="60" t="s">
        <v>97</v>
      </c>
      <c r="C21" s="60" t="s">
        <v>98</v>
      </c>
      <c r="D21" s="60" t="s">
        <v>99</v>
      </c>
      <c r="E21" s="61" t="s">
        <v>46</v>
      </c>
      <c r="F21" s="62" t="s">
        <v>46</v>
      </c>
      <c r="G21" s="63" t="s">
        <v>46</v>
      </c>
      <c r="H21" s="64"/>
      <c r="I21" s="64" t="s">
        <v>47</v>
      </c>
      <c r="J21" s="65">
        <v>1</v>
      </c>
      <c r="K21" s="66">
        <v>18260</v>
      </c>
      <c r="L21" s="67" t="s">
        <v>853</v>
      </c>
      <c r="M21" s="66">
        <v>19240</v>
      </c>
      <c r="N21" s="67" t="s">
        <v>240</v>
      </c>
      <c r="O21" s="66">
        <v>18200</v>
      </c>
      <c r="P21" s="67" t="s">
        <v>853</v>
      </c>
      <c r="Q21" s="66">
        <v>19070</v>
      </c>
      <c r="R21" s="67" t="s">
        <v>50</v>
      </c>
      <c r="S21" s="68">
        <v>18776.669999999998</v>
      </c>
      <c r="T21" s="65">
        <v>204258</v>
      </c>
      <c r="U21" s="65" t="s">
        <v>955</v>
      </c>
      <c r="V21" s="65">
        <v>3847354080</v>
      </c>
      <c r="W21" s="65" t="s">
        <v>955</v>
      </c>
      <c r="X21" s="69">
        <v>21</v>
      </c>
    </row>
    <row r="22" spans="1:24">
      <c r="A22" s="60" t="s">
        <v>946</v>
      </c>
      <c r="B22" s="60" t="s">
        <v>101</v>
      </c>
      <c r="C22" s="60" t="s">
        <v>102</v>
      </c>
      <c r="D22" s="60" t="s">
        <v>103</v>
      </c>
      <c r="E22" s="61" t="s">
        <v>46</v>
      </c>
      <c r="F22" s="62" t="s">
        <v>46</v>
      </c>
      <c r="G22" s="63" t="s">
        <v>46</v>
      </c>
      <c r="H22" s="64" t="s">
        <v>878</v>
      </c>
      <c r="I22" s="64"/>
      <c r="J22" s="65">
        <v>1</v>
      </c>
      <c r="K22" s="66">
        <v>4300</v>
      </c>
      <c r="L22" s="67" t="s">
        <v>853</v>
      </c>
      <c r="M22" s="66">
        <v>4925</v>
      </c>
      <c r="N22" s="67" t="s">
        <v>69</v>
      </c>
      <c r="O22" s="66">
        <v>4285</v>
      </c>
      <c r="P22" s="67" t="s">
        <v>853</v>
      </c>
      <c r="Q22" s="66">
        <v>4570</v>
      </c>
      <c r="R22" s="67" t="s">
        <v>50</v>
      </c>
      <c r="S22" s="68">
        <v>4566.1899999999996</v>
      </c>
      <c r="T22" s="65">
        <v>10311</v>
      </c>
      <c r="U22" s="65" t="s">
        <v>955</v>
      </c>
      <c r="V22" s="65">
        <v>47130140</v>
      </c>
      <c r="W22" s="65" t="s">
        <v>955</v>
      </c>
      <c r="X22" s="69">
        <v>21</v>
      </c>
    </row>
    <row r="23" spans="1:24">
      <c r="A23" s="60" t="s">
        <v>946</v>
      </c>
      <c r="B23" s="60" t="s">
        <v>104</v>
      </c>
      <c r="C23" s="60" t="s">
        <v>105</v>
      </c>
      <c r="D23" s="60" t="s">
        <v>106</v>
      </c>
      <c r="E23" s="61" t="s">
        <v>46</v>
      </c>
      <c r="F23" s="62" t="s">
        <v>46</v>
      </c>
      <c r="G23" s="63" t="s">
        <v>46</v>
      </c>
      <c r="H23" s="64"/>
      <c r="I23" s="64" t="s">
        <v>47</v>
      </c>
      <c r="J23" s="65">
        <v>10</v>
      </c>
      <c r="K23" s="66">
        <v>4940</v>
      </c>
      <c r="L23" s="67" t="s">
        <v>853</v>
      </c>
      <c r="M23" s="66">
        <v>5210</v>
      </c>
      <c r="N23" s="67" t="s">
        <v>240</v>
      </c>
      <c r="O23" s="66">
        <v>4925</v>
      </c>
      <c r="P23" s="67" t="s">
        <v>853</v>
      </c>
      <c r="Q23" s="66">
        <v>5160</v>
      </c>
      <c r="R23" s="67" t="s">
        <v>50</v>
      </c>
      <c r="S23" s="68">
        <v>5081.43</v>
      </c>
      <c r="T23" s="65">
        <v>676600</v>
      </c>
      <c r="U23" s="65">
        <v>20</v>
      </c>
      <c r="V23" s="65">
        <v>3471143400</v>
      </c>
      <c r="W23" s="65">
        <v>98850</v>
      </c>
      <c r="X23" s="69">
        <v>21</v>
      </c>
    </row>
    <row r="24" spans="1:24">
      <c r="A24" s="60" t="s">
        <v>946</v>
      </c>
      <c r="B24" s="60" t="s">
        <v>107</v>
      </c>
      <c r="C24" s="60" t="s">
        <v>108</v>
      </c>
      <c r="D24" s="60" t="s">
        <v>109</v>
      </c>
      <c r="E24" s="61" t="s">
        <v>46</v>
      </c>
      <c r="F24" s="62" t="s">
        <v>46</v>
      </c>
      <c r="G24" s="63" t="s">
        <v>46</v>
      </c>
      <c r="H24" s="64"/>
      <c r="I24" s="64" t="s">
        <v>47</v>
      </c>
      <c r="J24" s="65">
        <v>1</v>
      </c>
      <c r="K24" s="66">
        <v>30350</v>
      </c>
      <c r="L24" s="67" t="s">
        <v>853</v>
      </c>
      <c r="M24" s="66">
        <v>30600</v>
      </c>
      <c r="N24" s="67" t="s">
        <v>371</v>
      </c>
      <c r="O24" s="66">
        <v>28280</v>
      </c>
      <c r="P24" s="67" t="s">
        <v>77</v>
      </c>
      <c r="Q24" s="66">
        <v>29960</v>
      </c>
      <c r="R24" s="67" t="s">
        <v>50</v>
      </c>
      <c r="S24" s="68">
        <v>29621.43</v>
      </c>
      <c r="T24" s="65">
        <v>1875484</v>
      </c>
      <c r="U24" s="65">
        <v>1241847</v>
      </c>
      <c r="V24" s="65">
        <v>55406431010</v>
      </c>
      <c r="W24" s="65">
        <v>36725013590</v>
      </c>
      <c r="X24" s="69">
        <v>21</v>
      </c>
    </row>
    <row r="25" spans="1:24">
      <c r="A25" s="60" t="s">
        <v>946</v>
      </c>
      <c r="B25" s="60" t="s">
        <v>110</v>
      </c>
      <c r="C25" s="60" t="s">
        <v>111</v>
      </c>
      <c r="D25" s="60" t="s">
        <v>112</v>
      </c>
      <c r="E25" s="61" t="s">
        <v>46</v>
      </c>
      <c r="F25" s="62" t="s">
        <v>46</v>
      </c>
      <c r="G25" s="63" t="s">
        <v>46</v>
      </c>
      <c r="H25" s="64"/>
      <c r="I25" s="64" t="s">
        <v>47</v>
      </c>
      <c r="J25" s="65">
        <v>10</v>
      </c>
      <c r="K25" s="66">
        <v>30250</v>
      </c>
      <c r="L25" s="67" t="s">
        <v>853</v>
      </c>
      <c r="M25" s="66">
        <v>30450</v>
      </c>
      <c r="N25" s="67" t="s">
        <v>371</v>
      </c>
      <c r="O25" s="66">
        <v>28200</v>
      </c>
      <c r="P25" s="67" t="s">
        <v>77</v>
      </c>
      <c r="Q25" s="66">
        <v>29850</v>
      </c>
      <c r="R25" s="67" t="s">
        <v>50</v>
      </c>
      <c r="S25" s="68">
        <v>29533.33</v>
      </c>
      <c r="T25" s="65">
        <v>1503110</v>
      </c>
      <c r="U25" s="65">
        <v>127910</v>
      </c>
      <c r="V25" s="65">
        <v>44146315915</v>
      </c>
      <c r="W25" s="65">
        <v>3765612115</v>
      </c>
      <c r="X25" s="69">
        <v>21</v>
      </c>
    </row>
    <row r="26" spans="1:24">
      <c r="A26" s="60" t="s">
        <v>946</v>
      </c>
      <c r="B26" s="60" t="s">
        <v>113</v>
      </c>
      <c r="C26" s="60" t="s">
        <v>114</v>
      </c>
      <c r="D26" s="60" t="s">
        <v>115</v>
      </c>
      <c r="E26" s="61" t="s">
        <v>46</v>
      </c>
      <c r="F26" s="62" t="s">
        <v>46</v>
      </c>
      <c r="G26" s="63" t="s">
        <v>46</v>
      </c>
      <c r="H26" s="64"/>
      <c r="I26" s="64" t="s">
        <v>47</v>
      </c>
      <c r="J26" s="65">
        <v>10</v>
      </c>
      <c r="K26" s="66">
        <v>2237</v>
      </c>
      <c r="L26" s="67" t="s">
        <v>853</v>
      </c>
      <c r="M26" s="66">
        <v>2273</v>
      </c>
      <c r="N26" s="67" t="s">
        <v>613</v>
      </c>
      <c r="O26" s="66">
        <v>2136</v>
      </c>
      <c r="P26" s="67" t="s">
        <v>84</v>
      </c>
      <c r="Q26" s="66">
        <v>2256</v>
      </c>
      <c r="R26" s="67" t="s">
        <v>50</v>
      </c>
      <c r="S26" s="68">
        <v>2225.67</v>
      </c>
      <c r="T26" s="65">
        <v>12172760</v>
      </c>
      <c r="U26" s="65">
        <v>292120</v>
      </c>
      <c r="V26" s="65">
        <v>26809765016</v>
      </c>
      <c r="W26" s="65">
        <v>652111786</v>
      </c>
      <c r="X26" s="69">
        <v>21</v>
      </c>
    </row>
    <row r="27" spans="1:24">
      <c r="A27" s="60" t="s">
        <v>946</v>
      </c>
      <c r="B27" s="60" t="s">
        <v>116</v>
      </c>
      <c r="C27" s="60" t="s">
        <v>117</v>
      </c>
      <c r="D27" s="60" t="s">
        <v>118</v>
      </c>
      <c r="E27" s="61" t="s">
        <v>896</v>
      </c>
      <c r="F27" s="62" t="s">
        <v>897</v>
      </c>
      <c r="G27" s="63" t="s">
        <v>947</v>
      </c>
      <c r="H27" s="64" t="s">
        <v>878</v>
      </c>
      <c r="I27" s="64"/>
      <c r="J27" s="65">
        <v>10</v>
      </c>
      <c r="K27" s="66">
        <v>921</v>
      </c>
      <c r="L27" s="67" t="s">
        <v>853</v>
      </c>
      <c r="M27" s="66">
        <v>929</v>
      </c>
      <c r="N27" s="67" t="s">
        <v>77</v>
      </c>
      <c r="O27" s="66">
        <v>921</v>
      </c>
      <c r="P27" s="67" t="s">
        <v>853</v>
      </c>
      <c r="Q27" s="66">
        <v>928</v>
      </c>
      <c r="R27" s="67" t="s">
        <v>96</v>
      </c>
      <c r="S27" s="68">
        <v>926.83</v>
      </c>
      <c r="T27" s="65">
        <v>51720</v>
      </c>
      <c r="U27" s="65" t="s">
        <v>955</v>
      </c>
      <c r="V27" s="65">
        <v>47768680</v>
      </c>
      <c r="W27" s="65" t="s">
        <v>955</v>
      </c>
      <c r="X27" s="69">
        <v>6</v>
      </c>
    </row>
    <row r="28" spans="1:24">
      <c r="A28" s="60" t="s">
        <v>946</v>
      </c>
      <c r="B28" s="60" t="s">
        <v>119</v>
      </c>
      <c r="C28" s="60" t="s">
        <v>120</v>
      </c>
      <c r="D28" s="60" t="s">
        <v>121</v>
      </c>
      <c r="E28" s="61" t="s">
        <v>46</v>
      </c>
      <c r="F28" s="62" t="s">
        <v>46</v>
      </c>
      <c r="G28" s="63" t="s">
        <v>46</v>
      </c>
      <c r="H28" s="64"/>
      <c r="I28" s="64" t="s">
        <v>47</v>
      </c>
      <c r="J28" s="65">
        <v>100</v>
      </c>
      <c r="K28" s="66">
        <v>2108</v>
      </c>
      <c r="L28" s="67" t="s">
        <v>853</v>
      </c>
      <c r="M28" s="66">
        <v>2135</v>
      </c>
      <c r="N28" s="67" t="s">
        <v>613</v>
      </c>
      <c r="O28" s="66">
        <v>2008</v>
      </c>
      <c r="P28" s="67" t="s">
        <v>84</v>
      </c>
      <c r="Q28" s="66">
        <v>2113</v>
      </c>
      <c r="R28" s="67" t="s">
        <v>50</v>
      </c>
      <c r="S28" s="68">
        <v>2090.9499999999998</v>
      </c>
      <c r="T28" s="65">
        <v>3214400</v>
      </c>
      <c r="U28" s="65">
        <v>168200</v>
      </c>
      <c r="V28" s="65">
        <v>6692626456</v>
      </c>
      <c r="W28" s="65">
        <v>352122556</v>
      </c>
      <c r="X28" s="69">
        <v>21</v>
      </c>
    </row>
    <row r="29" spans="1:24">
      <c r="A29" s="60" t="s">
        <v>946</v>
      </c>
      <c r="B29" s="60" t="s">
        <v>122</v>
      </c>
      <c r="C29" s="60" t="s">
        <v>123</v>
      </c>
      <c r="D29" s="60" t="s">
        <v>124</v>
      </c>
      <c r="E29" s="61" t="s">
        <v>46</v>
      </c>
      <c r="F29" s="62" t="s">
        <v>46</v>
      </c>
      <c r="G29" s="63" t="s">
        <v>46</v>
      </c>
      <c r="H29" s="64"/>
      <c r="I29" s="64" t="s">
        <v>47</v>
      </c>
      <c r="J29" s="65">
        <v>1</v>
      </c>
      <c r="K29" s="66">
        <v>30350</v>
      </c>
      <c r="L29" s="67" t="s">
        <v>853</v>
      </c>
      <c r="M29" s="66">
        <v>30550</v>
      </c>
      <c r="N29" s="67" t="s">
        <v>371</v>
      </c>
      <c r="O29" s="66">
        <v>28280</v>
      </c>
      <c r="P29" s="67" t="s">
        <v>77</v>
      </c>
      <c r="Q29" s="66">
        <v>29960</v>
      </c>
      <c r="R29" s="67" t="s">
        <v>50</v>
      </c>
      <c r="S29" s="68">
        <v>29627.14</v>
      </c>
      <c r="T29" s="65">
        <v>735480</v>
      </c>
      <c r="U29" s="65">
        <v>26915</v>
      </c>
      <c r="V29" s="65">
        <v>21620281899</v>
      </c>
      <c r="W29" s="65">
        <v>799572799</v>
      </c>
      <c r="X29" s="69">
        <v>21</v>
      </c>
    </row>
    <row r="30" spans="1:24">
      <c r="A30" s="60" t="s">
        <v>946</v>
      </c>
      <c r="B30" s="60" t="s">
        <v>125</v>
      </c>
      <c r="C30" s="60" t="s">
        <v>126</v>
      </c>
      <c r="D30" s="60" t="s">
        <v>127</v>
      </c>
      <c r="E30" s="61" t="s">
        <v>46</v>
      </c>
      <c r="F30" s="62" t="s">
        <v>46</v>
      </c>
      <c r="G30" s="63" t="s">
        <v>46</v>
      </c>
      <c r="H30" s="64"/>
      <c r="I30" s="64" t="s">
        <v>47</v>
      </c>
      <c r="J30" s="65">
        <v>10</v>
      </c>
      <c r="K30" s="66">
        <v>2092</v>
      </c>
      <c r="L30" s="67" t="s">
        <v>853</v>
      </c>
      <c r="M30" s="66">
        <v>2125</v>
      </c>
      <c r="N30" s="67" t="s">
        <v>371</v>
      </c>
      <c r="O30" s="66">
        <v>2005</v>
      </c>
      <c r="P30" s="67" t="s">
        <v>77</v>
      </c>
      <c r="Q30" s="66">
        <v>2081</v>
      </c>
      <c r="R30" s="67" t="s">
        <v>50</v>
      </c>
      <c r="S30" s="68">
        <v>2072.0500000000002</v>
      </c>
      <c r="T30" s="65">
        <v>21982270</v>
      </c>
      <c r="U30" s="65">
        <v>18833680</v>
      </c>
      <c r="V30" s="65">
        <v>45141324910</v>
      </c>
      <c r="W30" s="65">
        <v>38647828510</v>
      </c>
      <c r="X30" s="69">
        <v>21</v>
      </c>
    </row>
    <row r="31" spans="1:24">
      <c r="A31" s="60" t="s">
        <v>946</v>
      </c>
      <c r="B31" s="60" t="s">
        <v>128</v>
      </c>
      <c r="C31" s="60" t="s">
        <v>129</v>
      </c>
      <c r="D31" s="60" t="s">
        <v>130</v>
      </c>
      <c r="E31" s="61" t="s">
        <v>46</v>
      </c>
      <c r="F31" s="62" t="s">
        <v>46</v>
      </c>
      <c r="G31" s="63" t="s">
        <v>46</v>
      </c>
      <c r="H31" s="64"/>
      <c r="I31" s="64" t="s">
        <v>47</v>
      </c>
      <c r="J31" s="65">
        <v>1</v>
      </c>
      <c r="K31" s="66">
        <v>13270</v>
      </c>
      <c r="L31" s="67" t="s">
        <v>853</v>
      </c>
      <c r="M31" s="66">
        <v>13690</v>
      </c>
      <c r="N31" s="67" t="s">
        <v>371</v>
      </c>
      <c r="O31" s="66">
        <v>13190</v>
      </c>
      <c r="P31" s="67" t="s">
        <v>48</v>
      </c>
      <c r="Q31" s="66">
        <v>13500</v>
      </c>
      <c r="R31" s="67" t="s">
        <v>50</v>
      </c>
      <c r="S31" s="68">
        <v>13429.5</v>
      </c>
      <c r="T31" s="65">
        <v>1443</v>
      </c>
      <c r="U31" s="65" t="s">
        <v>955</v>
      </c>
      <c r="V31" s="65">
        <v>19258280</v>
      </c>
      <c r="W31" s="65" t="s">
        <v>955</v>
      </c>
      <c r="X31" s="69">
        <v>20</v>
      </c>
    </row>
    <row r="32" spans="1:24">
      <c r="A32" s="60" t="s">
        <v>946</v>
      </c>
      <c r="B32" s="60" t="s">
        <v>133</v>
      </c>
      <c r="C32" s="60" t="s">
        <v>134</v>
      </c>
      <c r="D32" s="60" t="s">
        <v>135</v>
      </c>
      <c r="E32" s="61" t="s">
        <v>46</v>
      </c>
      <c r="F32" s="62" t="s">
        <v>46</v>
      </c>
      <c r="G32" s="63" t="s">
        <v>46</v>
      </c>
      <c r="H32" s="64"/>
      <c r="I32" s="64" t="s">
        <v>47</v>
      </c>
      <c r="J32" s="65">
        <v>10</v>
      </c>
      <c r="K32" s="66">
        <v>1037</v>
      </c>
      <c r="L32" s="67" t="s">
        <v>853</v>
      </c>
      <c r="M32" s="66">
        <v>1124</v>
      </c>
      <c r="N32" s="67" t="s">
        <v>84</v>
      </c>
      <c r="O32" s="66">
        <v>997</v>
      </c>
      <c r="P32" s="67" t="s">
        <v>371</v>
      </c>
      <c r="Q32" s="66">
        <v>1039</v>
      </c>
      <c r="R32" s="67" t="s">
        <v>50</v>
      </c>
      <c r="S32" s="68">
        <v>1051.3800000000001</v>
      </c>
      <c r="T32" s="65">
        <v>15217500</v>
      </c>
      <c r="U32" s="65" t="s">
        <v>955</v>
      </c>
      <c r="V32" s="65">
        <v>16155146640</v>
      </c>
      <c r="W32" s="65" t="s">
        <v>955</v>
      </c>
      <c r="X32" s="69">
        <v>21</v>
      </c>
    </row>
    <row r="33" spans="1:24">
      <c r="A33" s="60" t="s">
        <v>946</v>
      </c>
      <c r="B33" s="60" t="s">
        <v>136</v>
      </c>
      <c r="C33" s="60" t="s">
        <v>137</v>
      </c>
      <c r="D33" s="60" t="s">
        <v>138</v>
      </c>
      <c r="E33" s="61" t="s">
        <v>46</v>
      </c>
      <c r="F33" s="62" t="s">
        <v>46</v>
      </c>
      <c r="G33" s="63" t="s">
        <v>46</v>
      </c>
      <c r="H33" s="64"/>
      <c r="I33" s="64" t="s">
        <v>47</v>
      </c>
      <c r="J33" s="65">
        <v>1</v>
      </c>
      <c r="K33" s="66">
        <v>388</v>
      </c>
      <c r="L33" s="67" t="s">
        <v>853</v>
      </c>
      <c r="M33" s="66">
        <v>445</v>
      </c>
      <c r="N33" s="67" t="s">
        <v>77</v>
      </c>
      <c r="O33" s="66">
        <v>378</v>
      </c>
      <c r="P33" s="67" t="s">
        <v>371</v>
      </c>
      <c r="Q33" s="66">
        <v>393</v>
      </c>
      <c r="R33" s="67" t="s">
        <v>50</v>
      </c>
      <c r="S33" s="68">
        <v>404</v>
      </c>
      <c r="T33" s="65">
        <v>1437904919</v>
      </c>
      <c r="U33" s="65">
        <v>1836848</v>
      </c>
      <c r="V33" s="65">
        <v>587295452910</v>
      </c>
      <c r="W33" s="65">
        <v>773204175</v>
      </c>
      <c r="X33" s="69">
        <v>21</v>
      </c>
    </row>
    <row r="34" spans="1:24">
      <c r="A34" s="60" t="s">
        <v>946</v>
      </c>
      <c r="B34" s="60" t="s">
        <v>139</v>
      </c>
      <c r="C34" s="60" t="s">
        <v>140</v>
      </c>
      <c r="D34" s="60" t="s">
        <v>141</v>
      </c>
      <c r="E34" s="61" t="s">
        <v>46</v>
      </c>
      <c r="F34" s="62" t="s">
        <v>46</v>
      </c>
      <c r="G34" s="63" t="s">
        <v>46</v>
      </c>
      <c r="H34" s="64"/>
      <c r="I34" s="64" t="s">
        <v>47</v>
      </c>
      <c r="J34" s="65">
        <v>1</v>
      </c>
      <c r="K34" s="66">
        <v>30300</v>
      </c>
      <c r="L34" s="67" t="s">
        <v>853</v>
      </c>
      <c r="M34" s="66">
        <v>30650</v>
      </c>
      <c r="N34" s="67" t="s">
        <v>371</v>
      </c>
      <c r="O34" s="66">
        <v>26300</v>
      </c>
      <c r="P34" s="67" t="s">
        <v>77</v>
      </c>
      <c r="Q34" s="66">
        <v>29460</v>
      </c>
      <c r="R34" s="67" t="s">
        <v>50</v>
      </c>
      <c r="S34" s="68">
        <v>28861.9</v>
      </c>
      <c r="T34" s="65">
        <v>773484</v>
      </c>
      <c r="U34" s="65" t="s">
        <v>955</v>
      </c>
      <c r="V34" s="65">
        <v>22151887600</v>
      </c>
      <c r="W34" s="65" t="s">
        <v>955</v>
      </c>
      <c r="X34" s="69">
        <v>21</v>
      </c>
    </row>
    <row r="35" spans="1:24">
      <c r="A35" s="60" t="s">
        <v>946</v>
      </c>
      <c r="B35" s="60" t="s">
        <v>142</v>
      </c>
      <c r="C35" s="60" t="s">
        <v>143</v>
      </c>
      <c r="D35" s="60" t="s">
        <v>144</v>
      </c>
      <c r="E35" s="61" t="s">
        <v>46</v>
      </c>
      <c r="F35" s="62" t="s">
        <v>46</v>
      </c>
      <c r="G35" s="63" t="s">
        <v>46</v>
      </c>
      <c r="H35" s="64"/>
      <c r="I35" s="64" t="s">
        <v>47</v>
      </c>
      <c r="J35" s="65">
        <v>10</v>
      </c>
      <c r="K35" s="66">
        <v>948</v>
      </c>
      <c r="L35" s="67" t="s">
        <v>853</v>
      </c>
      <c r="M35" s="66">
        <v>1086</v>
      </c>
      <c r="N35" s="67" t="s">
        <v>77</v>
      </c>
      <c r="O35" s="66">
        <v>924</v>
      </c>
      <c r="P35" s="67" t="s">
        <v>371</v>
      </c>
      <c r="Q35" s="66">
        <v>959</v>
      </c>
      <c r="R35" s="67" t="s">
        <v>50</v>
      </c>
      <c r="S35" s="68">
        <v>986.19</v>
      </c>
      <c r="T35" s="65">
        <v>367768750</v>
      </c>
      <c r="U35" s="65">
        <v>750500</v>
      </c>
      <c r="V35" s="65">
        <v>366682730610</v>
      </c>
      <c r="W35" s="65">
        <v>720244500</v>
      </c>
      <c r="X35" s="69">
        <v>21</v>
      </c>
    </row>
    <row r="36" spans="1:24">
      <c r="A36" s="60" t="s">
        <v>946</v>
      </c>
      <c r="B36" s="60" t="s">
        <v>145</v>
      </c>
      <c r="C36" s="60" t="s">
        <v>146</v>
      </c>
      <c r="D36" s="60" t="s">
        <v>147</v>
      </c>
      <c r="E36" s="61" t="s">
        <v>46</v>
      </c>
      <c r="F36" s="62" t="s">
        <v>46</v>
      </c>
      <c r="G36" s="63" t="s">
        <v>46</v>
      </c>
      <c r="H36" s="64"/>
      <c r="I36" s="64" t="s">
        <v>47</v>
      </c>
      <c r="J36" s="65">
        <v>1</v>
      </c>
      <c r="K36" s="66">
        <v>18550</v>
      </c>
      <c r="L36" s="67" t="s">
        <v>853</v>
      </c>
      <c r="M36" s="66">
        <v>18890</v>
      </c>
      <c r="N36" s="67" t="s">
        <v>371</v>
      </c>
      <c r="O36" s="66">
        <v>17800</v>
      </c>
      <c r="P36" s="67" t="s">
        <v>84</v>
      </c>
      <c r="Q36" s="66">
        <v>18300</v>
      </c>
      <c r="R36" s="67" t="s">
        <v>50</v>
      </c>
      <c r="S36" s="68">
        <v>18391.43</v>
      </c>
      <c r="T36" s="65">
        <v>9301</v>
      </c>
      <c r="U36" s="65" t="s">
        <v>955</v>
      </c>
      <c r="V36" s="65">
        <v>169001880</v>
      </c>
      <c r="W36" s="65" t="s">
        <v>955</v>
      </c>
      <c r="X36" s="69">
        <v>21</v>
      </c>
    </row>
    <row r="37" spans="1:24">
      <c r="A37" s="60" t="s">
        <v>946</v>
      </c>
      <c r="B37" s="60" t="s">
        <v>148</v>
      </c>
      <c r="C37" s="60" t="s">
        <v>149</v>
      </c>
      <c r="D37" s="60" t="s">
        <v>150</v>
      </c>
      <c r="E37" s="61" t="s">
        <v>46</v>
      </c>
      <c r="F37" s="62" t="s">
        <v>46</v>
      </c>
      <c r="G37" s="63" t="s">
        <v>46</v>
      </c>
      <c r="H37" s="64"/>
      <c r="I37" s="64" t="s">
        <v>47</v>
      </c>
      <c r="J37" s="65">
        <v>1</v>
      </c>
      <c r="K37" s="66">
        <v>25210</v>
      </c>
      <c r="L37" s="67" t="s">
        <v>853</v>
      </c>
      <c r="M37" s="66">
        <v>25500</v>
      </c>
      <c r="N37" s="67" t="s">
        <v>371</v>
      </c>
      <c r="O37" s="66">
        <v>21880</v>
      </c>
      <c r="P37" s="67" t="s">
        <v>77</v>
      </c>
      <c r="Q37" s="66">
        <v>24490</v>
      </c>
      <c r="R37" s="67" t="s">
        <v>50</v>
      </c>
      <c r="S37" s="68">
        <v>23993.33</v>
      </c>
      <c r="T37" s="65">
        <v>2142254</v>
      </c>
      <c r="U37" s="65" t="s">
        <v>955</v>
      </c>
      <c r="V37" s="65">
        <v>51079782910</v>
      </c>
      <c r="W37" s="65" t="s">
        <v>955</v>
      </c>
      <c r="X37" s="69">
        <v>21</v>
      </c>
    </row>
    <row r="38" spans="1:24">
      <c r="A38" s="60" t="s">
        <v>946</v>
      </c>
      <c r="B38" s="60" t="s">
        <v>151</v>
      </c>
      <c r="C38" s="60" t="s">
        <v>152</v>
      </c>
      <c r="D38" s="60" t="s">
        <v>153</v>
      </c>
      <c r="E38" s="61" t="s">
        <v>46</v>
      </c>
      <c r="F38" s="62" t="s">
        <v>46</v>
      </c>
      <c r="G38" s="63" t="s">
        <v>46</v>
      </c>
      <c r="H38" s="64"/>
      <c r="I38" s="64" t="s">
        <v>47</v>
      </c>
      <c r="J38" s="65">
        <v>1</v>
      </c>
      <c r="K38" s="66">
        <v>1011</v>
      </c>
      <c r="L38" s="67" t="s">
        <v>853</v>
      </c>
      <c r="M38" s="66">
        <v>1160</v>
      </c>
      <c r="N38" s="67" t="s">
        <v>77</v>
      </c>
      <c r="O38" s="66">
        <v>988</v>
      </c>
      <c r="P38" s="67" t="s">
        <v>371</v>
      </c>
      <c r="Q38" s="66">
        <v>1025</v>
      </c>
      <c r="R38" s="67" t="s">
        <v>50</v>
      </c>
      <c r="S38" s="68">
        <v>1053.9000000000001</v>
      </c>
      <c r="T38" s="65">
        <v>22143822</v>
      </c>
      <c r="U38" s="65" t="s">
        <v>955</v>
      </c>
      <c r="V38" s="65">
        <v>23546036371</v>
      </c>
      <c r="W38" s="65" t="s">
        <v>955</v>
      </c>
      <c r="X38" s="69">
        <v>21</v>
      </c>
    </row>
    <row r="39" spans="1:24">
      <c r="A39" s="60" t="s">
        <v>946</v>
      </c>
      <c r="B39" s="60" t="s">
        <v>154</v>
      </c>
      <c r="C39" s="60" t="s">
        <v>155</v>
      </c>
      <c r="D39" s="60" t="s">
        <v>156</v>
      </c>
      <c r="E39" s="61" t="s">
        <v>46</v>
      </c>
      <c r="F39" s="62" t="s">
        <v>46</v>
      </c>
      <c r="G39" s="63" t="s">
        <v>46</v>
      </c>
      <c r="H39" s="64"/>
      <c r="I39" s="64" t="s">
        <v>47</v>
      </c>
      <c r="J39" s="65">
        <v>1</v>
      </c>
      <c r="K39" s="66">
        <v>20010</v>
      </c>
      <c r="L39" s="67" t="s">
        <v>853</v>
      </c>
      <c r="M39" s="66">
        <v>20600</v>
      </c>
      <c r="N39" s="67" t="s">
        <v>371</v>
      </c>
      <c r="O39" s="66">
        <v>18370</v>
      </c>
      <c r="P39" s="67" t="s">
        <v>77</v>
      </c>
      <c r="Q39" s="66">
        <v>19790</v>
      </c>
      <c r="R39" s="67" t="s">
        <v>50</v>
      </c>
      <c r="S39" s="68">
        <v>19610</v>
      </c>
      <c r="T39" s="65">
        <v>522384</v>
      </c>
      <c r="U39" s="65">
        <v>2</v>
      </c>
      <c r="V39" s="65">
        <v>10186956660</v>
      </c>
      <c r="W39" s="65">
        <v>39710</v>
      </c>
      <c r="X39" s="69">
        <v>21</v>
      </c>
    </row>
    <row r="40" spans="1:24">
      <c r="A40" s="60" t="s">
        <v>946</v>
      </c>
      <c r="B40" s="60" t="s">
        <v>157</v>
      </c>
      <c r="C40" s="60" t="s">
        <v>158</v>
      </c>
      <c r="D40" s="60" t="s">
        <v>159</v>
      </c>
      <c r="E40" s="61" t="s">
        <v>46</v>
      </c>
      <c r="F40" s="62" t="s">
        <v>46</v>
      </c>
      <c r="G40" s="63" t="s">
        <v>46</v>
      </c>
      <c r="H40" s="64"/>
      <c r="I40" s="64" t="s">
        <v>47</v>
      </c>
      <c r="J40" s="65">
        <v>1</v>
      </c>
      <c r="K40" s="66">
        <v>1500</v>
      </c>
      <c r="L40" s="67" t="s">
        <v>853</v>
      </c>
      <c r="M40" s="66">
        <v>1627</v>
      </c>
      <c r="N40" s="67" t="s">
        <v>77</v>
      </c>
      <c r="O40" s="66">
        <v>1444</v>
      </c>
      <c r="P40" s="67" t="s">
        <v>371</v>
      </c>
      <c r="Q40" s="66">
        <v>1500</v>
      </c>
      <c r="R40" s="67" t="s">
        <v>50</v>
      </c>
      <c r="S40" s="68">
        <v>1521.95</v>
      </c>
      <c r="T40" s="65">
        <v>1491975</v>
      </c>
      <c r="U40" s="65">
        <v>85</v>
      </c>
      <c r="V40" s="65">
        <v>2295594119</v>
      </c>
      <c r="W40" s="65">
        <v>136333</v>
      </c>
      <c r="X40" s="69">
        <v>21</v>
      </c>
    </row>
    <row r="41" spans="1:24">
      <c r="A41" s="60" t="s">
        <v>946</v>
      </c>
      <c r="B41" s="60" t="s">
        <v>160</v>
      </c>
      <c r="C41" s="60" t="s">
        <v>161</v>
      </c>
      <c r="D41" s="60" t="s">
        <v>162</v>
      </c>
      <c r="E41" s="61" t="s">
        <v>46</v>
      </c>
      <c r="F41" s="62" t="s">
        <v>46</v>
      </c>
      <c r="G41" s="63" t="s">
        <v>46</v>
      </c>
      <c r="H41" s="64"/>
      <c r="I41" s="64" t="s">
        <v>47</v>
      </c>
      <c r="J41" s="65">
        <v>1</v>
      </c>
      <c r="K41" s="66">
        <v>29400</v>
      </c>
      <c r="L41" s="67" t="s">
        <v>853</v>
      </c>
      <c r="M41" s="66">
        <v>29630</v>
      </c>
      <c r="N41" s="67" t="s">
        <v>371</v>
      </c>
      <c r="O41" s="66">
        <v>27430</v>
      </c>
      <c r="P41" s="67" t="s">
        <v>77</v>
      </c>
      <c r="Q41" s="66">
        <v>28990</v>
      </c>
      <c r="R41" s="67" t="s">
        <v>50</v>
      </c>
      <c r="S41" s="68">
        <v>28719.05</v>
      </c>
      <c r="T41" s="65">
        <v>307578</v>
      </c>
      <c r="U41" s="65">
        <v>107000</v>
      </c>
      <c r="V41" s="65">
        <v>8815065790</v>
      </c>
      <c r="W41" s="65">
        <v>3092344400</v>
      </c>
      <c r="X41" s="69">
        <v>21</v>
      </c>
    </row>
    <row r="42" spans="1:24">
      <c r="A42" s="60" t="s">
        <v>946</v>
      </c>
      <c r="B42" s="60" t="s">
        <v>163</v>
      </c>
      <c r="C42" s="60" t="s">
        <v>164</v>
      </c>
      <c r="D42" s="60" t="s">
        <v>165</v>
      </c>
      <c r="E42" s="61" t="s">
        <v>46</v>
      </c>
      <c r="F42" s="62" t="s">
        <v>46</v>
      </c>
      <c r="G42" s="63" t="s">
        <v>46</v>
      </c>
      <c r="H42" s="64"/>
      <c r="I42" s="64" t="s">
        <v>47</v>
      </c>
      <c r="J42" s="65">
        <v>1</v>
      </c>
      <c r="K42" s="66">
        <v>5310</v>
      </c>
      <c r="L42" s="67" t="s">
        <v>853</v>
      </c>
      <c r="M42" s="66">
        <v>5660</v>
      </c>
      <c r="N42" s="67" t="s">
        <v>240</v>
      </c>
      <c r="O42" s="66">
        <v>5210</v>
      </c>
      <c r="P42" s="67" t="s">
        <v>48</v>
      </c>
      <c r="Q42" s="66">
        <v>5640</v>
      </c>
      <c r="R42" s="67" t="s">
        <v>50</v>
      </c>
      <c r="S42" s="68">
        <v>5459.05</v>
      </c>
      <c r="T42" s="65">
        <v>4010</v>
      </c>
      <c r="U42" s="65" t="s">
        <v>955</v>
      </c>
      <c r="V42" s="65">
        <v>21986890</v>
      </c>
      <c r="W42" s="65" t="s">
        <v>955</v>
      </c>
      <c r="X42" s="69">
        <v>21</v>
      </c>
    </row>
    <row r="43" spans="1:24">
      <c r="A43" s="60" t="s">
        <v>946</v>
      </c>
      <c r="B43" s="60" t="s">
        <v>166</v>
      </c>
      <c r="C43" s="60" t="s">
        <v>167</v>
      </c>
      <c r="D43" s="60" t="s">
        <v>168</v>
      </c>
      <c r="E43" s="61" t="s">
        <v>46</v>
      </c>
      <c r="F43" s="62" t="s">
        <v>46</v>
      </c>
      <c r="G43" s="63" t="s">
        <v>46</v>
      </c>
      <c r="H43" s="64"/>
      <c r="I43" s="64" t="s">
        <v>47</v>
      </c>
      <c r="J43" s="65">
        <v>1</v>
      </c>
      <c r="K43" s="66">
        <v>9520</v>
      </c>
      <c r="L43" s="67" t="s">
        <v>853</v>
      </c>
      <c r="M43" s="66">
        <v>10240</v>
      </c>
      <c r="N43" s="67" t="s">
        <v>240</v>
      </c>
      <c r="O43" s="66">
        <v>9380</v>
      </c>
      <c r="P43" s="67" t="s">
        <v>853</v>
      </c>
      <c r="Q43" s="66">
        <v>10140</v>
      </c>
      <c r="R43" s="67" t="s">
        <v>50</v>
      </c>
      <c r="S43" s="68">
        <v>9853.81</v>
      </c>
      <c r="T43" s="65">
        <v>1890</v>
      </c>
      <c r="U43" s="65" t="s">
        <v>955</v>
      </c>
      <c r="V43" s="65">
        <v>18805230</v>
      </c>
      <c r="W43" s="65" t="s">
        <v>955</v>
      </c>
      <c r="X43" s="69">
        <v>21</v>
      </c>
    </row>
    <row r="44" spans="1:24">
      <c r="A44" s="60" t="s">
        <v>946</v>
      </c>
      <c r="B44" s="60" t="s">
        <v>169</v>
      </c>
      <c r="C44" s="60" t="s">
        <v>170</v>
      </c>
      <c r="D44" s="60" t="s">
        <v>171</v>
      </c>
      <c r="E44" s="61" t="s">
        <v>46</v>
      </c>
      <c r="F44" s="62" t="s">
        <v>46</v>
      </c>
      <c r="G44" s="63" t="s">
        <v>46</v>
      </c>
      <c r="H44" s="64"/>
      <c r="I44" s="64" t="s">
        <v>47</v>
      </c>
      <c r="J44" s="65">
        <v>1</v>
      </c>
      <c r="K44" s="66">
        <v>19020</v>
      </c>
      <c r="L44" s="67" t="s">
        <v>853</v>
      </c>
      <c r="M44" s="66">
        <v>20140</v>
      </c>
      <c r="N44" s="67" t="s">
        <v>132</v>
      </c>
      <c r="O44" s="66">
        <v>18600</v>
      </c>
      <c r="P44" s="67" t="s">
        <v>48</v>
      </c>
      <c r="Q44" s="66">
        <v>19850</v>
      </c>
      <c r="R44" s="67" t="s">
        <v>50</v>
      </c>
      <c r="S44" s="68">
        <v>19437.060000000001</v>
      </c>
      <c r="T44" s="65">
        <v>315</v>
      </c>
      <c r="U44" s="65">
        <v>1</v>
      </c>
      <c r="V44" s="65">
        <v>6060010</v>
      </c>
      <c r="W44" s="65">
        <v>18860</v>
      </c>
      <c r="X44" s="69">
        <v>17</v>
      </c>
    </row>
    <row r="45" spans="1:24">
      <c r="A45" s="60" t="s">
        <v>946</v>
      </c>
      <c r="B45" s="60" t="s">
        <v>173</v>
      </c>
      <c r="C45" s="60" t="s">
        <v>174</v>
      </c>
      <c r="D45" s="60" t="s">
        <v>175</v>
      </c>
      <c r="E45" s="61" t="s">
        <v>46</v>
      </c>
      <c r="F45" s="62" t="s">
        <v>46</v>
      </c>
      <c r="G45" s="63" t="s">
        <v>46</v>
      </c>
      <c r="H45" s="64"/>
      <c r="I45" s="64" t="s">
        <v>47</v>
      </c>
      <c r="J45" s="65">
        <v>1</v>
      </c>
      <c r="K45" s="66">
        <v>16500</v>
      </c>
      <c r="L45" s="67" t="s">
        <v>853</v>
      </c>
      <c r="M45" s="66">
        <v>18000</v>
      </c>
      <c r="N45" s="67" t="s">
        <v>176</v>
      </c>
      <c r="O45" s="66">
        <v>16500</v>
      </c>
      <c r="P45" s="67" t="s">
        <v>853</v>
      </c>
      <c r="Q45" s="66">
        <v>18000</v>
      </c>
      <c r="R45" s="67" t="s">
        <v>50</v>
      </c>
      <c r="S45" s="68">
        <v>17491.43</v>
      </c>
      <c r="T45" s="65">
        <v>91</v>
      </c>
      <c r="U45" s="65" t="s">
        <v>955</v>
      </c>
      <c r="V45" s="65">
        <v>1576980</v>
      </c>
      <c r="W45" s="65" t="s">
        <v>955</v>
      </c>
      <c r="X45" s="69">
        <v>7</v>
      </c>
    </row>
    <row r="46" spans="1:24">
      <c r="A46" s="60" t="s">
        <v>946</v>
      </c>
      <c r="B46" s="60" t="s">
        <v>177</v>
      </c>
      <c r="C46" s="60" t="s">
        <v>178</v>
      </c>
      <c r="D46" s="60" t="s">
        <v>179</v>
      </c>
      <c r="E46" s="61" t="s">
        <v>46</v>
      </c>
      <c r="F46" s="62" t="s">
        <v>46</v>
      </c>
      <c r="G46" s="63" t="s">
        <v>46</v>
      </c>
      <c r="H46" s="64"/>
      <c r="I46" s="64" t="s">
        <v>47</v>
      </c>
      <c r="J46" s="65">
        <v>1</v>
      </c>
      <c r="K46" s="66">
        <v>9870</v>
      </c>
      <c r="L46" s="67" t="s">
        <v>853</v>
      </c>
      <c r="M46" s="66">
        <v>10730</v>
      </c>
      <c r="N46" s="67" t="s">
        <v>371</v>
      </c>
      <c r="O46" s="66">
        <v>9750</v>
      </c>
      <c r="P46" s="67" t="s">
        <v>853</v>
      </c>
      <c r="Q46" s="66">
        <v>10560</v>
      </c>
      <c r="R46" s="67" t="s">
        <v>50</v>
      </c>
      <c r="S46" s="68">
        <v>10275.709999999999</v>
      </c>
      <c r="T46" s="65">
        <v>1647</v>
      </c>
      <c r="U46" s="65" t="s">
        <v>955</v>
      </c>
      <c r="V46" s="65">
        <v>16977510</v>
      </c>
      <c r="W46" s="65" t="s">
        <v>955</v>
      </c>
      <c r="X46" s="69">
        <v>21</v>
      </c>
    </row>
    <row r="47" spans="1:24">
      <c r="A47" s="60" t="s">
        <v>946</v>
      </c>
      <c r="B47" s="60" t="s">
        <v>180</v>
      </c>
      <c r="C47" s="60" t="s">
        <v>181</v>
      </c>
      <c r="D47" s="60" t="s">
        <v>182</v>
      </c>
      <c r="E47" s="61" t="s">
        <v>46</v>
      </c>
      <c r="F47" s="62" t="s">
        <v>46</v>
      </c>
      <c r="G47" s="63" t="s">
        <v>46</v>
      </c>
      <c r="H47" s="64"/>
      <c r="I47" s="64" t="s">
        <v>47</v>
      </c>
      <c r="J47" s="65">
        <v>1</v>
      </c>
      <c r="K47" s="66">
        <v>5220</v>
      </c>
      <c r="L47" s="67" t="s">
        <v>853</v>
      </c>
      <c r="M47" s="66">
        <v>5650</v>
      </c>
      <c r="N47" s="67" t="s">
        <v>100</v>
      </c>
      <c r="O47" s="66">
        <v>5030</v>
      </c>
      <c r="P47" s="67" t="s">
        <v>853</v>
      </c>
      <c r="Q47" s="66">
        <v>5560</v>
      </c>
      <c r="R47" s="67" t="s">
        <v>50</v>
      </c>
      <c r="S47" s="68">
        <v>5437.14</v>
      </c>
      <c r="T47" s="65">
        <v>2881</v>
      </c>
      <c r="U47" s="65" t="s">
        <v>955</v>
      </c>
      <c r="V47" s="65">
        <v>15508840</v>
      </c>
      <c r="W47" s="65" t="s">
        <v>955</v>
      </c>
      <c r="X47" s="69">
        <v>21</v>
      </c>
    </row>
    <row r="48" spans="1:24">
      <c r="A48" s="60" t="s">
        <v>946</v>
      </c>
      <c r="B48" s="60" t="s">
        <v>183</v>
      </c>
      <c r="C48" s="60" t="s">
        <v>184</v>
      </c>
      <c r="D48" s="60" t="s">
        <v>185</v>
      </c>
      <c r="E48" s="61" t="s">
        <v>46</v>
      </c>
      <c r="F48" s="62" t="s">
        <v>46</v>
      </c>
      <c r="G48" s="63" t="s">
        <v>46</v>
      </c>
      <c r="H48" s="64"/>
      <c r="I48" s="64" t="s">
        <v>47</v>
      </c>
      <c r="J48" s="65">
        <v>1</v>
      </c>
      <c r="K48" s="66">
        <v>2731</v>
      </c>
      <c r="L48" s="67" t="s">
        <v>853</v>
      </c>
      <c r="M48" s="66">
        <v>2976</v>
      </c>
      <c r="N48" s="67" t="s">
        <v>73</v>
      </c>
      <c r="O48" s="66">
        <v>2672</v>
      </c>
      <c r="P48" s="67" t="s">
        <v>853</v>
      </c>
      <c r="Q48" s="66">
        <v>2913</v>
      </c>
      <c r="R48" s="67" t="s">
        <v>50</v>
      </c>
      <c r="S48" s="68">
        <v>2816.71</v>
      </c>
      <c r="T48" s="65">
        <v>6951</v>
      </c>
      <c r="U48" s="65" t="s">
        <v>955</v>
      </c>
      <c r="V48" s="65">
        <v>19937513</v>
      </c>
      <c r="W48" s="65" t="s">
        <v>955</v>
      </c>
      <c r="X48" s="69">
        <v>21</v>
      </c>
    </row>
    <row r="49" spans="1:24">
      <c r="A49" s="60" t="s">
        <v>946</v>
      </c>
      <c r="B49" s="60" t="s">
        <v>186</v>
      </c>
      <c r="C49" s="60" t="s">
        <v>187</v>
      </c>
      <c r="D49" s="60" t="s">
        <v>188</v>
      </c>
      <c r="E49" s="61" t="s">
        <v>46</v>
      </c>
      <c r="F49" s="62" t="s">
        <v>46</v>
      </c>
      <c r="G49" s="63" t="s">
        <v>46</v>
      </c>
      <c r="H49" s="64"/>
      <c r="I49" s="64" t="s">
        <v>47</v>
      </c>
      <c r="J49" s="65">
        <v>1</v>
      </c>
      <c r="K49" s="66">
        <v>2648</v>
      </c>
      <c r="L49" s="67" t="s">
        <v>853</v>
      </c>
      <c r="M49" s="66">
        <v>2849</v>
      </c>
      <c r="N49" s="67" t="s">
        <v>88</v>
      </c>
      <c r="O49" s="66">
        <v>2599</v>
      </c>
      <c r="P49" s="67" t="s">
        <v>853</v>
      </c>
      <c r="Q49" s="66">
        <v>2800</v>
      </c>
      <c r="R49" s="67" t="s">
        <v>50</v>
      </c>
      <c r="S49" s="68">
        <v>2737.14</v>
      </c>
      <c r="T49" s="65">
        <v>5687</v>
      </c>
      <c r="U49" s="65" t="s">
        <v>955</v>
      </c>
      <c r="V49" s="65">
        <v>15567582</v>
      </c>
      <c r="W49" s="65" t="s">
        <v>955</v>
      </c>
      <c r="X49" s="69">
        <v>21</v>
      </c>
    </row>
    <row r="50" spans="1:24">
      <c r="A50" s="60" t="s">
        <v>946</v>
      </c>
      <c r="B50" s="60" t="s">
        <v>189</v>
      </c>
      <c r="C50" s="60" t="s">
        <v>190</v>
      </c>
      <c r="D50" s="60" t="s">
        <v>191</v>
      </c>
      <c r="E50" s="61" t="s">
        <v>46</v>
      </c>
      <c r="F50" s="62" t="s">
        <v>46</v>
      </c>
      <c r="G50" s="63" t="s">
        <v>46</v>
      </c>
      <c r="H50" s="64"/>
      <c r="I50" s="64" t="s">
        <v>47</v>
      </c>
      <c r="J50" s="65">
        <v>1</v>
      </c>
      <c r="K50" s="66">
        <v>48350</v>
      </c>
      <c r="L50" s="67" t="s">
        <v>853</v>
      </c>
      <c r="M50" s="66">
        <v>52000</v>
      </c>
      <c r="N50" s="67" t="s">
        <v>73</v>
      </c>
      <c r="O50" s="66">
        <v>47900</v>
      </c>
      <c r="P50" s="67" t="s">
        <v>84</v>
      </c>
      <c r="Q50" s="66">
        <v>51700</v>
      </c>
      <c r="R50" s="67" t="s">
        <v>50</v>
      </c>
      <c r="S50" s="68">
        <v>49985.71</v>
      </c>
      <c r="T50" s="65">
        <v>1243</v>
      </c>
      <c r="U50" s="65" t="s">
        <v>955</v>
      </c>
      <c r="V50" s="65">
        <v>61994550</v>
      </c>
      <c r="W50" s="65" t="s">
        <v>955</v>
      </c>
      <c r="X50" s="69">
        <v>21</v>
      </c>
    </row>
    <row r="51" spans="1:24">
      <c r="A51" s="60" t="s">
        <v>946</v>
      </c>
      <c r="B51" s="60" t="s">
        <v>192</v>
      </c>
      <c r="C51" s="60" t="s">
        <v>193</v>
      </c>
      <c r="D51" s="60" t="s">
        <v>194</v>
      </c>
      <c r="E51" s="61" t="s">
        <v>46</v>
      </c>
      <c r="F51" s="62" t="s">
        <v>46</v>
      </c>
      <c r="G51" s="63" t="s">
        <v>46</v>
      </c>
      <c r="H51" s="64"/>
      <c r="I51" s="64" t="s">
        <v>47</v>
      </c>
      <c r="J51" s="65">
        <v>1</v>
      </c>
      <c r="K51" s="66">
        <v>34050</v>
      </c>
      <c r="L51" s="67" t="s">
        <v>853</v>
      </c>
      <c r="M51" s="66">
        <v>37000</v>
      </c>
      <c r="N51" s="67" t="s">
        <v>240</v>
      </c>
      <c r="O51" s="66">
        <v>33650</v>
      </c>
      <c r="P51" s="67" t="s">
        <v>853</v>
      </c>
      <c r="Q51" s="66">
        <v>37000</v>
      </c>
      <c r="R51" s="67" t="s">
        <v>88</v>
      </c>
      <c r="S51" s="68">
        <v>35319.230000000003</v>
      </c>
      <c r="T51" s="65">
        <v>138</v>
      </c>
      <c r="U51" s="65" t="s">
        <v>955</v>
      </c>
      <c r="V51" s="65">
        <v>4757550</v>
      </c>
      <c r="W51" s="65" t="s">
        <v>955</v>
      </c>
      <c r="X51" s="69">
        <v>13</v>
      </c>
    </row>
    <row r="52" spans="1:24">
      <c r="A52" s="60" t="s">
        <v>946</v>
      </c>
      <c r="B52" s="60" t="s">
        <v>195</v>
      </c>
      <c r="C52" s="60" t="s">
        <v>196</v>
      </c>
      <c r="D52" s="60" t="s">
        <v>197</v>
      </c>
      <c r="E52" s="61" t="s">
        <v>46</v>
      </c>
      <c r="F52" s="62" t="s">
        <v>46</v>
      </c>
      <c r="G52" s="63" t="s">
        <v>46</v>
      </c>
      <c r="H52" s="64"/>
      <c r="I52" s="64" t="s">
        <v>47</v>
      </c>
      <c r="J52" s="65">
        <v>1</v>
      </c>
      <c r="K52" s="66">
        <v>29680</v>
      </c>
      <c r="L52" s="67" t="s">
        <v>853</v>
      </c>
      <c r="M52" s="66">
        <v>29840</v>
      </c>
      <c r="N52" s="67" t="s">
        <v>853</v>
      </c>
      <c r="O52" s="66">
        <v>27730</v>
      </c>
      <c r="P52" s="67" t="s">
        <v>77</v>
      </c>
      <c r="Q52" s="66">
        <v>29160</v>
      </c>
      <c r="R52" s="67" t="s">
        <v>50</v>
      </c>
      <c r="S52" s="68">
        <v>28876.84</v>
      </c>
      <c r="T52" s="65">
        <v>26900</v>
      </c>
      <c r="U52" s="65" t="s">
        <v>955</v>
      </c>
      <c r="V52" s="65">
        <v>775072450</v>
      </c>
      <c r="W52" s="65" t="s">
        <v>955</v>
      </c>
      <c r="X52" s="69">
        <v>19</v>
      </c>
    </row>
    <row r="53" spans="1:24">
      <c r="A53" s="60" t="s">
        <v>946</v>
      </c>
      <c r="B53" s="60" t="s">
        <v>198</v>
      </c>
      <c r="C53" s="60" t="s">
        <v>199</v>
      </c>
      <c r="D53" s="60" t="s">
        <v>200</v>
      </c>
      <c r="E53" s="61" t="s">
        <v>46</v>
      </c>
      <c r="F53" s="62" t="s">
        <v>46</v>
      </c>
      <c r="G53" s="63" t="s">
        <v>46</v>
      </c>
      <c r="H53" s="64"/>
      <c r="I53" s="64" t="s">
        <v>47</v>
      </c>
      <c r="J53" s="65">
        <v>10</v>
      </c>
      <c r="K53" s="66">
        <v>2125</v>
      </c>
      <c r="L53" s="67" t="s">
        <v>853</v>
      </c>
      <c r="M53" s="66">
        <v>2150</v>
      </c>
      <c r="N53" s="67" t="s">
        <v>613</v>
      </c>
      <c r="O53" s="66">
        <v>2045</v>
      </c>
      <c r="P53" s="67" t="s">
        <v>84</v>
      </c>
      <c r="Q53" s="66">
        <v>2127</v>
      </c>
      <c r="R53" s="67" t="s">
        <v>50</v>
      </c>
      <c r="S53" s="68">
        <v>2109.62</v>
      </c>
      <c r="T53" s="65">
        <v>500610</v>
      </c>
      <c r="U53" s="65">
        <v>113140</v>
      </c>
      <c r="V53" s="65">
        <v>1055597549</v>
      </c>
      <c r="W53" s="65">
        <v>238787419</v>
      </c>
      <c r="X53" s="69">
        <v>21</v>
      </c>
    </row>
    <row r="54" spans="1:24">
      <c r="A54" s="60" t="s">
        <v>946</v>
      </c>
      <c r="B54" s="60" t="s">
        <v>201</v>
      </c>
      <c r="C54" s="60" t="s">
        <v>202</v>
      </c>
      <c r="D54" s="60" t="s">
        <v>203</v>
      </c>
      <c r="E54" s="61" t="s">
        <v>46</v>
      </c>
      <c r="F54" s="62" t="s">
        <v>46</v>
      </c>
      <c r="G54" s="63" t="s">
        <v>46</v>
      </c>
      <c r="H54" s="64"/>
      <c r="I54" s="64" t="s">
        <v>47</v>
      </c>
      <c r="J54" s="65">
        <v>10</v>
      </c>
      <c r="K54" s="66">
        <v>1587</v>
      </c>
      <c r="L54" s="67" t="s">
        <v>853</v>
      </c>
      <c r="M54" s="66">
        <v>1589</v>
      </c>
      <c r="N54" s="67" t="s">
        <v>48</v>
      </c>
      <c r="O54" s="66">
        <v>1540</v>
      </c>
      <c r="P54" s="67" t="s">
        <v>172</v>
      </c>
      <c r="Q54" s="66">
        <v>1541</v>
      </c>
      <c r="R54" s="67" t="s">
        <v>50</v>
      </c>
      <c r="S54" s="68">
        <v>1563.89</v>
      </c>
      <c r="T54" s="65">
        <v>7580</v>
      </c>
      <c r="U54" s="65" t="s">
        <v>955</v>
      </c>
      <c r="V54" s="65">
        <v>11842900</v>
      </c>
      <c r="W54" s="65" t="s">
        <v>955</v>
      </c>
      <c r="X54" s="69">
        <v>18</v>
      </c>
    </row>
    <row r="55" spans="1:24">
      <c r="A55" s="60" t="s">
        <v>946</v>
      </c>
      <c r="B55" s="60" t="s">
        <v>204</v>
      </c>
      <c r="C55" s="60" t="s">
        <v>205</v>
      </c>
      <c r="D55" s="60" t="s">
        <v>206</v>
      </c>
      <c r="E55" s="61" t="s">
        <v>46</v>
      </c>
      <c r="F55" s="62" t="s">
        <v>46</v>
      </c>
      <c r="G55" s="63" t="s">
        <v>46</v>
      </c>
      <c r="H55" s="64"/>
      <c r="I55" s="64" t="s">
        <v>47</v>
      </c>
      <c r="J55" s="65">
        <v>1</v>
      </c>
      <c r="K55" s="66">
        <v>4225</v>
      </c>
      <c r="L55" s="67" t="s">
        <v>853</v>
      </c>
      <c r="M55" s="66">
        <v>4510</v>
      </c>
      <c r="N55" s="67" t="s">
        <v>77</v>
      </c>
      <c r="O55" s="66">
        <v>4175</v>
      </c>
      <c r="P55" s="67" t="s">
        <v>371</v>
      </c>
      <c r="Q55" s="66">
        <v>4250</v>
      </c>
      <c r="R55" s="67" t="s">
        <v>50</v>
      </c>
      <c r="S55" s="68">
        <v>4307.38</v>
      </c>
      <c r="T55" s="65">
        <v>1379154</v>
      </c>
      <c r="U55" s="65">
        <v>98800</v>
      </c>
      <c r="V55" s="65">
        <v>5992229600</v>
      </c>
      <c r="W55" s="65">
        <v>431988580</v>
      </c>
      <c r="X55" s="69">
        <v>21</v>
      </c>
    </row>
    <row r="56" spans="1:24">
      <c r="A56" s="60" t="s">
        <v>946</v>
      </c>
      <c r="B56" s="60" t="s">
        <v>207</v>
      </c>
      <c r="C56" s="60" t="s">
        <v>208</v>
      </c>
      <c r="D56" s="60" t="s">
        <v>209</v>
      </c>
      <c r="E56" s="61" t="s">
        <v>46</v>
      </c>
      <c r="F56" s="62" t="s">
        <v>46</v>
      </c>
      <c r="G56" s="63" t="s">
        <v>46</v>
      </c>
      <c r="H56" s="64"/>
      <c r="I56" s="64" t="s">
        <v>47</v>
      </c>
      <c r="J56" s="65">
        <v>1</v>
      </c>
      <c r="K56" s="66">
        <v>5070</v>
      </c>
      <c r="L56" s="67" t="s">
        <v>853</v>
      </c>
      <c r="M56" s="66">
        <v>5280</v>
      </c>
      <c r="N56" s="67" t="s">
        <v>84</v>
      </c>
      <c r="O56" s="66">
        <v>4975</v>
      </c>
      <c r="P56" s="67" t="s">
        <v>371</v>
      </c>
      <c r="Q56" s="66">
        <v>5090</v>
      </c>
      <c r="R56" s="67" t="s">
        <v>50</v>
      </c>
      <c r="S56" s="68">
        <v>5105.71</v>
      </c>
      <c r="T56" s="65">
        <v>221251</v>
      </c>
      <c r="U56" s="65">
        <v>81200</v>
      </c>
      <c r="V56" s="65">
        <v>1136316869</v>
      </c>
      <c r="W56" s="65">
        <v>415384904</v>
      </c>
      <c r="X56" s="69">
        <v>21</v>
      </c>
    </row>
    <row r="57" spans="1:24">
      <c r="A57" s="60" t="s">
        <v>946</v>
      </c>
      <c r="B57" s="60" t="s">
        <v>210</v>
      </c>
      <c r="C57" s="60" t="s">
        <v>211</v>
      </c>
      <c r="D57" s="60" t="s">
        <v>212</v>
      </c>
      <c r="E57" s="61" t="s">
        <v>46</v>
      </c>
      <c r="F57" s="62" t="s">
        <v>46</v>
      </c>
      <c r="G57" s="63" t="s">
        <v>46</v>
      </c>
      <c r="H57" s="64"/>
      <c r="I57" s="64" t="s">
        <v>47</v>
      </c>
      <c r="J57" s="65">
        <v>1</v>
      </c>
      <c r="K57" s="66">
        <v>19120</v>
      </c>
      <c r="L57" s="67" t="s">
        <v>853</v>
      </c>
      <c r="M57" s="66">
        <v>19360</v>
      </c>
      <c r="N57" s="67" t="s">
        <v>371</v>
      </c>
      <c r="O57" s="66">
        <v>16590</v>
      </c>
      <c r="P57" s="67" t="s">
        <v>77</v>
      </c>
      <c r="Q57" s="66">
        <v>18580</v>
      </c>
      <c r="R57" s="67" t="s">
        <v>50</v>
      </c>
      <c r="S57" s="68">
        <v>18206.189999999999</v>
      </c>
      <c r="T57" s="65">
        <v>26723331</v>
      </c>
      <c r="U57" s="65">
        <v>34066</v>
      </c>
      <c r="V57" s="65">
        <v>488047452470</v>
      </c>
      <c r="W57" s="65">
        <v>593893030</v>
      </c>
      <c r="X57" s="69">
        <v>21</v>
      </c>
    </row>
    <row r="58" spans="1:24">
      <c r="A58" s="60" t="s">
        <v>946</v>
      </c>
      <c r="B58" s="60" t="s">
        <v>213</v>
      </c>
      <c r="C58" s="60" t="s">
        <v>214</v>
      </c>
      <c r="D58" s="60" t="s">
        <v>215</v>
      </c>
      <c r="E58" s="61" t="s">
        <v>46</v>
      </c>
      <c r="F58" s="62" t="s">
        <v>46</v>
      </c>
      <c r="G58" s="63" t="s">
        <v>46</v>
      </c>
      <c r="H58" s="64"/>
      <c r="I58" s="64" t="s">
        <v>47</v>
      </c>
      <c r="J58" s="65">
        <v>1</v>
      </c>
      <c r="K58" s="66">
        <v>1552</v>
      </c>
      <c r="L58" s="67" t="s">
        <v>853</v>
      </c>
      <c r="M58" s="66">
        <v>1777</v>
      </c>
      <c r="N58" s="67" t="s">
        <v>77</v>
      </c>
      <c r="O58" s="66">
        <v>1513</v>
      </c>
      <c r="P58" s="67" t="s">
        <v>371</v>
      </c>
      <c r="Q58" s="66">
        <v>1571</v>
      </c>
      <c r="R58" s="67" t="s">
        <v>50</v>
      </c>
      <c r="S58" s="68">
        <v>1614.71</v>
      </c>
      <c r="T58" s="65">
        <v>206507386</v>
      </c>
      <c r="U58" s="65">
        <v>350239</v>
      </c>
      <c r="V58" s="65">
        <v>336595994604</v>
      </c>
      <c r="W58" s="65">
        <v>590325336</v>
      </c>
      <c r="X58" s="69">
        <v>21</v>
      </c>
    </row>
    <row r="59" spans="1:24">
      <c r="A59" s="60" t="s">
        <v>946</v>
      </c>
      <c r="B59" s="60" t="s">
        <v>216</v>
      </c>
      <c r="C59" s="60" t="s">
        <v>217</v>
      </c>
      <c r="D59" s="60" t="s">
        <v>218</v>
      </c>
      <c r="E59" s="61" t="s">
        <v>896</v>
      </c>
      <c r="F59" s="62" t="s">
        <v>897</v>
      </c>
      <c r="G59" s="63" t="s">
        <v>947</v>
      </c>
      <c r="H59" s="64" t="s">
        <v>878</v>
      </c>
      <c r="I59" s="64"/>
      <c r="J59" s="65">
        <v>1</v>
      </c>
      <c r="K59" s="66">
        <v>26290</v>
      </c>
      <c r="L59" s="67" t="s">
        <v>853</v>
      </c>
      <c r="M59" s="66">
        <v>26450</v>
      </c>
      <c r="N59" s="67" t="s">
        <v>96</v>
      </c>
      <c r="O59" s="66">
        <v>26270</v>
      </c>
      <c r="P59" s="67" t="s">
        <v>853</v>
      </c>
      <c r="Q59" s="66">
        <v>26450</v>
      </c>
      <c r="R59" s="67" t="s">
        <v>96</v>
      </c>
      <c r="S59" s="68">
        <v>26340</v>
      </c>
      <c r="T59" s="65">
        <v>102</v>
      </c>
      <c r="U59" s="65" t="s">
        <v>955</v>
      </c>
      <c r="V59" s="65">
        <v>2693070</v>
      </c>
      <c r="W59" s="65" t="s">
        <v>955</v>
      </c>
      <c r="X59" s="69">
        <v>3</v>
      </c>
    </row>
    <row r="60" spans="1:24">
      <c r="A60" s="60" t="s">
        <v>946</v>
      </c>
      <c r="B60" s="60" t="s">
        <v>219</v>
      </c>
      <c r="C60" s="60" t="s">
        <v>220</v>
      </c>
      <c r="D60" s="60" t="s">
        <v>221</v>
      </c>
      <c r="E60" s="61" t="s">
        <v>46</v>
      </c>
      <c r="F60" s="62" t="s">
        <v>46</v>
      </c>
      <c r="G60" s="63" t="s">
        <v>46</v>
      </c>
      <c r="H60" s="64"/>
      <c r="I60" s="64" t="s">
        <v>47</v>
      </c>
      <c r="J60" s="65">
        <v>1</v>
      </c>
      <c r="K60" s="66">
        <v>15980</v>
      </c>
      <c r="L60" s="67" t="s">
        <v>853</v>
      </c>
      <c r="M60" s="66">
        <v>16430</v>
      </c>
      <c r="N60" s="67" t="s">
        <v>371</v>
      </c>
      <c r="O60" s="66">
        <v>14580</v>
      </c>
      <c r="P60" s="67" t="s">
        <v>84</v>
      </c>
      <c r="Q60" s="66">
        <v>15760</v>
      </c>
      <c r="R60" s="67" t="s">
        <v>50</v>
      </c>
      <c r="S60" s="68">
        <v>15611.9</v>
      </c>
      <c r="T60" s="65">
        <v>4525</v>
      </c>
      <c r="U60" s="65" t="s">
        <v>955</v>
      </c>
      <c r="V60" s="65">
        <v>70027560</v>
      </c>
      <c r="W60" s="65" t="s">
        <v>955</v>
      </c>
      <c r="X60" s="69">
        <v>21</v>
      </c>
    </row>
    <row r="61" spans="1:24">
      <c r="A61" s="60" t="s">
        <v>946</v>
      </c>
      <c r="B61" s="60" t="s">
        <v>222</v>
      </c>
      <c r="C61" s="60" t="s">
        <v>223</v>
      </c>
      <c r="D61" s="60" t="s">
        <v>224</v>
      </c>
      <c r="E61" s="61" t="s">
        <v>46</v>
      </c>
      <c r="F61" s="62" t="s">
        <v>46</v>
      </c>
      <c r="G61" s="63" t="s">
        <v>46</v>
      </c>
      <c r="H61" s="64"/>
      <c r="I61" s="64" t="s">
        <v>47</v>
      </c>
      <c r="J61" s="65">
        <v>1</v>
      </c>
      <c r="K61" s="66">
        <v>4885</v>
      </c>
      <c r="L61" s="67" t="s">
        <v>853</v>
      </c>
      <c r="M61" s="66">
        <v>5130</v>
      </c>
      <c r="N61" s="67" t="s">
        <v>84</v>
      </c>
      <c r="O61" s="66">
        <v>4865</v>
      </c>
      <c r="P61" s="67" t="s">
        <v>613</v>
      </c>
      <c r="Q61" s="66">
        <v>4930</v>
      </c>
      <c r="R61" s="67" t="s">
        <v>88</v>
      </c>
      <c r="S61" s="68">
        <v>4965.42</v>
      </c>
      <c r="T61" s="65">
        <v>818</v>
      </c>
      <c r="U61" s="65" t="s">
        <v>955</v>
      </c>
      <c r="V61" s="65">
        <v>4071340</v>
      </c>
      <c r="W61" s="65" t="s">
        <v>955</v>
      </c>
      <c r="X61" s="69">
        <v>12</v>
      </c>
    </row>
    <row r="62" spans="1:24">
      <c r="A62" s="60" t="s">
        <v>946</v>
      </c>
      <c r="B62" s="60" t="s">
        <v>225</v>
      </c>
      <c r="C62" s="60" t="s">
        <v>226</v>
      </c>
      <c r="D62" s="60" t="s">
        <v>227</v>
      </c>
      <c r="E62" s="61" t="s">
        <v>46</v>
      </c>
      <c r="F62" s="62" t="s">
        <v>46</v>
      </c>
      <c r="G62" s="63" t="s">
        <v>46</v>
      </c>
      <c r="H62" s="64"/>
      <c r="I62" s="64" t="s">
        <v>47</v>
      </c>
      <c r="J62" s="65">
        <v>1</v>
      </c>
      <c r="K62" s="66">
        <v>1975</v>
      </c>
      <c r="L62" s="67" t="s">
        <v>853</v>
      </c>
      <c r="M62" s="66">
        <v>2114</v>
      </c>
      <c r="N62" s="67" t="s">
        <v>84</v>
      </c>
      <c r="O62" s="66">
        <v>1867</v>
      </c>
      <c r="P62" s="67" t="s">
        <v>371</v>
      </c>
      <c r="Q62" s="66">
        <v>1954</v>
      </c>
      <c r="R62" s="67" t="s">
        <v>50</v>
      </c>
      <c r="S62" s="68">
        <v>1972.62</v>
      </c>
      <c r="T62" s="65">
        <v>52151</v>
      </c>
      <c r="U62" s="65" t="s">
        <v>955</v>
      </c>
      <c r="V62" s="65">
        <v>103595585</v>
      </c>
      <c r="W62" s="65" t="s">
        <v>955</v>
      </c>
      <c r="X62" s="69">
        <v>21</v>
      </c>
    </row>
    <row r="63" spans="1:24">
      <c r="A63" s="60" t="s">
        <v>946</v>
      </c>
      <c r="B63" s="60" t="s">
        <v>228</v>
      </c>
      <c r="C63" s="60" t="s">
        <v>229</v>
      </c>
      <c r="D63" s="60" t="s">
        <v>230</v>
      </c>
      <c r="E63" s="61" t="s">
        <v>46</v>
      </c>
      <c r="F63" s="62" t="s">
        <v>46</v>
      </c>
      <c r="G63" s="63" t="s">
        <v>46</v>
      </c>
      <c r="H63" s="64"/>
      <c r="I63" s="64" t="s">
        <v>47</v>
      </c>
      <c r="J63" s="65">
        <v>10</v>
      </c>
      <c r="K63" s="66">
        <v>15290</v>
      </c>
      <c r="L63" s="67" t="s">
        <v>853</v>
      </c>
      <c r="M63" s="66">
        <v>15400</v>
      </c>
      <c r="N63" s="67" t="s">
        <v>77</v>
      </c>
      <c r="O63" s="66">
        <v>13810</v>
      </c>
      <c r="P63" s="67" t="s">
        <v>84</v>
      </c>
      <c r="Q63" s="66">
        <v>14760</v>
      </c>
      <c r="R63" s="67" t="s">
        <v>50</v>
      </c>
      <c r="S63" s="68">
        <v>14683.53</v>
      </c>
      <c r="T63" s="65">
        <v>8930</v>
      </c>
      <c r="U63" s="65">
        <v>10</v>
      </c>
      <c r="V63" s="65">
        <v>131777600</v>
      </c>
      <c r="W63" s="65">
        <v>145800</v>
      </c>
      <c r="X63" s="69">
        <v>17</v>
      </c>
    </row>
    <row r="64" spans="1:24">
      <c r="A64" s="60" t="s">
        <v>946</v>
      </c>
      <c r="B64" s="60" t="s">
        <v>231</v>
      </c>
      <c r="C64" s="60" t="s">
        <v>232</v>
      </c>
      <c r="D64" s="60" t="s">
        <v>233</v>
      </c>
      <c r="E64" s="61" t="s">
        <v>46</v>
      </c>
      <c r="F64" s="62" t="s">
        <v>46</v>
      </c>
      <c r="G64" s="63" t="s">
        <v>46</v>
      </c>
      <c r="H64" s="64"/>
      <c r="I64" s="64" t="s">
        <v>47</v>
      </c>
      <c r="J64" s="65">
        <v>10</v>
      </c>
      <c r="K64" s="66">
        <v>4760</v>
      </c>
      <c r="L64" s="67" t="s">
        <v>853</v>
      </c>
      <c r="M64" s="66">
        <v>4900</v>
      </c>
      <c r="N64" s="67" t="s">
        <v>84</v>
      </c>
      <c r="O64" s="66">
        <v>4675</v>
      </c>
      <c r="P64" s="67" t="s">
        <v>100</v>
      </c>
      <c r="Q64" s="66">
        <v>4720</v>
      </c>
      <c r="R64" s="67" t="s">
        <v>73</v>
      </c>
      <c r="S64" s="68">
        <v>4784.4399999999996</v>
      </c>
      <c r="T64" s="65">
        <v>380</v>
      </c>
      <c r="U64" s="65" t="s">
        <v>955</v>
      </c>
      <c r="V64" s="65">
        <v>1833750</v>
      </c>
      <c r="W64" s="65" t="s">
        <v>955</v>
      </c>
      <c r="X64" s="69">
        <v>9</v>
      </c>
    </row>
    <row r="65" spans="1:24">
      <c r="A65" s="60" t="s">
        <v>946</v>
      </c>
      <c r="B65" s="60" t="s">
        <v>234</v>
      </c>
      <c r="C65" s="60" t="s">
        <v>235</v>
      </c>
      <c r="D65" s="60" t="s">
        <v>236</v>
      </c>
      <c r="E65" s="61" t="s">
        <v>46</v>
      </c>
      <c r="F65" s="62" t="s">
        <v>46</v>
      </c>
      <c r="G65" s="63" t="s">
        <v>46</v>
      </c>
      <c r="H65" s="64"/>
      <c r="I65" s="64" t="s">
        <v>47</v>
      </c>
      <c r="J65" s="65">
        <v>10</v>
      </c>
      <c r="K65" s="66">
        <v>1929</v>
      </c>
      <c r="L65" s="67" t="s">
        <v>853</v>
      </c>
      <c r="M65" s="66">
        <v>2095</v>
      </c>
      <c r="N65" s="67" t="s">
        <v>77</v>
      </c>
      <c r="O65" s="66">
        <v>1854</v>
      </c>
      <c r="P65" s="67" t="s">
        <v>371</v>
      </c>
      <c r="Q65" s="66">
        <v>1939</v>
      </c>
      <c r="R65" s="67" t="s">
        <v>50</v>
      </c>
      <c r="S65" s="68">
        <v>1951.95</v>
      </c>
      <c r="T65" s="65">
        <v>84910</v>
      </c>
      <c r="U65" s="65" t="s">
        <v>955</v>
      </c>
      <c r="V65" s="65">
        <v>167334330</v>
      </c>
      <c r="W65" s="65" t="s">
        <v>955</v>
      </c>
      <c r="X65" s="69">
        <v>21</v>
      </c>
    </row>
    <row r="66" spans="1:24">
      <c r="A66" s="60" t="s">
        <v>946</v>
      </c>
      <c r="B66" s="60" t="s">
        <v>241</v>
      </c>
      <c r="C66" s="60" t="s">
        <v>242</v>
      </c>
      <c r="D66" s="60" t="s">
        <v>243</v>
      </c>
      <c r="E66" s="61" t="s">
        <v>46</v>
      </c>
      <c r="F66" s="62" t="s">
        <v>46</v>
      </c>
      <c r="G66" s="63" t="s">
        <v>46</v>
      </c>
      <c r="H66" s="64"/>
      <c r="I66" s="64" t="s">
        <v>47</v>
      </c>
      <c r="J66" s="65">
        <v>1</v>
      </c>
      <c r="K66" s="66">
        <v>3220</v>
      </c>
      <c r="L66" s="67" t="s">
        <v>853</v>
      </c>
      <c r="M66" s="66">
        <v>3330</v>
      </c>
      <c r="N66" s="67" t="s">
        <v>172</v>
      </c>
      <c r="O66" s="66">
        <v>3150</v>
      </c>
      <c r="P66" s="67" t="s">
        <v>371</v>
      </c>
      <c r="Q66" s="66">
        <v>3230</v>
      </c>
      <c r="R66" s="67" t="s">
        <v>50</v>
      </c>
      <c r="S66" s="68">
        <v>3223.33</v>
      </c>
      <c r="T66" s="65">
        <v>2135</v>
      </c>
      <c r="U66" s="65" t="s">
        <v>955</v>
      </c>
      <c r="V66" s="65">
        <v>6932815</v>
      </c>
      <c r="W66" s="65" t="s">
        <v>955</v>
      </c>
      <c r="X66" s="69">
        <v>15</v>
      </c>
    </row>
    <row r="67" spans="1:24">
      <c r="A67" s="60" t="s">
        <v>946</v>
      </c>
      <c r="B67" s="60" t="s">
        <v>244</v>
      </c>
      <c r="C67" s="60" t="s">
        <v>245</v>
      </c>
      <c r="D67" s="60" t="s">
        <v>246</v>
      </c>
      <c r="E67" s="61" t="s">
        <v>46</v>
      </c>
      <c r="F67" s="62" t="s">
        <v>46</v>
      </c>
      <c r="G67" s="63" t="s">
        <v>46</v>
      </c>
      <c r="H67" s="64"/>
      <c r="I67" s="64" t="s">
        <v>47</v>
      </c>
      <c r="J67" s="65">
        <v>1</v>
      </c>
      <c r="K67" s="66">
        <v>776</v>
      </c>
      <c r="L67" s="67" t="s">
        <v>853</v>
      </c>
      <c r="M67" s="66">
        <v>842</v>
      </c>
      <c r="N67" s="67" t="s">
        <v>84</v>
      </c>
      <c r="O67" s="66">
        <v>735</v>
      </c>
      <c r="P67" s="67" t="s">
        <v>100</v>
      </c>
      <c r="Q67" s="66">
        <v>781</v>
      </c>
      <c r="R67" s="67" t="s">
        <v>50</v>
      </c>
      <c r="S67" s="68">
        <v>787.62</v>
      </c>
      <c r="T67" s="65">
        <v>47832</v>
      </c>
      <c r="U67" s="65" t="s">
        <v>955</v>
      </c>
      <c r="V67" s="65">
        <v>37947989</v>
      </c>
      <c r="W67" s="65" t="s">
        <v>955</v>
      </c>
      <c r="X67" s="69">
        <v>21</v>
      </c>
    </row>
    <row r="68" spans="1:24">
      <c r="A68" s="60" t="s">
        <v>946</v>
      </c>
      <c r="B68" s="60" t="s">
        <v>247</v>
      </c>
      <c r="C68" s="60" t="s">
        <v>248</v>
      </c>
      <c r="D68" s="60" t="s">
        <v>249</v>
      </c>
      <c r="E68" s="61" t="s">
        <v>46</v>
      </c>
      <c r="F68" s="62" t="s">
        <v>46</v>
      </c>
      <c r="G68" s="63" t="s">
        <v>46</v>
      </c>
      <c r="H68" s="64"/>
      <c r="I68" s="64" t="s">
        <v>47</v>
      </c>
      <c r="J68" s="65">
        <v>10</v>
      </c>
      <c r="K68" s="66">
        <v>2053</v>
      </c>
      <c r="L68" s="67" t="s">
        <v>853</v>
      </c>
      <c r="M68" s="66">
        <v>2080</v>
      </c>
      <c r="N68" s="67" t="s">
        <v>371</v>
      </c>
      <c r="O68" s="66">
        <v>1968</v>
      </c>
      <c r="P68" s="67" t="s">
        <v>77</v>
      </c>
      <c r="Q68" s="66">
        <v>2039</v>
      </c>
      <c r="R68" s="67" t="s">
        <v>50</v>
      </c>
      <c r="S68" s="68">
        <v>2032.1</v>
      </c>
      <c r="T68" s="65">
        <v>39903750</v>
      </c>
      <c r="U68" s="65">
        <v>39338460</v>
      </c>
      <c r="V68" s="65">
        <v>81291531640</v>
      </c>
      <c r="W68" s="65">
        <v>80149471670</v>
      </c>
      <c r="X68" s="69">
        <v>21</v>
      </c>
    </row>
    <row r="69" spans="1:24">
      <c r="A69" s="60" t="s">
        <v>946</v>
      </c>
      <c r="B69" s="60" t="s">
        <v>250</v>
      </c>
      <c r="C69" s="60" t="s">
        <v>251</v>
      </c>
      <c r="D69" s="60" t="s">
        <v>252</v>
      </c>
      <c r="E69" s="61" t="s">
        <v>46</v>
      </c>
      <c r="F69" s="62" t="s">
        <v>46</v>
      </c>
      <c r="G69" s="63" t="s">
        <v>46</v>
      </c>
      <c r="H69" s="64"/>
      <c r="I69" s="64" t="s">
        <v>47</v>
      </c>
      <c r="J69" s="65">
        <v>1</v>
      </c>
      <c r="K69" s="66">
        <v>18420</v>
      </c>
      <c r="L69" s="67" t="s">
        <v>853</v>
      </c>
      <c r="M69" s="66">
        <v>18580</v>
      </c>
      <c r="N69" s="67" t="s">
        <v>613</v>
      </c>
      <c r="O69" s="66">
        <v>17650</v>
      </c>
      <c r="P69" s="67" t="s">
        <v>77</v>
      </c>
      <c r="Q69" s="66">
        <v>18280</v>
      </c>
      <c r="R69" s="67" t="s">
        <v>50</v>
      </c>
      <c r="S69" s="68">
        <v>18223.330000000002</v>
      </c>
      <c r="T69" s="65">
        <v>60534</v>
      </c>
      <c r="U69" s="65">
        <v>10000</v>
      </c>
      <c r="V69" s="65">
        <v>1107391980</v>
      </c>
      <c r="W69" s="65">
        <v>180040000</v>
      </c>
      <c r="X69" s="69">
        <v>21</v>
      </c>
    </row>
    <row r="70" spans="1:24">
      <c r="A70" s="60" t="s">
        <v>946</v>
      </c>
      <c r="B70" s="60" t="s">
        <v>253</v>
      </c>
      <c r="C70" s="60" t="s">
        <v>254</v>
      </c>
      <c r="D70" s="60" t="s">
        <v>255</v>
      </c>
      <c r="E70" s="61" t="s">
        <v>46</v>
      </c>
      <c r="F70" s="62" t="s">
        <v>46</v>
      </c>
      <c r="G70" s="63" t="s">
        <v>46</v>
      </c>
      <c r="H70" s="64"/>
      <c r="I70" s="64" t="s">
        <v>47</v>
      </c>
      <c r="J70" s="65">
        <v>1</v>
      </c>
      <c r="K70" s="66">
        <v>2064</v>
      </c>
      <c r="L70" s="67" t="s">
        <v>853</v>
      </c>
      <c r="M70" s="66">
        <v>2095</v>
      </c>
      <c r="N70" s="67" t="s">
        <v>371</v>
      </c>
      <c r="O70" s="66">
        <v>1977</v>
      </c>
      <c r="P70" s="67" t="s">
        <v>77</v>
      </c>
      <c r="Q70" s="66">
        <v>2052</v>
      </c>
      <c r="R70" s="67" t="s">
        <v>50</v>
      </c>
      <c r="S70" s="68">
        <v>2043.19</v>
      </c>
      <c r="T70" s="65">
        <v>20661485</v>
      </c>
      <c r="U70" s="65">
        <v>15955436</v>
      </c>
      <c r="V70" s="65">
        <v>41878422632</v>
      </c>
      <c r="W70" s="65">
        <v>32295126475</v>
      </c>
      <c r="X70" s="69">
        <v>21</v>
      </c>
    </row>
    <row r="71" spans="1:24">
      <c r="A71" s="60" t="s">
        <v>946</v>
      </c>
      <c r="B71" s="60" t="s">
        <v>256</v>
      </c>
      <c r="C71" s="60" t="s">
        <v>257</v>
      </c>
      <c r="D71" s="60" t="s">
        <v>258</v>
      </c>
      <c r="E71" s="61" t="s">
        <v>46</v>
      </c>
      <c r="F71" s="62" t="s">
        <v>46</v>
      </c>
      <c r="G71" s="63" t="s">
        <v>46</v>
      </c>
      <c r="H71" s="64"/>
      <c r="I71" s="64" t="s">
        <v>47</v>
      </c>
      <c r="J71" s="65">
        <v>1</v>
      </c>
      <c r="K71" s="66">
        <v>2152</v>
      </c>
      <c r="L71" s="67" t="s">
        <v>853</v>
      </c>
      <c r="M71" s="66">
        <v>2182</v>
      </c>
      <c r="N71" s="67" t="s">
        <v>613</v>
      </c>
      <c r="O71" s="66">
        <v>2050</v>
      </c>
      <c r="P71" s="67" t="s">
        <v>84</v>
      </c>
      <c r="Q71" s="66">
        <v>2164</v>
      </c>
      <c r="R71" s="67" t="s">
        <v>50</v>
      </c>
      <c r="S71" s="68">
        <v>2136.29</v>
      </c>
      <c r="T71" s="65">
        <v>3119849</v>
      </c>
      <c r="U71" s="65">
        <v>476641</v>
      </c>
      <c r="V71" s="65">
        <v>6616722104</v>
      </c>
      <c r="W71" s="65">
        <v>1000576663</v>
      </c>
      <c r="X71" s="69">
        <v>21</v>
      </c>
    </row>
    <row r="72" spans="1:24">
      <c r="A72" s="60" t="s">
        <v>946</v>
      </c>
      <c r="B72" s="60" t="s">
        <v>259</v>
      </c>
      <c r="C72" s="60" t="s">
        <v>260</v>
      </c>
      <c r="D72" s="60" t="s">
        <v>261</v>
      </c>
      <c r="E72" s="61" t="s">
        <v>46</v>
      </c>
      <c r="F72" s="62" t="s">
        <v>46</v>
      </c>
      <c r="G72" s="63" t="s">
        <v>46</v>
      </c>
      <c r="H72" s="64"/>
      <c r="I72" s="64" t="s">
        <v>47</v>
      </c>
      <c r="J72" s="65">
        <v>1</v>
      </c>
      <c r="K72" s="66">
        <v>1938</v>
      </c>
      <c r="L72" s="67" t="s">
        <v>853</v>
      </c>
      <c r="M72" s="66">
        <v>1972</v>
      </c>
      <c r="N72" s="67" t="s">
        <v>48</v>
      </c>
      <c r="O72" s="66">
        <v>1868</v>
      </c>
      <c r="P72" s="67" t="s">
        <v>77</v>
      </c>
      <c r="Q72" s="66">
        <v>1900</v>
      </c>
      <c r="R72" s="67" t="s">
        <v>50</v>
      </c>
      <c r="S72" s="68">
        <v>1904.9</v>
      </c>
      <c r="T72" s="65">
        <v>43887</v>
      </c>
      <c r="U72" s="65">
        <v>37487</v>
      </c>
      <c r="V72" s="65">
        <v>83424808</v>
      </c>
      <c r="W72" s="65">
        <v>71267668</v>
      </c>
      <c r="X72" s="69">
        <v>21</v>
      </c>
    </row>
    <row r="73" spans="1:24">
      <c r="A73" s="60" t="s">
        <v>946</v>
      </c>
      <c r="B73" s="60" t="s">
        <v>262</v>
      </c>
      <c r="C73" s="60" t="s">
        <v>263</v>
      </c>
      <c r="D73" s="60" t="s">
        <v>264</v>
      </c>
      <c r="E73" s="61" t="s">
        <v>46</v>
      </c>
      <c r="F73" s="62" t="s">
        <v>46</v>
      </c>
      <c r="G73" s="63" t="s">
        <v>46</v>
      </c>
      <c r="H73" s="64"/>
      <c r="I73" s="64" t="s">
        <v>47</v>
      </c>
      <c r="J73" s="65">
        <v>1</v>
      </c>
      <c r="K73" s="66">
        <v>2207</v>
      </c>
      <c r="L73" s="67" t="s">
        <v>853</v>
      </c>
      <c r="M73" s="66">
        <v>2253</v>
      </c>
      <c r="N73" s="67" t="s">
        <v>100</v>
      </c>
      <c r="O73" s="66">
        <v>2161</v>
      </c>
      <c r="P73" s="67" t="s">
        <v>77</v>
      </c>
      <c r="Q73" s="66">
        <v>2211</v>
      </c>
      <c r="R73" s="67" t="s">
        <v>50</v>
      </c>
      <c r="S73" s="68">
        <v>2210.2399999999998</v>
      </c>
      <c r="T73" s="65">
        <v>130294</v>
      </c>
      <c r="U73" s="65">
        <v>45744</v>
      </c>
      <c r="V73" s="65">
        <v>286389543</v>
      </c>
      <c r="W73" s="65">
        <v>99912134</v>
      </c>
      <c r="X73" s="69">
        <v>21</v>
      </c>
    </row>
    <row r="74" spans="1:24">
      <c r="A74" s="60" t="s">
        <v>946</v>
      </c>
      <c r="B74" s="60" t="s">
        <v>265</v>
      </c>
      <c r="C74" s="60" t="s">
        <v>266</v>
      </c>
      <c r="D74" s="60" t="s">
        <v>267</v>
      </c>
      <c r="E74" s="61" t="s">
        <v>46</v>
      </c>
      <c r="F74" s="62" t="s">
        <v>46</v>
      </c>
      <c r="G74" s="63" t="s">
        <v>46</v>
      </c>
      <c r="H74" s="64"/>
      <c r="I74" s="64" t="s">
        <v>47</v>
      </c>
      <c r="J74" s="65">
        <v>1</v>
      </c>
      <c r="K74" s="66">
        <v>24920</v>
      </c>
      <c r="L74" s="67" t="s">
        <v>853</v>
      </c>
      <c r="M74" s="66">
        <v>25420</v>
      </c>
      <c r="N74" s="67" t="s">
        <v>371</v>
      </c>
      <c r="O74" s="66">
        <v>23790</v>
      </c>
      <c r="P74" s="67" t="s">
        <v>84</v>
      </c>
      <c r="Q74" s="66">
        <v>24960</v>
      </c>
      <c r="R74" s="67" t="s">
        <v>50</v>
      </c>
      <c r="S74" s="68">
        <v>24774.71</v>
      </c>
      <c r="T74" s="65">
        <v>56</v>
      </c>
      <c r="U74" s="65" t="s">
        <v>955</v>
      </c>
      <c r="V74" s="65">
        <v>1390590</v>
      </c>
      <c r="W74" s="65" t="s">
        <v>955</v>
      </c>
      <c r="X74" s="69">
        <v>17</v>
      </c>
    </row>
    <row r="75" spans="1:24">
      <c r="A75" s="60" t="s">
        <v>946</v>
      </c>
      <c r="B75" s="60" t="s">
        <v>269</v>
      </c>
      <c r="C75" s="60" t="s">
        <v>270</v>
      </c>
      <c r="D75" s="60" t="s">
        <v>271</v>
      </c>
      <c r="E75" s="61" t="s">
        <v>46</v>
      </c>
      <c r="F75" s="62" t="s">
        <v>46</v>
      </c>
      <c r="G75" s="63" t="s">
        <v>46</v>
      </c>
      <c r="H75" s="64"/>
      <c r="I75" s="64" t="s">
        <v>47</v>
      </c>
      <c r="J75" s="65">
        <v>1</v>
      </c>
      <c r="K75" s="66">
        <v>20290</v>
      </c>
      <c r="L75" s="67" t="s">
        <v>48</v>
      </c>
      <c r="M75" s="66">
        <v>20580</v>
      </c>
      <c r="N75" s="67" t="s">
        <v>100</v>
      </c>
      <c r="O75" s="66">
        <v>19600</v>
      </c>
      <c r="P75" s="67" t="s">
        <v>84</v>
      </c>
      <c r="Q75" s="66">
        <v>20000</v>
      </c>
      <c r="R75" s="67" t="s">
        <v>50</v>
      </c>
      <c r="S75" s="68">
        <v>20035</v>
      </c>
      <c r="T75" s="65">
        <v>854</v>
      </c>
      <c r="U75" s="65" t="s">
        <v>955</v>
      </c>
      <c r="V75" s="65">
        <v>17181730</v>
      </c>
      <c r="W75" s="65" t="s">
        <v>955</v>
      </c>
      <c r="X75" s="69">
        <v>12</v>
      </c>
    </row>
    <row r="76" spans="1:24">
      <c r="A76" s="60" t="s">
        <v>946</v>
      </c>
      <c r="B76" s="60" t="s">
        <v>272</v>
      </c>
      <c r="C76" s="60" t="s">
        <v>273</v>
      </c>
      <c r="D76" s="60" t="s">
        <v>274</v>
      </c>
      <c r="E76" s="61" t="s">
        <v>46</v>
      </c>
      <c r="F76" s="62" t="s">
        <v>46</v>
      </c>
      <c r="G76" s="63" t="s">
        <v>46</v>
      </c>
      <c r="H76" s="64"/>
      <c r="I76" s="64" t="s">
        <v>47</v>
      </c>
      <c r="J76" s="65">
        <v>1</v>
      </c>
      <c r="K76" s="66">
        <v>2017</v>
      </c>
      <c r="L76" s="67" t="s">
        <v>853</v>
      </c>
      <c r="M76" s="66">
        <v>2033</v>
      </c>
      <c r="N76" s="67" t="s">
        <v>240</v>
      </c>
      <c r="O76" s="66">
        <v>1935</v>
      </c>
      <c r="P76" s="67" t="s">
        <v>84</v>
      </c>
      <c r="Q76" s="66">
        <v>1981</v>
      </c>
      <c r="R76" s="67" t="s">
        <v>50</v>
      </c>
      <c r="S76" s="68">
        <v>1990.47</v>
      </c>
      <c r="T76" s="65">
        <v>2016</v>
      </c>
      <c r="U76" s="65" t="s">
        <v>955</v>
      </c>
      <c r="V76" s="65">
        <v>3991482</v>
      </c>
      <c r="W76" s="65" t="s">
        <v>955</v>
      </c>
      <c r="X76" s="69">
        <v>19</v>
      </c>
    </row>
    <row r="77" spans="1:24">
      <c r="A77" s="60" t="s">
        <v>946</v>
      </c>
      <c r="B77" s="60" t="s">
        <v>275</v>
      </c>
      <c r="C77" s="60" t="s">
        <v>276</v>
      </c>
      <c r="D77" s="60" t="s">
        <v>277</v>
      </c>
      <c r="E77" s="61" t="s">
        <v>46</v>
      </c>
      <c r="F77" s="62" t="s">
        <v>46</v>
      </c>
      <c r="G77" s="63" t="s">
        <v>46</v>
      </c>
      <c r="H77" s="64"/>
      <c r="I77" s="64" t="s">
        <v>47</v>
      </c>
      <c r="J77" s="65">
        <v>1</v>
      </c>
      <c r="K77" s="66">
        <v>2350</v>
      </c>
      <c r="L77" s="67" t="s">
        <v>853</v>
      </c>
      <c r="M77" s="66">
        <v>2361</v>
      </c>
      <c r="N77" s="67" t="s">
        <v>48</v>
      </c>
      <c r="O77" s="66">
        <v>2306</v>
      </c>
      <c r="P77" s="67" t="s">
        <v>132</v>
      </c>
      <c r="Q77" s="66">
        <v>2323</v>
      </c>
      <c r="R77" s="67" t="s">
        <v>50</v>
      </c>
      <c r="S77" s="68">
        <v>2328.9499999999998</v>
      </c>
      <c r="T77" s="65">
        <v>4876033</v>
      </c>
      <c r="U77" s="65">
        <v>1400000</v>
      </c>
      <c r="V77" s="65">
        <v>11355042286</v>
      </c>
      <c r="W77" s="65">
        <v>3249604112</v>
      </c>
      <c r="X77" s="69">
        <v>21</v>
      </c>
    </row>
    <row r="78" spans="1:24">
      <c r="A78" s="60" t="s">
        <v>946</v>
      </c>
      <c r="B78" s="60" t="s">
        <v>278</v>
      </c>
      <c r="C78" s="60" t="s">
        <v>279</v>
      </c>
      <c r="D78" s="60" t="s">
        <v>280</v>
      </c>
      <c r="E78" s="61" t="s">
        <v>46</v>
      </c>
      <c r="F78" s="62" t="s">
        <v>46</v>
      </c>
      <c r="G78" s="63" t="s">
        <v>46</v>
      </c>
      <c r="H78" s="64"/>
      <c r="I78" s="64" t="s">
        <v>47</v>
      </c>
      <c r="J78" s="65">
        <v>1</v>
      </c>
      <c r="K78" s="66">
        <v>2013</v>
      </c>
      <c r="L78" s="67" t="s">
        <v>853</v>
      </c>
      <c r="M78" s="66">
        <v>2300</v>
      </c>
      <c r="N78" s="67" t="s">
        <v>100</v>
      </c>
      <c r="O78" s="66">
        <v>1925</v>
      </c>
      <c r="P78" s="67" t="s">
        <v>77</v>
      </c>
      <c r="Q78" s="66">
        <v>2000</v>
      </c>
      <c r="R78" s="67" t="s">
        <v>50</v>
      </c>
      <c r="S78" s="68">
        <v>1994.5</v>
      </c>
      <c r="T78" s="65">
        <v>1887</v>
      </c>
      <c r="U78" s="65" t="s">
        <v>955</v>
      </c>
      <c r="V78" s="65">
        <v>3840945</v>
      </c>
      <c r="W78" s="65" t="s">
        <v>955</v>
      </c>
      <c r="X78" s="69">
        <v>20</v>
      </c>
    </row>
    <row r="79" spans="1:24">
      <c r="A79" s="60" t="s">
        <v>946</v>
      </c>
      <c r="B79" s="60" t="s">
        <v>281</v>
      </c>
      <c r="C79" s="60" t="s">
        <v>282</v>
      </c>
      <c r="D79" s="60" t="s">
        <v>283</v>
      </c>
      <c r="E79" s="61" t="s">
        <v>46</v>
      </c>
      <c r="F79" s="62" t="s">
        <v>46</v>
      </c>
      <c r="G79" s="63" t="s">
        <v>46</v>
      </c>
      <c r="H79" s="64"/>
      <c r="I79" s="64" t="s">
        <v>47</v>
      </c>
      <c r="J79" s="65">
        <v>10</v>
      </c>
      <c r="K79" s="66">
        <v>1987</v>
      </c>
      <c r="L79" s="67" t="s">
        <v>853</v>
      </c>
      <c r="M79" s="66">
        <v>2012</v>
      </c>
      <c r="N79" s="67" t="s">
        <v>371</v>
      </c>
      <c r="O79" s="66">
        <v>1904</v>
      </c>
      <c r="P79" s="67" t="s">
        <v>77</v>
      </c>
      <c r="Q79" s="66">
        <v>1972</v>
      </c>
      <c r="R79" s="67" t="s">
        <v>50</v>
      </c>
      <c r="S79" s="68">
        <v>1964.67</v>
      </c>
      <c r="T79" s="65">
        <v>78810</v>
      </c>
      <c r="U79" s="65" t="s">
        <v>955</v>
      </c>
      <c r="V79" s="65">
        <v>156245970</v>
      </c>
      <c r="W79" s="65" t="s">
        <v>955</v>
      </c>
      <c r="X79" s="69">
        <v>21</v>
      </c>
    </row>
    <row r="80" spans="1:24">
      <c r="A80" s="60" t="s">
        <v>946</v>
      </c>
      <c r="B80" s="60" t="s">
        <v>284</v>
      </c>
      <c r="C80" s="60" t="s">
        <v>285</v>
      </c>
      <c r="D80" s="60" t="s">
        <v>286</v>
      </c>
      <c r="E80" s="61" t="s">
        <v>46</v>
      </c>
      <c r="F80" s="62" t="s">
        <v>46</v>
      </c>
      <c r="G80" s="63" t="s">
        <v>46</v>
      </c>
      <c r="H80" s="64"/>
      <c r="I80" s="64" t="s">
        <v>47</v>
      </c>
      <c r="J80" s="65">
        <v>1</v>
      </c>
      <c r="K80" s="66">
        <v>29600</v>
      </c>
      <c r="L80" s="67" t="s">
        <v>853</v>
      </c>
      <c r="M80" s="66">
        <v>31450</v>
      </c>
      <c r="N80" s="67" t="s">
        <v>84</v>
      </c>
      <c r="O80" s="66">
        <v>29600</v>
      </c>
      <c r="P80" s="67" t="s">
        <v>853</v>
      </c>
      <c r="Q80" s="66">
        <v>31450</v>
      </c>
      <c r="R80" s="67" t="s">
        <v>84</v>
      </c>
      <c r="S80" s="68">
        <v>30366.67</v>
      </c>
      <c r="T80" s="65">
        <v>7</v>
      </c>
      <c r="U80" s="65" t="s">
        <v>955</v>
      </c>
      <c r="V80" s="65">
        <v>215050</v>
      </c>
      <c r="W80" s="65" t="s">
        <v>955</v>
      </c>
      <c r="X80" s="69">
        <v>3</v>
      </c>
    </row>
    <row r="81" spans="1:24">
      <c r="A81" s="60" t="s">
        <v>946</v>
      </c>
      <c r="B81" s="60" t="s">
        <v>287</v>
      </c>
      <c r="C81" s="60" t="s">
        <v>288</v>
      </c>
      <c r="D81" s="60" t="s">
        <v>289</v>
      </c>
      <c r="E81" s="61" t="s">
        <v>46</v>
      </c>
      <c r="F81" s="62" t="s">
        <v>46</v>
      </c>
      <c r="G81" s="63" t="s">
        <v>46</v>
      </c>
      <c r="H81" s="64"/>
      <c r="I81" s="64" t="s">
        <v>47</v>
      </c>
      <c r="J81" s="65">
        <v>1</v>
      </c>
      <c r="K81" s="66">
        <v>21580</v>
      </c>
      <c r="L81" s="67" t="s">
        <v>853</v>
      </c>
      <c r="M81" s="66">
        <v>22050</v>
      </c>
      <c r="N81" s="67" t="s">
        <v>69</v>
      </c>
      <c r="O81" s="66">
        <v>21480</v>
      </c>
      <c r="P81" s="67" t="s">
        <v>96</v>
      </c>
      <c r="Q81" s="66">
        <v>21850</v>
      </c>
      <c r="R81" s="67" t="s">
        <v>50</v>
      </c>
      <c r="S81" s="68">
        <v>21754.76</v>
      </c>
      <c r="T81" s="65">
        <v>231558</v>
      </c>
      <c r="U81" s="65">
        <v>151377</v>
      </c>
      <c r="V81" s="65">
        <v>5058829073</v>
      </c>
      <c r="W81" s="65">
        <v>3309947403</v>
      </c>
      <c r="X81" s="69">
        <v>21</v>
      </c>
    </row>
    <row r="82" spans="1:24">
      <c r="A82" s="60" t="s">
        <v>946</v>
      </c>
      <c r="B82" s="60" t="s">
        <v>290</v>
      </c>
      <c r="C82" s="60" t="s">
        <v>291</v>
      </c>
      <c r="D82" s="60" t="s">
        <v>292</v>
      </c>
      <c r="E82" s="61" t="s">
        <v>46</v>
      </c>
      <c r="F82" s="62" t="s">
        <v>46</v>
      </c>
      <c r="G82" s="63" t="s">
        <v>46</v>
      </c>
      <c r="H82" s="64"/>
      <c r="I82" s="64" t="s">
        <v>47</v>
      </c>
      <c r="J82" s="65">
        <v>1</v>
      </c>
      <c r="K82" s="66">
        <v>18270</v>
      </c>
      <c r="L82" s="67" t="s">
        <v>853</v>
      </c>
      <c r="M82" s="66">
        <v>18360</v>
      </c>
      <c r="N82" s="67" t="s">
        <v>48</v>
      </c>
      <c r="O82" s="66">
        <v>18000</v>
      </c>
      <c r="P82" s="67" t="s">
        <v>132</v>
      </c>
      <c r="Q82" s="66">
        <v>18130</v>
      </c>
      <c r="R82" s="67" t="s">
        <v>50</v>
      </c>
      <c r="S82" s="68">
        <v>18160.95</v>
      </c>
      <c r="T82" s="65">
        <v>179570</v>
      </c>
      <c r="U82" s="65">
        <v>57682</v>
      </c>
      <c r="V82" s="65">
        <v>3251508914</v>
      </c>
      <c r="W82" s="65">
        <v>1043807494</v>
      </c>
      <c r="X82" s="69">
        <v>21</v>
      </c>
    </row>
    <row r="83" spans="1:24">
      <c r="A83" s="60" t="s">
        <v>946</v>
      </c>
      <c r="B83" s="60" t="s">
        <v>293</v>
      </c>
      <c r="C83" s="60" t="s">
        <v>294</v>
      </c>
      <c r="D83" s="60" t="s">
        <v>295</v>
      </c>
      <c r="E83" s="61" t="s">
        <v>46</v>
      </c>
      <c r="F83" s="62" t="s">
        <v>46</v>
      </c>
      <c r="G83" s="63" t="s">
        <v>46</v>
      </c>
      <c r="H83" s="64"/>
      <c r="I83" s="64" t="s">
        <v>47</v>
      </c>
      <c r="J83" s="65">
        <v>10</v>
      </c>
      <c r="K83" s="66">
        <v>2137</v>
      </c>
      <c r="L83" s="67" t="s">
        <v>853</v>
      </c>
      <c r="M83" s="66">
        <v>2170</v>
      </c>
      <c r="N83" s="67" t="s">
        <v>613</v>
      </c>
      <c r="O83" s="66">
        <v>2042</v>
      </c>
      <c r="P83" s="67" t="s">
        <v>84</v>
      </c>
      <c r="Q83" s="66">
        <v>2155</v>
      </c>
      <c r="R83" s="67" t="s">
        <v>50</v>
      </c>
      <c r="S83" s="68">
        <v>2124.5700000000002</v>
      </c>
      <c r="T83" s="65">
        <v>1264750</v>
      </c>
      <c r="U83" s="65">
        <v>275020</v>
      </c>
      <c r="V83" s="65">
        <v>2675064140</v>
      </c>
      <c r="W83" s="65">
        <v>577998080</v>
      </c>
      <c r="X83" s="69">
        <v>21</v>
      </c>
    </row>
    <row r="84" spans="1:24">
      <c r="A84" s="60" t="s">
        <v>946</v>
      </c>
      <c r="B84" s="60" t="s">
        <v>296</v>
      </c>
      <c r="C84" s="60" t="s">
        <v>297</v>
      </c>
      <c r="D84" s="60" t="s">
        <v>298</v>
      </c>
      <c r="E84" s="61" t="s">
        <v>46</v>
      </c>
      <c r="F84" s="62" t="s">
        <v>46</v>
      </c>
      <c r="G84" s="63" t="s">
        <v>46</v>
      </c>
      <c r="H84" s="64"/>
      <c r="I84" s="64" t="s">
        <v>47</v>
      </c>
      <c r="J84" s="65">
        <v>1</v>
      </c>
      <c r="K84" s="66">
        <v>37800</v>
      </c>
      <c r="L84" s="67" t="s">
        <v>853</v>
      </c>
      <c r="M84" s="66">
        <v>38700</v>
      </c>
      <c r="N84" s="67" t="s">
        <v>48</v>
      </c>
      <c r="O84" s="66">
        <v>36300</v>
      </c>
      <c r="P84" s="67" t="s">
        <v>50</v>
      </c>
      <c r="Q84" s="66">
        <v>36700</v>
      </c>
      <c r="R84" s="67" t="s">
        <v>50</v>
      </c>
      <c r="S84" s="68">
        <v>37380.949999999997</v>
      </c>
      <c r="T84" s="65">
        <v>27642</v>
      </c>
      <c r="U84" s="65">
        <v>123</v>
      </c>
      <c r="V84" s="65">
        <v>1034456000</v>
      </c>
      <c r="W84" s="65">
        <v>4577600</v>
      </c>
      <c r="X84" s="69">
        <v>21</v>
      </c>
    </row>
    <row r="85" spans="1:24">
      <c r="A85" s="60" t="s">
        <v>946</v>
      </c>
      <c r="B85" s="60" t="s">
        <v>299</v>
      </c>
      <c r="C85" s="60" t="s">
        <v>300</v>
      </c>
      <c r="D85" s="60" t="s">
        <v>301</v>
      </c>
      <c r="E85" s="61" t="s">
        <v>46</v>
      </c>
      <c r="F85" s="62" t="s">
        <v>46</v>
      </c>
      <c r="G85" s="63" t="s">
        <v>46</v>
      </c>
      <c r="H85" s="64"/>
      <c r="I85" s="64" t="s">
        <v>47</v>
      </c>
      <c r="J85" s="65">
        <v>10</v>
      </c>
      <c r="K85" s="66">
        <v>7320</v>
      </c>
      <c r="L85" s="67" t="s">
        <v>176</v>
      </c>
      <c r="M85" s="66">
        <v>7540</v>
      </c>
      <c r="N85" s="67" t="s">
        <v>88</v>
      </c>
      <c r="O85" s="66">
        <v>7320</v>
      </c>
      <c r="P85" s="67" t="s">
        <v>176</v>
      </c>
      <c r="Q85" s="66">
        <v>7540</v>
      </c>
      <c r="R85" s="67" t="s">
        <v>88</v>
      </c>
      <c r="S85" s="68">
        <v>7430</v>
      </c>
      <c r="T85" s="65">
        <v>27030</v>
      </c>
      <c r="U85" s="65">
        <v>27000</v>
      </c>
      <c r="V85" s="65">
        <v>202243000</v>
      </c>
      <c r="W85" s="65">
        <v>202021200</v>
      </c>
      <c r="X85" s="69">
        <v>2</v>
      </c>
    </row>
    <row r="86" spans="1:24">
      <c r="A86" s="60" t="s">
        <v>946</v>
      </c>
      <c r="B86" s="60" t="s">
        <v>302</v>
      </c>
      <c r="C86" s="60" t="s">
        <v>303</v>
      </c>
      <c r="D86" s="60" t="s">
        <v>304</v>
      </c>
      <c r="E86" s="61" t="s">
        <v>46</v>
      </c>
      <c r="F86" s="62" t="s">
        <v>46</v>
      </c>
      <c r="G86" s="63" t="s">
        <v>46</v>
      </c>
      <c r="H86" s="64"/>
      <c r="I86" s="64" t="s">
        <v>47</v>
      </c>
      <c r="J86" s="65">
        <v>1</v>
      </c>
      <c r="K86" s="66">
        <v>17130</v>
      </c>
      <c r="L86" s="67" t="s">
        <v>853</v>
      </c>
      <c r="M86" s="66">
        <v>17630</v>
      </c>
      <c r="N86" s="67" t="s">
        <v>371</v>
      </c>
      <c r="O86" s="66">
        <v>16420</v>
      </c>
      <c r="P86" s="67" t="s">
        <v>77</v>
      </c>
      <c r="Q86" s="66">
        <v>17260</v>
      </c>
      <c r="R86" s="67" t="s">
        <v>50</v>
      </c>
      <c r="S86" s="68">
        <v>16942.5</v>
      </c>
      <c r="T86" s="65">
        <v>1227</v>
      </c>
      <c r="U86" s="65" t="s">
        <v>955</v>
      </c>
      <c r="V86" s="65">
        <v>20785470</v>
      </c>
      <c r="W86" s="65" t="s">
        <v>955</v>
      </c>
      <c r="X86" s="69">
        <v>20</v>
      </c>
    </row>
    <row r="87" spans="1:24">
      <c r="A87" s="60" t="s">
        <v>946</v>
      </c>
      <c r="B87" s="60" t="s">
        <v>305</v>
      </c>
      <c r="C87" s="60" t="s">
        <v>306</v>
      </c>
      <c r="D87" s="60" t="s">
        <v>307</v>
      </c>
      <c r="E87" s="61" t="s">
        <v>46</v>
      </c>
      <c r="F87" s="62" t="s">
        <v>46</v>
      </c>
      <c r="G87" s="63" t="s">
        <v>46</v>
      </c>
      <c r="H87" s="64"/>
      <c r="I87" s="64" t="s">
        <v>47</v>
      </c>
      <c r="J87" s="65">
        <v>1</v>
      </c>
      <c r="K87" s="66">
        <v>16920</v>
      </c>
      <c r="L87" s="67" t="s">
        <v>853</v>
      </c>
      <c r="M87" s="66">
        <v>17080</v>
      </c>
      <c r="N87" s="67" t="s">
        <v>371</v>
      </c>
      <c r="O87" s="66">
        <v>16260</v>
      </c>
      <c r="P87" s="67" t="s">
        <v>84</v>
      </c>
      <c r="Q87" s="66">
        <v>16790</v>
      </c>
      <c r="R87" s="67" t="s">
        <v>50</v>
      </c>
      <c r="S87" s="68">
        <v>16704.759999999998</v>
      </c>
      <c r="T87" s="65">
        <v>2515</v>
      </c>
      <c r="U87" s="65" t="s">
        <v>955</v>
      </c>
      <c r="V87" s="65">
        <v>41568880</v>
      </c>
      <c r="W87" s="65" t="s">
        <v>955</v>
      </c>
      <c r="X87" s="69">
        <v>21</v>
      </c>
    </row>
    <row r="88" spans="1:24">
      <c r="A88" s="60" t="s">
        <v>946</v>
      </c>
      <c r="B88" s="60" t="s">
        <v>308</v>
      </c>
      <c r="C88" s="60" t="s">
        <v>309</v>
      </c>
      <c r="D88" s="60" t="s">
        <v>310</v>
      </c>
      <c r="E88" s="61" t="s">
        <v>46</v>
      </c>
      <c r="F88" s="62" t="s">
        <v>46</v>
      </c>
      <c r="G88" s="63" t="s">
        <v>46</v>
      </c>
      <c r="H88" s="64"/>
      <c r="I88" s="64" t="s">
        <v>47</v>
      </c>
      <c r="J88" s="65">
        <v>1</v>
      </c>
      <c r="K88" s="66">
        <v>19430</v>
      </c>
      <c r="L88" s="67" t="s">
        <v>853</v>
      </c>
      <c r="M88" s="66">
        <v>19590</v>
      </c>
      <c r="N88" s="67" t="s">
        <v>77</v>
      </c>
      <c r="O88" s="66">
        <v>18860</v>
      </c>
      <c r="P88" s="67" t="s">
        <v>50</v>
      </c>
      <c r="Q88" s="66">
        <v>19030</v>
      </c>
      <c r="R88" s="67" t="s">
        <v>50</v>
      </c>
      <c r="S88" s="68">
        <v>19268.099999999999</v>
      </c>
      <c r="T88" s="65">
        <v>11352</v>
      </c>
      <c r="U88" s="65">
        <v>36</v>
      </c>
      <c r="V88" s="65">
        <v>219269150</v>
      </c>
      <c r="W88" s="65">
        <v>645120</v>
      </c>
      <c r="X88" s="69">
        <v>21</v>
      </c>
    </row>
    <row r="89" spans="1:24">
      <c r="A89" s="60" t="s">
        <v>946</v>
      </c>
      <c r="B89" s="60" t="s">
        <v>311</v>
      </c>
      <c r="C89" s="60" t="s">
        <v>312</v>
      </c>
      <c r="D89" s="60" t="s">
        <v>313</v>
      </c>
      <c r="E89" s="61" t="s">
        <v>46</v>
      </c>
      <c r="F89" s="62" t="s">
        <v>46</v>
      </c>
      <c r="G89" s="63" t="s">
        <v>46</v>
      </c>
      <c r="H89" s="64"/>
      <c r="I89" s="64" t="s">
        <v>47</v>
      </c>
      <c r="J89" s="65">
        <v>10</v>
      </c>
      <c r="K89" s="66">
        <v>10040</v>
      </c>
      <c r="L89" s="67" t="s">
        <v>853</v>
      </c>
      <c r="M89" s="66">
        <v>10500</v>
      </c>
      <c r="N89" s="67" t="s">
        <v>50</v>
      </c>
      <c r="O89" s="66">
        <v>9990</v>
      </c>
      <c r="P89" s="67" t="s">
        <v>48</v>
      </c>
      <c r="Q89" s="66">
        <v>10500</v>
      </c>
      <c r="R89" s="67" t="s">
        <v>50</v>
      </c>
      <c r="S89" s="68">
        <v>10227.14</v>
      </c>
      <c r="T89" s="65">
        <v>8900</v>
      </c>
      <c r="U89" s="65">
        <v>10</v>
      </c>
      <c r="V89" s="65">
        <v>91357800</v>
      </c>
      <c r="W89" s="65">
        <v>100200</v>
      </c>
      <c r="X89" s="69">
        <v>21</v>
      </c>
    </row>
    <row r="90" spans="1:24">
      <c r="A90" s="60" t="s">
        <v>946</v>
      </c>
      <c r="B90" s="60" t="s">
        <v>314</v>
      </c>
      <c r="C90" s="60" t="s">
        <v>315</v>
      </c>
      <c r="D90" s="60" t="s">
        <v>316</v>
      </c>
      <c r="E90" s="61" t="s">
        <v>46</v>
      </c>
      <c r="F90" s="62" t="s">
        <v>46</v>
      </c>
      <c r="G90" s="63" t="s">
        <v>46</v>
      </c>
      <c r="H90" s="64"/>
      <c r="I90" s="64" t="s">
        <v>47</v>
      </c>
      <c r="J90" s="65">
        <v>1</v>
      </c>
      <c r="K90" s="66">
        <v>2591</v>
      </c>
      <c r="L90" s="67" t="s">
        <v>853</v>
      </c>
      <c r="M90" s="66">
        <v>2600</v>
      </c>
      <c r="N90" s="67" t="s">
        <v>48</v>
      </c>
      <c r="O90" s="66">
        <v>2539</v>
      </c>
      <c r="P90" s="67" t="s">
        <v>875</v>
      </c>
      <c r="Q90" s="66">
        <v>2571</v>
      </c>
      <c r="R90" s="67" t="s">
        <v>50</v>
      </c>
      <c r="S90" s="68">
        <v>2568.86</v>
      </c>
      <c r="T90" s="65">
        <v>334095</v>
      </c>
      <c r="U90" s="65">
        <v>248093</v>
      </c>
      <c r="V90" s="65">
        <v>856213402</v>
      </c>
      <c r="W90" s="65">
        <v>636356333</v>
      </c>
      <c r="X90" s="69">
        <v>21</v>
      </c>
    </row>
    <row r="91" spans="1:24">
      <c r="A91" s="60" t="s">
        <v>946</v>
      </c>
      <c r="B91" s="60" t="s">
        <v>317</v>
      </c>
      <c r="C91" s="60" t="s">
        <v>318</v>
      </c>
      <c r="D91" s="60" t="s">
        <v>319</v>
      </c>
      <c r="E91" s="61" t="s">
        <v>46</v>
      </c>
      <c r="F91" s="62" t="s">
        <v>46</v>
      </c>
      <c r="G91" s="63" t="s">
        <v>46</v>
      </c>
      <c r="H91" s="64"/>
      <c r="I91" s="64" t="s">
        <v>47</v>
      </c>
      <c r="J91" s="65">
        <v>1</v>
      </c>
      <c r="K91" s="66">
        <v>2380</v>
      </c>
      <c r="L91" s="67" t="s">
        <v>853</v>
      </c>
      <c r="M91" s="66">
        <v>2388</v>
      </c>
      <c r="N91" s="67" t="s">
        <v>48</v>
      </c>
      <c r="O91" s="66">
        <v>2332</v>
      </c>
      <c r="P91" s="67" t="s">
        <v>131</v>
      </c>
      <c r="Q91" s="66">
        <v>2349</v>
      </c>
      <c r="R91" s="67" t="s">
        <v>50</v>
      </c>
      <c r="S91" s="68">
        <v>2352.67</v>
      </c>
      <c r="T91" s="65">
        <v>220647</v>
      </c>
      <c r="U91" s="65">
        <v>63202</v>
      </c>
      <c r="V91" s="65">
        <v>520657506</v>
      </c>
      <c r="W91" s="65">
        <v>149787122</v>
      </c>
      <c r="X91" s="69">
        <v>21</v>
      </c>
    </row>
    <row r="92" spans="1:24">
      <c r="A92" s="60" t="s">
        <v>946</v>
      </c>
      <c r="B92" s="60" t="s">
        <v>320</v>
      </c>
      <c r="C92" s="60" t="s">
        <v>321</v>
      </c>
      <c r="D92" s="60" t="s">
        <v>322</v>
      </c>
      <c r="E92" s="61" t="s">
        <v>46</v>
      </c>
      <c r="F92" s="62" t="s">
        <v>46</v>
      </c>
      <c r="G92" s="63" t="s">
        <v>46</v>
      </c>
      <c r="H92" s="64"/>
      <c r="I92" s="64" t="s">
        <v>47</v>
      </c>
      <c r="J92" s="65">
        <v>1</v>
      </c>
      <c r="K92" s="66">
        <v>15470</v>
      </c>
      <c r="L92" s="67" t="s">
        <v>853</v>
      </c>
      <c r="M92" s="66">
        <v>16050</v>
      </c>
      <c r="N92" s="67" t="s">
        <v>371</v>
      </c>
      <c r="O92" s="66">
        <v>14840</v>
      </c>
      <c r="P92" s="67" t="s">
        <v>77</v>
      </c>
      <c r="Q92" s="66">
        <v>15520</v>
      </c>
      <c r="R92" s="67" t="s">
        <v>50</v>
      </c>
      <c r="S92" s="68">
        <v>15399.52</v>
      </c>
      <c r="T92" s="65">
        <v>27260</v>
      </c>
      <c r="U92" s="65">
        <v>9807</v>
      </c>
      <c r="V92" s="65">
        <v>420298786</v>
      </c>
      <c r="W92" s="65">
        <v>149882346</v>
      </c>
      <c r="X92" s="69">
        <v>21</v>
      </c>
    </row>
    <row r="93" spans="1:24">
      <c r="A93" s="60" t="s">
        <v>946</v>
      </c>
      <c r="B93" s="60" t="s">
        <v>323</v>
      </c>
      <c r="C93" s="60" t="s">
        <v>324</v>
      </c>
      <c r="D93" s="60" t="s">
        <v>325</v>
      </c>
      <c r="E93" s="61" t="s">
        <v>46</v>
      </c>
      <c r="F93" s="62" t="s">
        <v>46</v>
      </c>
      <c r="G93" s="63" t="s">
        <v>46</v>
      </c>
      <c r="H93" s="64"/>
      <c r="I93" s="64" t="s">
        <v>47</v>
      </c>
      <c r="J93" s="65">
        <v>1</v>
      </c>
      <c r="K93" s="66">
        <v>8300</v>
      </c>
      <c r="L93" s="67" t="s">
        <v>853</v>
      </c>
      <c r="M93" s="66">
        <v>8300</v>
      </c>
      <c r="N93" s="67" t="s">
        <v>853</v>
      </c>
      <c r="O93" s="66">
        <v>7930</v>
      </c>
      <c r="P93" s="67" t="s">
        <v>875</v>
      </c>
      <c r="Q93" s="66">
        <v>8140</v>
      </c>
      <c r="R93" s="67" t="s">
        <v>50</v>
      </c>
      <c r="S93" s="68">
        <v>8186.19</v>
      </c>
      <c r="T93" s="65">
        <v>2703</v>
      </c>
      <c r="U93" s="65">
        <v>10</v>
      </c>
      <c r="V93" s="65">
        <v>22054290</v>
      </c>
      <c r="W93" s="65">
        <v>81960</v>
      </c>
      <c r="X93" s="69">
        <v>21</v>
      </c>
    </row>
    <row r="94" spans="1:24">
      <c r="A94" s="60" t="s">
        <v>946</v>
      </c>
      <c r="B94" s="60" t="s">
        <v>326</v>
      </c>
      <c r="C94" s="60" t="s">
        <v>327</v>
      </c>
      <c r="D94" s="60" t="s">
        <v>328</v>
      </c>
      <c r="E94" s="61" t="s">
        <v>46</v>
      </c>
      <c r="F94" s="62" t="s">
        <v>46</v>
      </c>
      <c r="G94" s="63" t="s">
        <v>46</v>
      </c>
      <c r="H94" s="64"/>
      <c r="I94" s="64" t="s">
        <v>47</v>
      </c>
      <c r="J94" s="65">
        <v>1</v>
      </c>
      <c r="K94" s="66">
        <v>6000</v>
      </c>
      <c r="L94" s="67" t="s">
        <v>853</v>
      </c>
      <c r="M94" s="66">
        <v>6290</v>
      </c>
      <c r="N94" s="67" t="s">
        <v>240</v>
      </c>
      <c r="O94" s="66">
        <v>5970</v>
      </c>
      <c r="P94" s="67" t="s">
        <v>853</v>
      </c>
      <c r="Q94" s="66">
        <v>6190</v>
      </c>
      <c r="R94" s="67" t="s">
        <v>50</v>
      </c>
      <c r="S94" s="68">
        <v>6140.95</v>
      </c>
      <c r="T94" s="65">
        <v>2805592</v>
      </c>
      <c r="U94" s="65">
        <v>123395</v>
      </c>
      <c r="V94" s="65">
        <v>17309058549</v>
      </c>
      <c r="W94" s="65">
        <v>766832569</v>
      </c>
      <c r="X94" s="69">
        <v>21</v>
      </c>
    </row>
    <row r="95" spans="1:24">
      <c r="A95" s="60" t="s">
        <v>946</v>
      </c>
      <c r="B95" s="60" t="s">
        <v>329</v>
      </c>
      <c r="C95" s="60" t="s">
        <v>330</v>
      </c>
      <c r="D95" s="60" t="s">
        <v>331</v>
      </c>
      <c r="E95" s="61" t="s">
        <v>46</v>
      </c>
      <c r="F95" s="62" t="s">
        <v>46</v>
      </c>
      <c r="G95" s="63" t="s">
        <v>46</v>
      </c>
      <c r="H95" s="64"/>
      <c r="I95" s="64" t="s">
        <v>47</v>
      </c>
      <c r="J95" s="65">
        <v>1</v>
      </c>
      <c r="K95" s="66">
        <v>3225</v>
      </c>
      <c r="L95" s="67" t="s">
        <v>853</v>
      </c>
      <c r="M95" s="66">
        <v>3625</v>
      </c>
      <c r="N95" s="67" t="s">
        <v>268</v>
      </c>
      <c r="O95" s="66">
        <v>3190</v>
      </c>
      <c r="P95" s="67" t="s">
        <v>853</v>
      </c>
      <c r="Q95" s="66">
        <v>3460</v>
      </c>
      <c r="R95" s="67" t="s">
        <v>50</v>
      </c>
      <c r="S95" s="68">
        <v>3436.43</v>
      </c>
      <c r="T95" s="65">
        <v>918233</v>
      </c>
      <c r="U95" s="65">
        <v>70</v>
      </c>
      <c r="V95" s="65">
        <v>3170015985</v>
      </c>
      <c r="W95" s="65">
        <v>231700</v>
      </c>
      <c r="X95" s="69">
        <v>21</v>
      </c>
    </row>
    <row r="96" spans="1:24">
      <c r="A96" s="60" t="s">
        <v>946</v>
      </c>
      <c r="B96" s="60" t="s">
        <v>332</v>
      </c>
      <c r="C96" s="60" t="s">
        <v>333</v>
      </c>
      <c r="D96" s="60" t="s">
        <v>334</v>
      </c>
      <c r="E96" s="61" t="s">
        <v>46</v>
      </c>
      <c r="F96" s="62" t="s">
        <v>46</v>
      </c>
      <c r="G96" s="63" t="s">
        <v>46</v>
      </c>
      <c r="H96" s="64"/>
      <c r="I96" s="64" t="s">
        <v>47</v>
      </c>
      <c r="J96" s="65">
        <v>1</v>
      </c>
      <c r="K96" s="66">
        <v>7420</v>
      </c>
      <c r="L96" s="67" t="s">
        <v>853</v>
      </c>
      <c r="M96" s="66">
        <v>8420</v>
      </c>
      <c r="N96" s="67" t="s">
        <v>240</v>
      </c>
      <c r="O96" s="66">
        <v>7360</v>
      </c>
      <c r="P96" s="67" t="s">
        <v>853</v>
      </c>
      <c r="Q96" s="66">
        <v>8150</v>
      </c>
      <c r="R96" s="67" t="s">
        <v>50</v>
      </c>
      <c r="S96" s="68">
        <v>7928.57</v>
      </c>
      <c r="T96" s="65">
        <v>222922</v>
      </c>
      <c r="U96" s="65">
        <v>8</v>
      </c>
      <c r="V96" s="65">
        <v>1785672920</v>
      </c>
      <c r="W96" s="65">
        <v>59820</v>
      </c>
      <c r="X96" s="69">
        <v>21</v>
      </c>
    </row>
    <row r="97" spans="1:24">
      <c r="A97" s="60" t="s">
        <v>946</v>
      </c>
      <c r="B97" s="60" t="s">
        <v>335</v>
      </c>
      <c r="C97" s="60" t="s">
        <v>336</v>
      </c>
      <c r="D97" s="60" t="s">
        <v>337</v>
      </c>
      <c r="E97" s="61" t="s">
        <v>46</v>
      </c>
      <c r="F97" s="62" t="s">
        <v>46</v>
      </c>
      <c r="G97" s="63" t="s">
        <v>46</v>
      </c>
      <c r="H97" s="64"/>
      <c r="I97" s="64" t="s">
        <v>47</v>
      </c>
      <c r="J97" s="65">
        <v>1</v>
      </c>
      <c r="K97" s="66">
        <v>63600</v>
      </c>
      <c r="L97" s="67" t="s">
        <v>853</v>
      </c>
      <c r="M97" s="66">
        <v>78300</v>
      </c>
      <c r="N97" s="67" t="s">
        <v>131</v>
      </c>
      <c r="O97" s="66">
        <v>63500</v>
      </c>
      <c r="P97" s="67" t="s">
        <v>84</v>
      </c>
      <c r="Q97" s="66">
        <v>67200</v>
      </c>
      <c r="R97" s="67" t="s">
        <v>50</v>
      </c>
      <c r="S97" s="68">
        <v>69138.100000000006</v>
      </c>
      <c r="T97" s="65">
        <v>14387</v>
      </c>
      <c r="U97" s="65">
        <v>255</v>
      </c>
      <c r="V97" s="65">
        <v>1044905600</v>
      </c>
      <c r="W97" s="65">
        <v>19004600</v>
      </c>
      <c r="X97" s="69">
        <v>21</v>
      </c>
    </row>
    <row r="98" spans="1:24">
      <c r="A98" s="60" t="s">
        <v>946</v>
      </c>
      <c r="B98" s="60" t="s">
        <v>338</v>
      </c>
      <c r="C98" s="60" t="s">
        <v>339</v>
      </c>
      <c r="D98" s="60" t="s">
        <v>340</v>
      </c>
      <c r="E98" s="61" t="s">
        <v>46</v>
      </c>
      <c r="F98" s="62" t="s">
        <v>46</v>
      </c>
      <c r="G98" s="63" t="s">
        <v>46</v>
      </c>
      <c r="H98" s="64"/>
      <c r="I98" s="64" t="s">
        <v>47</v>
      </c>
      <c r="J98" s="65">
        <v>1</v>
      </c>
      <c r="K98" s="66">
        <v>16640</v>
      </c>
      <c r="L98" s="67" t="s">
        <v>853</v>
      </c>
      <c r="M98" s="66">
        <v>18060</v>
      </c>
      <c r="N98" s="67" t="s">
        <v>50</v>
      </c>
      <c r="O98" s="66">
        <v>16220</v>
      </c>
      <c r="P98" s="67" t="s">
        <v>84</v>
      </c>
      <c r="Q98" s="66">
        <v>18000</v>
      </c>
      <c r="R98" s="67" t="s">
        <v>50</v>
      </c>
      <c r="S98" s="68">
        <v>17275.240000000002</v>
      </c>
      <c r="T98" s="65">
        <v>1667749</v>
      </c>
      <c r="U98" s="65">
        <v>35225</v>
      </c>
      <c r="V98" s="65">
        <v>28653409041</v>
      </c>
      <c r="W98" s="65">
        <v>602418351</v>
      </c>
      <c r="X98" s="69">
        <v>21</v>
      </c>
    </row>
    <row r="99" spans="1:24">
      <c r="A99" s="60" t="s">
        <v>946</v>
      </c>
      <c r="B99" s="60" t="s">
        <v>341</v>
      </c>
      <c r="C99" s="60" t="s">
        <v>342</v>
      </c>
      <c r="D99" s="60" t="s">
        <v>343</v>
      </c>
      <c r="E99" s="61" t="s">
        <v>46</v>
      </c>
      <c r="F99" s="62" t="s">
        <v>46</v>
      </c>
      <c r="G99" s="63" t="s">
        <v>46</v>
      </c>
      <c r="H99" s="64"/>
      <c r="I99" s="64" t="s">
        <v>47</v>
      </c>
      <c r="J99" s="65">
        <v>1</v>
      </c>
      <c r="K99" s="66">
        <v>36850</v>
      </c>
      <c r="L99" s="67" t="s">
        <v>853</v>
      </c>
      <c r="M99" s="66">
        <v>39850</v>
      </c>
      <c r="N99" s="67" t="s">
        <v>73</v>
      </c>
      <c r="O99" s="66">
        <v>36450</v>
      </c>
      <c r="P99" s="67" t="s">
        <v>853</v>
      </c>
      <c r="Q99" s="66">
        <v>39500</v>
      </c>
      <c r="R99" s="67" t="s">
        <v>50</v>
      </c>
      <c r="S99" s="68">
        <v>38528.57</v>
      </c>
      <c r="T99" s="65">
        <v>198279</v>
      </c>
      <c r="U99" s="65">
        <v>20250</v>
      </c>
      <c r="V99" s="65">
        <v>7636446585</v>
      </c>
      <c r="W99" s="65">
        <v>799434185</v>
      </c>
      <c r="X99" s="69">
        <v>21</v>
      </c>
    </row>
    <row r="100" spans="1:24">
      <c r="A100" s="60" t="s">
        <v>946</v>
      </c>
      <c r="B100" s="60" t="s">
        <v>344</v>
      </c>
      <c r="C100" s="60" t="s">
        <v>345</v>
      </c>
      <c r="D100" s="60" t="s">
        <v>346</v>
      </c>
      <c r="E100" s="61" t="s">
        <v>46</v>
      </c>
      <c r="F100" s="62" t="s">
        <v>46</v>
      </c>
      <c r="G100" s="63" t="s">
        <v>46</v>
      </c>
      <c r="H100" s="64"/>
      <c r="I100" s="64" t="s">
        <v>47</v>
      </c>
      <c r="J100" s="65">
        <v>10</v>
      </c>
      <c r="K100" s="66">
        <v>5250</v>
      </c>
      <c r="L100" s="67" t="s">
        <v>853</v>
      </c>
      <c r="M100" s="66">
        <v>5700</v>
      </c>
      <c r="N100" s="67" t="s">
        <v>73</v>
      </c>
      <c r="O100" s="66">
        <v>5170</v>
      </c>
      <c r="P100" s="67" t="s">
        <v>84</v>
      </c>
      <c r="Q100" s="66">
        <v>5660</v>
      </c>
      <c r="R100" s="67" t="s">
        <v>50</v>
      </c>
      <c r="S100" s="68">
        <v>5475.24</v>
      </c>
      <c r="T100" s="65">
        <v>1649360</v>
      </c>
      <c r="U100" s="65">
        <v>382810</v>
      </c>
      <c r="V100" s="65">
        <v>8975900180</v>
      </c>
      <c r="W100" s="65">
        <v>2055133680</v>
      </c>
      <c r="X100" s="69">
        <v>21</v>
      </c>
    </row>
    <row r="101" spans="1:24">
      <c r="A101" s="60" t="s">
        <v>946</v>
      </c>
      <c r="B101" s="60" t="s">
        <v>347</v>
      </c>
      <c r="C101" s="60" t="s">
        <v>348</v>
      </c>
      <c r="D101" s="60" t="s">
        <v>349</v>
      </c>
      <c r="E101" s="61" t="s">
        <v>46</v>
      </c>
      <c r="F101" s="62" t="s">
        <v>46</v>
      </c>
      <c r="G101" s="63" t="s">
        <v>46</v>
      </c>
      <c r="H101" s="64"/>
      <c r="I101" s="64" t="s">
        <v>47</v>
      </c>
      <c r="J101" s="65">
        <v>10</v>
      </c>
      <c r="K101" s="66">
        <v>3435</v>
      </c>
      <c r="L101" s="67" t="s">
        <v>853</v>
      </c>
      <c r="M101" s="66">
        <v>3730</v>
      </c>
      <c r="N101" s="67" t="s">
        <v>73</v>
      </c>
      <c r="O101" s="66">
        <v>3395</v>
      </c>
      <c r="P101" s="67" t="s">
        <v>84</v>
      </c>
      <c r="Q101" s="66">
        <v>3715</v>
      </c>
      <c r="R101" s="67" t="s">
        <v>50</v>
      </c>
      <c r="S101" s="68">
        <v>3582.62</v>
      </c>
      <c r="T101" s="65">
        <v>166000</v>
      </c>
      <c r="U101" s="65">
        <v>40020</v>
      </c>
      <c r="V101" s="65">
        <v>594785930</v>
      </c>
      <c r="W101" s="65">
        <v>144194530</v>
      </c>
      <c r="X101" s="69">
        <v>21</v>
      </c>
    </row>
    <row r="102" spans="1:24">
      <c r="A102" s="60" t="s">
        <v>946</v>
      </c>
      <c r="B102" s="60" t="s">
        <v>350</v>
      </c>
      <c r="C102" s="60" t="s">
        <v>351</v>
      </c>
      <c r="D102" s="60" t="s">
        <v>352</v>
      </c>
      <c r="E102" s="61" t="s">
        <v>46</v>
      </c>
      <c r="F102" s="62" t="s">
        <v>46</v>
      </c>
      <c r="G102" s="63" t="s">
        <v>46</v>
      </c>
      <c r="H102" s="64"/>
      <c r="I102" s="64" t="s">
        <v>47</v>
      </c>
      <c r="J102" s="65">
        <v>10</v>
      </c>
      <c r="K102" s="66">
        <v>5460</v>
      </c>
      <c r="L102" s="67" t="s">
        <v>853</v>
      </c>
      <c r="M102" s="66">
        <v>5760</v>
      </c>
      <c r="N102" s="67" t="s">
        <v>371</v>
      </c>
      <c r="O102" s="66">
        <v>5170</v>
      </c>
      <c r="P102" s="67" t="s">
        <v>84</v>
      </c>
      <c r="Q102" s="66">
        <v>5640</v>
      </c>
      <c r="R102" s="67" t="s">
        <v>50</v>
      </c>
      <c r="S102" s="68">
        <v>5436.67</v>
      </c>
      <c r="T102" s="65">
        <v>16530</v>
      </c>
      <c r="U102" s="65" t="s">
        <v>955</v>
      </c>
      <c r="V102" s="65">
        <v>88816300</v>
      </c>
      <c r="W102" s="65" t="s">
        <v>955</v>
      </c>
      <c r="X102" s="69">
        <v>21</v>
      </c>
    </row>
    <row r="103" spans="1:24">
      <c r="A103" s="60" t="s">
        <v>946</v>
      </c>
      <c r="B103" s="60" t="s">
        <v>353</v>
      </c>
      <c r="C103" s="60" t="s">
        <v>354</v>
      </c>
      <c r="D103" s="60" t="s">
        <v>355</v>
      </c>
      <c r="E103" s="61" t="s">
        <v>46</v>
      </c>
      <c r="F103" s="62" t="s">
        <v>46</v>
      </c>
      <c r="G103" s="63" t="s">
        <v>46</v>
      </c>
      <c r="H103" s="64"/>
      <c r="I103" s="64" t="s">
        <v>47</v>
      </c>
      <c r="J103" s="65">
        <v>1</v>
      </c>
      <c r="K103" s="66">
        <v>2445</v>
      </c>
      <c r="L103" s="67" t="s">
        <v>853</v>
      </c>
      <c r="M103" s="66">
        <v>2547</v>
      </c>
      <c r="N103" s="67" t="s">
        <v>853</v>
      </c>
      <c r="O103" s="66">
        <v>1911</v>
      </c>
      <c r="P103" s="67" t="s">
        <v>240</v>
      </c>
      <c r="Q103" s="66">
        <v>1979</v>
      </c>
      <c r="R103" s="67" t="s">
        <v>50</v>
      </c>
      <c r="S103" s="68">
        <v>2165.52</v>
      </c>
      <c r="T103" s="65">
        <v>36650888</v>
      </c>
      <c r="U103" s="65">
        <v>16055</v>
      </c>
      <c r="V103" s="65">
        <v>81091862293</v>
      </c>
      <c r="W103" s="65">
        <v>35233773</v>
      </c>
      <c r="X103" s="69">
        <v>21</v>
      </c>
    </row>
    <row r="104" spans="1:24">
      <c r="A104" s="60" t="s">
        <v>946</v>
      </c>
      <c r="B104" s="60" t="s">
        <v>356</v>
      </c>
      <c r="C104" s="60" t="s">
        <v>357</v>
      </c>
      <c r="D104" s="60" t="s">
        <v>358</v>
      </c>
      <c r="E104" s="61" t="s">
        <v>46</v>
      </c>
      <c r="F104" s="62" t="s">
        <v>46</v>
      </c>
      <c r="G104" s="63" t="s">
        <v>46</v>
      </c>
      <c r="H104" s="64"/>
      <c r="I104" s="64" t="s">
        <v>47</v>
      </c>
      <c r="J104" s="65">
        <v>10</v>
      </c>
      <c r="K104" s="66">
        <v>2960</v>
      </c>
      <c r="L104" s="67" t="s">
        <v>853</v>
      </c>
      <c r="M104" s="66">
        <v>3200</v>
      </c>
      <c r="N104" s="67" t="s">
        <v>240</v>
      </c>
      <c r="O104" s="66">
        <v>2913</v>
      </c>
      <c r="P104" s="67" t="s">
        <v>84</v>
      </c>
      <c r="Q104" s="66">
        <v>3180</v>
      </c>
      <c r="R104" s="67" t="s">
        <v>50</v>
      </c>
      <c r="S104" s="68">
        <v>3083.43</v>
      </c>
      <c r="T104" s="65">
        <v>168610</v>
      </c>
      <c r="U104" s="65" t="s">
        <v>955</v>
      </c>
      <c r="V104" s="65">
        <v>520890610</v>
      </c>
      <c r="W104" s="65" t="s">
        <v>955</v>
      </c>
      <c r="X104" s="69">
        <v>21</v>
      </c>
    </row>
    <row r="105" spans="1:24">
      <c r="A105" s="60" t="s">
        <v>946</v>
      </c>
      <c r="B105" s="60" t="s">
        <v>359</v>
      </c>
      <c r="C105" s="60" t="s">
        <v>360</v>
      </c>
      <c r="D105" s="60" t="s">
        <v>361</v>
      </c>
      <c r="E105" s="61" t="s">
        <v>46</v>
      </c>
      <c r="F105" s="62" t="s">
        <v>46</v>
      </c>
      <c r="G105" s="63" t="s">
        <v>46</v>
      </c>
      <c r="H105" s="64"/>
      <c r="I105" s="64" t="s">
        <v>47</v>
      </c>
      <c r="J105" s="65">
        <v>10</v>
      </c>
      <c r="K105" s="66">
        <v>1700</v>
      </c>
      <c r="L105" s="67" t="s">
        <v>853</v>
      </c>
      <c r="M105" s="66">
        <v>1893</v>
      </c>
      <c r="N105" s="67" t="s">
        <v>240</v>
      </c>
      <c r="O105" s="66">
        <v>1661</v>
      </c>
      <c r="P105" s="67" t="s">
        <v>84</v>
      </c>
      <c r="Q105" s="66">
        <v>1834</v>
      </c>
      <c r="R105" s="67" t="s">
        <v>50</v>
      </c>
      <c r="S105" s="68">
        <v>1784.52</v>
      </c>
      <c r="T105" s="65">
        <v>158800</v>
      </c>
      <c r="U105" s="65">
        <v>20</v>
      </c>
      <c r="V105" s="65">
        <v>282919630</v>
      </c>
      <c r="W105" s="65">
        <v>35870</v>
      </c>
      <c r="X105" s="69">
        <v>21</v>
      </c>
    </row>
    <row r="106" spans="1:24">
      <c r="A106" s="60" t="s">
        <v>946</v>
      </c>
      <c r="B106" s="60" t="s">
        <v>362</v>
      </c>
      <c r="C106" s="60" t="s">
        <v>363</v>
      </c>
      <c r="D106" s="60" t="s">
        <v>364</v>
      </c>
      <c r="E106" s="61" t="s">
        <v>46</v>
      </c>
      <c r="F106" s="62" t="s">
        <v>46</v>
      </c>
      <c r="G106" s="63" t="s">
        <v>46</v>
      </c>
      <c r="H106" s="64"/>
      <c r="I106" s="64" t="s">
        <v>47</v>
      </c>
      <c r="J106" s="65">
        <v>1</v>
      </c>
      <c r="K106" s="66">
        <v>47950</v>
      </c>
      <c r="L106" s="67" t="s">
        <v>853</v>
      </c>
      <c r="M106" s="66">
        <v>52200</v>
      </c>
      <c r="N106" s="67" t="s">
        <v>73</v>
      </c>
      <c r="O106" s="66">
        <v>47350</v>
      </c>
      <c r="P106" s="67" t="s">
        <v>84</v>
      </c>
      <c r="Q106" s="66">
        <v>51900</v>
      </c>
      <c r="R106" s="67" t="s">
        <v>50</v>
      </c>
      <c r="S106" s="68">
        <v>50161.9</v>
      </c>
      <c r="T106" s="65">
        <v>297022</v>
      </c>
      <c r="U106" s="65">
        <v>44840</v>
      </c>
      <c r="V106" s="65">
        <v>14742038448</v>
      </c>
      <c r="W106" s="65">
        <v>2317604248</v>
      </c>
      <c r="X106" s="69">
        <v>21</v>
      </c>
    </row>
    <row r="107" spans="1:24">
      <c r="A107" s="60" t="s">
        <v>946</v>
      </c>
      <c r="B107" s="60" t="s">
        <v>365</v>
      </c>
      <c r="C107" s="60" t="s">
        <v>366</v>
      </c>
      <c r="D107" s="60" t="s">
        <v>367</v>
      </c>
      <c r="E107" s="61" t="s">
        <v>46</v>
      </c>
      <c r="F107" s="62" t="s">
        <v>46</v>
      </c>
      <c r="G107" s="63" t="s">
        <v>46</v>
      </c>
      <c r="H107" s="64"/>
      <c r="I107" s="64" t="s">
        <v>47</v>
      </c>
      <c r="J107" s="65">
        <v>1</v>
      </c>
      <c r="K107" s="66">
        <v>2999</v>
      </c>
      <c r="L107" s="67" t="s">
        <v>853</v>
      </c>
      <c r="M107" s="66">
        <v>3125</v>
      </c>
      <c r="N107" s="67" t="s">
        <v>613</v>
      </c>
      <c r="O107" s="66">
        <v>2950</v>
      </c>
      <c r="P107" s="67" t="s">
        <v>176</v>
      </c>
      <c r="Q107" s="66">
        <v>3075</v>
      </c>
      <c r="R107" s="67" t="s">
        <v>50</v>
      </c>
      <c r="S107" s="68">
        <v>3057.57</v>
      </c>
      <c r="T107" s="65">
        <v>14860</v>
      </c>
      <c r="U107" s="65" t="s">
        <v>955</v>
      </c>
      <c r="V107" s="65">
        <v>45418631</v>
      </c>
      <c r="W107" s="65" t="s">
        <v>955</v>
      </c>
      <c r="X107" s="69">
        <v>21</v>
      </c>
    </row>
    <row r="108" spans="1:24">
      <c r="A108" s="60" t="s">
        <v>946</v>
      </c>
      <c r="B108" s="60" t="s">
        <v>368</v>
      </c>
      <c r="C108" s="60" t="s">
        <v>369</v>
      </c>
      <c r="D108" s="60" t="s">
        <v>370</v>
      </c>
      <c r="E108" s="61" t="s">
        <v>46</v>
      </c>
      <c r="F108" s="62" t="s">
        <v>46</v>
      </c>
      <c r="G108" s="63" t="s">
        <v>46</v>
      </c>
      <c r="H108" s="64"/>
      <c r="I108" s="64" t="s">
        <v>47</v>
      </c>
      <c r="J108" s="65">
        <v>1</v>
      </c>
      <c r="K108" s="66">
        <v>3980</v>
      </c>
      <c r="L108" s="67" t="s">
        <v>853</v>
      </c>
      <c r="M108" s="66">
        <v>4380</v>
      </c>
      <c r="N108" s="67" t="s">
        <v>100</v>
      </c>
      <c r="O108" s="66">
        <v>3955</v>
      </c>
      <c r="P108" s="67" t="s">
        <v>84</v>
      </c>
      <c r="Q108" s="66">
        <v>4220</v>
      </c>
      <c r="R108" s="67" t="s">
        <v>50</v>
      </c>
      <c r="S108" s="68">
        <v>4189.76</v>
      </c>
      <c r="T108" s="65">
        <v>7947</v>
      </c>
      <c r="U108" s="65" t="s">
        <v>955</v>
      </c>
      <c r="V108" s="65">
        <v>33274980</v>
      </c>
      <c r="W108" s="65" t="s">
        <v>955</v>
      </c>
      <c r="X108" s="69">
        <v>21</v>
      </c>
    </row>
    <row r="109" spans="1:24">
      <c r="A109" s="60" t="s">
        <v>946</v>
      </c>
      <c r="B109" s="60" t="s">
        <v>372</v>
      </c>
      <c r="C109" s="60" t="s">
        <v>373</v>
      </c>
      <c r="D109" s="60" t="s">
        <v>374</v>
      </c>
      <c r="E109" s="61" t="s">
        <v>46</v>
      </c>
      <c r="F109" s="62" t="s">
        <v>46</v>
      </c>
      <c r="G109" s="63" t="s">
        <v>46</v>
      </c>
      <c r="H109" s="64"/>
      <c r="I109" s="64" t="s">
        <v>47</v>
      </c>
      <c r="J109" s="65">
        <v>1</v>
      </c>
      <c r="K109" s="66">
        <v>4520</v>
      </c>
      <c r="L109" s="67" t="s">
        <v>853</v>
      </c>
      <c r="M109" s="66">
        <v>4565</v>
      </c>
      <c r="N109" s="67" t="s">
        <v>853</v>
      </c>
      <c r="O109" s="66">
        <v>4090</v>
      </c>
      <c r="P109" s="67" t="s">
        <v>77</v>
      </c>
      <c r="Q109" s="66">
        <v>4315</v>
      </c>
      <c r="R109" s="67" t="s">
        <v>50</v>
      </c>
      <c r="S109" s="68">
        <v>4252.8599999999997</v>
      </c>
      <c r="T109" s="65">
        <v>243832</v>
      </c>
      <c r="U109" s="65">
        <v>1377</v>
      </c>
      <c r="V109" s="65">
        <v>1040962685</v>
      </c>
      <c r="W109" s="65">
        <v>5452770</v>
      </c>
      <c r="X109" s="69">
        <v>21</v>
      </c>
    </row>
    <row r="110" spans="1:24">
      <c r="A110" s="60" t="s">
        <v>946</v>
      </c>
      <c r="B110" s="60" t="s">
        <v>375</v>
      </c>
      <c r="C110" s="60" t="s">
        <v>376</v>
      </c>
      <c r="D110" s="60" t="s">
        <v>377</v>
      </c>
      <c r="E110" s="61" t="s">
        <v>46</v>
      </c>
      <c r="F110" s="62" t="s">
        <v>46</v>
      </c>
      <c r="G110" s="63" t="s">
        <v>46</v>
      </c>
      <c r="H110" s="64"/>
      <c r="I110" s="64" t="s">
        <v>47</v>
      </c>
      <c r="J110" s="65">
        <v>1</v>
      </c>
      <c r="K110" s="66">
        <v>43600</v>
      </c>
      <c r="L110" s="67" t="s">
        <v>853</v>
      </c>
      <c r="M110" s="66">
        <v>44600</v>
      </c>
      <c r="N110" s="67" t="s">
        <v>371</v>
      </c>
      <c r="O110" s="66">
        <v>43200</v>
      </c>
      <c r="P110" s="67" t="s">
        <v>84</v>
      </c>
      <c r="Q110" s="66">
        <v>43700</v>
      </c>
      <c r="R110" s="67" t="s">
        <v>50</v>
      </c>
      <c r="S110" s="68">
        <v>43885.71</v>
      </c>
      <c r="T110" s="65">
        <v>17864</v>
      </c>
      <c r="U110" s="65">
        <v>798</v>
      </c>
      <c r="V110" s="65">
        <v>783582720</v>
      </c>
      <c r="W110" s="65">
        <v>35032320</v>
      </c>
      <c r="X110" s="69">
        <v>21</v>
      </c>
    </row>
    <row r="111" spans="1:24">
      <c r="A111" s="60" t="s">
        <v>946</v>
      </c>
      <c r="B111" s="60" t="s">
        <v>378</v>
      </c>
      <c r="C111" s="60" t="s">
        <v>379</v>
      </c>
      <c r="D111" s="60" t="s">
        <v>380</v>
      </c>
      <c r="E111" s="61" t="s">
        <v>896</v>
      </c>
      <c r="F111" s="62" t="s">
        <v>897</v>
      </c>
      <c r="G111" s="63" t="s">
        <v>947</v>
      </c>
      <c r="H111" s="64" t="s">
        <v>878</v>
      </c>
      <c r="I111" s="64"/>
      <c r="J111" s="65">
        <v>10</v>
      </c>
      <c r="K111" s="66">
        <v>1307</v>
      </c>
      <c r="L111" s="67" t="s">
        <v>853</v>
      </c>
      <c r="M111" s="66">
        <v>1315</v>
      </c>
      <c r="N111" s="67" t="s">
        <v>96</v>
      </c>
      <c r="O111" s="66">
        <v>1307</v>
      </c>
      <c r="P111" s="67" t="s">
        <v>853</v>
      </c>
      <c r="Q111" s="66">
        <v>1315</v>
      </c>
      <c r="R111" s="67" t="s">
        <v>96</v>
      </c>
      <c r="S111" s="68">
        <v>1309.5999999999999</v>
      </c>
      <c r="T111" s="65">
        <v>3400</v>
      </c>
      <c r="U111" s="65" t="s">
        <v>955</v>
      </c>
      <c r="V111" s="65">
        <v>4462750</v>
      </c>
      <c r="W111" s="65" t="s">
        <v>955</v>
      </c>
      <c r="X111" s="69">
        <v>5</v>
      </c>
    </row>
    <row r="112" spans="1:24">
      <c r="A112" s="60" t="s">
        <v>946</v>
      </c>
      <c r="B112" s="60" t="s">
        <v>381</v>
      </c>
      <c r="C112" s="60" t="s">
        <v>382</v>
      </c>
      <c r="D112" s="60" t="s">
        <v>383</v>
      </c>
      <c r="E112" s="61" t="s">
        <v>46</v>
      </c>
      <c r="F112" s="62" t="s">
        <v>46</v>
      </c>
      <c r="G112" s="63" t="s">
        <v>46</v>
      </c>
      <c r="H112" s="64"/>
      <c r="I112" s="64" t="s">
        <v>47</v>
      </c>
      <c r="J112" s="65">
        <v>10</v>
      </c>
      <c r="K112" s="66">
        <v>25840</v>
      </c>
      <c r="L112" s="67" t="s">
        <v>853</v>
      </c>
      <c r="M112" s="66">
        <v>26530</v>
      </c>
      <c r="N112" s="67" t="s">
        <v>371</v>
      </c>
      <c r="O112" s="66">
        <v>23660</v>
      </c>
      <c r="P112" s="67" t="s">
        <v>77</v>
      </c>
      <c r="Q112" s="66">
        <v>25430</v>
      </c>
      <c r="R112" s="67" t="s">
        <v>50</v>
      </c>
      <c r="S112" s="68">
        <v>25241.9</v>
      </c>
      <c r="T112" s="65">
        <v>3603090</v>
      </c>
      <c r="U112" s="65">
        <v>30</v>
      </c>
      <c r="V112" s="65">
        <v>90507887400</v>
      </c>
      <c r="W112" s="65">
        <v>764400</v>
      </c>
      <c r="X112" s="69">
        <v>21</v>
      </c>
    </row>
    <row r="113" spans="1:24">
      <c r="A113" s="60" t="s">
        <v>946</v>
      </c>
      <c r="B113" s="60" t="s">
        <v>384</v>
      </c>
      <c r="C113" s="60" t="s">
        <v>385</v>
      </c>
      <c r="D113" s="60" t="s">
        <v>386</v>
      </c>
      <c r="E113" s="61" t="s">
        <v>46</v>
      </c>
      <c r="F113" s="62" t="s">
        <v>46</v>
      </c>
      <c r="G113" s="63" t="s">
        <v>46</v>
      </c>
      <c r="H113" s="64"/>
      <c r="I113" s="64" t="s">
        <v>47</v>
      </c>
      <c r="J113" s="65">
        <v>10</v>
      </c>
      <c r="K113" s="66">
        <v>2123</v>
      </c>
      <c r="L113" s="67" t="s">
        <v>853</v>
      </c>
      <c r="M113" s="66">
        <v>2212</v>
      </c>
      <c r="N113" s="67" t="s">
        <v>77</v>
      </c>
      <c r="O113" s="66">
        <v>2085</v>
      </c>
      <c r="P113" s="67" t="s">
        <v>371</v>
      </c>
      <c r="Q113" s="66">
        <v>2127</v>
      </c>
      <c r="R113" s="67" t="s">
        <v>50</v>
      </c>
      <c r="S113" s="68">
        <v>2138.9499999999998</v>
      </c>
      <c r="T113" s="65">
        <v>540560</v>
      </c>
      <c r="U113" s="65">
        <v>110000</v>
      </c>
      <c r="V113" s="65">
        <v>1167504717</v>
      </c>
      <c r="W113" s="65">
        <v>238706287</v>
      </c>
      <c r="X113" s="69">
        <v>21</v>
      </c>
    </row>
    <row r="114" spans="1:24">
      <c r="A114" s="60" t="s">
        <v>946</v>
      </c>
      <c r="B114" s="60" t="s">
        <v>387</v>
      </c>
      <c r="C114" s="60" t="s">
        <v>388</v>
      </c>
      <c r="D114" s="60" t="s">
        <v>389</v>
      </c>
      <c r="E114" s="61" t="s">
        <v>46</v>
      </c>
      <c r="F114" s="62" t="s">
        <v>46</v>
      </c>
      <c r="G114" s="63" t="s">
        <v>46</v>
      </c>
      <c r="H114" s="64"/>
      <c r="I114" s="64" t="s">
        <v>47</v>
      </c>
      <c r="J114" s="65">
        <v>1</v>
      </c>
      <c r="K114" s="66">
        <v>16340</v>
      </c>
      <c r="L114" s="67" t="s">
        <v>853</v>
      </c>
      <c r="M114" s="66">
        <v>16540</v>
      </c>
      <c r="N114" s="67" t="s">
        <v>371</v>
      </c>
      <c r="O114" s="66">
        <v>14190</v>
      </c>
      <c r="P114" s="67" t="s">
        <v>77</v>
      </c>
      <c r="Q114" s="66">
        <v>15880</v>
      </c>
      <c r="R114" s="67" t="s">
        <v>50</v>
      </c>
      <c r="S114" s="68">
        <v>15558.57</v>
      </c>
      <c r="T114" s="65">
        <v>199376427</v>
      </c>
      <c r="U114" s="65">
        <v>160027</v>
      </c>
      <c r="V114" s="65">
        <v>3088107030174</v>
      </c>
      <c r="W114" s="65">
        <v>2488409324</v>
      </c>
      <c r="X114" s="69">
        <v>21</v>
      </c>
    </row>
    <row r="115" spans="1:24">
      <c r="A115" s="60" t="s">
        <v>946</v>
      </c>
      <c r="B115" s="60" t="s">
        <v>390</v>
      </c>
      <c r="C115" s="60" t="s">
        <v>391</v>
      </c>
      <c r="D115" s="60" t="s">
        <v>392</v>
      </c>
      <c r="E115" s="61" t="s">
        <v>46</v>
      </c>
      <c r="F115" s="62" t="s">
        <v>46</v>
      </c>
      <c r="G115" s="63" t="s">
        <v>46</v>
      </c>
      <c r="H115" s="64"/>
      <c r="I115" s="64" t="s">
        <v>47</v>
      </c>
      <c r="J115" s="65">
        <v>1</v>
      </c>
      <c r="K115" s="66">
        <v>980</v>
      </c>
      <c r="L115" s="67" t="s">
        <v>853</v>
      </c>
      <c r="M115" s="66">
        <v>1050</v>
      </c>
      <c r="N115" s="67" t="s">
        <v>77</v>
      </c>
      <c r="O115" s="66">
        <v>970</v>
      </c>
      <c r="P115" s="67" t="s">
        <v>371</v>
      </c>
      <c r="Q115" s="66">
        <v>988</v>
      </c>
      <c r="R115" s="67" t="s">
        <v>50</v>
      </c>
      <c r="S115" s="68">
        <v>1001.48</v>
      </c>
      <c r="T115" s="65">
        <v>18223803</v>
      </c>
      <c r="U115" s="65">
        <v>10</v>
      </c>
      <c r="V115" s="65">
        <v>18385575054</v>
      </c>
      <c r="W115" s="65">
        <v>9970</v>
      </c>
      <c r="X115" s="69">
        <v>21</v>
      </c>
    </row>
    <row r="116" spans="1:24">
      <c r="A116" s="60" t="s">
        <v>946</v>
      </c>
      <c r="B116" s="60" t="s">
        <v>393</v>
      </c>
      <c r="C116" s="60" t="s">
        <v>394</v>
      </c>
      <c r="D116" s="60" t="s">
        <v>395</v>
      </c>
      <c r="E116" s="61" t="s">
        <v>46</v>
      </c>
      <c r="F116" s="62" t="s">
        <v>46</v>
      </c>
      <c r="G116" s="63" t="s">
        <v>46</v>
      </c>
      <c r="H116" s="64"/>
      <c r="I116" s="64" t="s">
        <v>47</v>
      </c>
      <c r="J116" s="65">
        <v>10</v>
      </c>
      <c r="K116" s="66">
        <v>7620</v>
      </c>
      <c r="L116" s="67" t="s">
        <v>853</v>
      </c>
      <c r="M116" s="66">
        <v>9060</v>
      </c>
      <c r="N116" s="67" t="s">
        <v>132</v>
      </c>
      <c r="O116" s="66">
        <v>7120</v>
      </c>
      <c r="P116" s="67" t="s">
        <v>77</v>
      </c>
      <c r="Q116" s="66">
        <v>8250</v>
      </c>
      <c r="R116" s="67" t="s">
        <v>50</v>
      </c>
      <c r="S116" s="68">
        <v>8185.24</v>
      </c>
      <c r="T116" s="65">
        <v>59370</v>
      </c>
      <c r="U116" s="65" t="s">
        <v>955</v>
      </c>
      <c r="V116" s="65">
        <v>487614000</v>
      </c>
      <c r="W116" s="65" t="s">
        <v>955</v>
      </c>
      <c r="X116" s="69">
        <v>21</v>
      </c>
    </row>
    <row r="117" spans="1:24">
      <c r="A117" s="60" t="s">
        <v>946</v>
      </c>
      <c r="B117" s="60" t="s">
        <v>396</v>
      </c>
      <c r="C117" s="60" t="s">
        <v>397</v>
      </c>
      <c r="D117" s="60" t="s">
        <v>398</v>
      </c>
      <c r="E117" s="61" t="s">
        <v>46</v>
      </c>
      <c r="F117" s="62" t="s">
        <v>46</v>
      </c>
      <c r="G117" s="63" t="s">
        <v>46</v>
      </c>
      <c r="H117" s="64"/>
      <c r="I117" s="64" t="s">
        <v>47</v>
      </c>
      <c r="J117" s="65">
        <v>10</v>
      </c>
      <c r="K117" s="66">
        <v>8190</v>
      </c>
      <c r="L117" s="67" t="s">
        <v>853</v>
      </c>
      <c r="M117" s="66">
        <v>8440</v>
      </c>
      <c r="N117" s="67" t="s">
        <v>48</v>
      </c>
      <c r="O117" s="66">
        <v>7560</v>
      </c>
      <c r="P117" s="67" t="s">
        <v>132</v>
      </c>
      <c r="Q117" s="66">
        <v>7850</v>
      </c>
      <c r="R117" s="67" t="s">
        <v>50</v>
      </c>
      <c r="S117" s="68">
        <v>7978.1</v>
      </c>
      <c r="T117" s="65">
        <v>41350</v>
      </c>
      <c r="U117" s="65">
        <v>20</v>
      </c>
      <c r="V117" s="65">
        <v>332521700</v>
      </c>
      <c r="W117" s="65">
        <v>156000</v>
      </c>
      <c r="X117" s="69">
        <v>21</v>
      </c>
    </row>
    <row r="118" spans="1:24">
      <c r="A118" s="60" t="s">
        <v>946</v>
      </c>
      <c r="B118" s="60" t="s">
        <v>399</v>
      </c>
      <c r="C118" s="60" t="s">
        <v>400</v>
      </c>
      <c r="D118" s="60" t="s">
        <v>401</v>
      </c>
      <c r="E118" s="61" t="s">
        <v>896</v>
      </c>
      <c r="F118" s="62" t="s">
        <v>897</v>
      </c>
      <c r="G118" s="63" t="s">
        <v>947</v>
      </c>
      <c r="H118" s="64" t="s">
        <v>878</v>
      </c>
      <c r="I118" s="64"/>
      <c r="J118" s="65">
        <v>10</v>
      </c>
      <c r="K118" s="66">
        <v>1790</v>
      </c>
      <c r="L118" s="67" t="s">
        <v>853</v>
      </c>
      <c r="M118" s="66">
        <v>1800</v>
      </c>
      <c r="N118" s="67" t="s">
        <v>853</v>
      </c>
      <c r="O118" s="66">
        <v>1786</v>
      </c>
      <c r="P118" s="67" t="s">
        <v>853</v>
      </c>
      <c r="Q118" s="66">
        <v>1792</v>
      </c>
      <c r="R118" s="67" t="s">
        <v>96</v>
      </c>
      <c r="S118" s="68">
        <v>1788.5</v>
      </c>
      <c r="T118" s="65">
        <v>3770</v>
      </c>
      <c r="U118" s="65" t="s">
        <v>955</v>
      </c>
      <c r="V118" s="65">
        <v>6754680</v>
      </c>
      <c r="W118" s="65" t="s">
        <v>955</v>
      </c>
      <c r="X118" s="69">
        <v>4</v>
      </c>
    </row>
    <row r="119" spans="1:24">
      <c r="A119" s="60" t="s">
        <v>946</v>
      </c>
      <c r="B119" s="60" t="s">
        <v>402</v>
      </c>
      <c r="C119" s="60" t="s">
        <v>403</v>
      </c>
      <c r="D119" s="60" t="s">
        <v>404</v>
      </c>
      <c r="E119" s="61" t="s">
        <v>46</v>
      </c>
      <c r="F119" s="62" t="s">
        <v>46</v>
      </c>
      <c r="G119" s="63" t="s">
        <v>46</v>
      </c>
      <c r="H119" s="64"/>
      <c r="I119" s="64" t="s">
        <v>47</v>
      </c>
      <c r="J119" s="65">
        <v>10</v>
      </c>
      <c r="K119" s="66">
        <v>732</v>
      </c>
      <c r="L119" s="67" t="s">
        <v>853</v>
      </c>
      <c r="M119" s="66">
        <v>850</v>
      </c>
      <c r="N119" s="67" t="s">
        <v>100</v>
      </c>
      <c r="O119" s="66">
        <v>716</v>
      </c>
      <c r="P119" s="67" t="s">
        <v>77</v>
      </c>
      <c r="Q119" s="66">
        <v>788</v>
      </c>
      <c r="R119" s="67" t="s">
        <v>50</v>
      </c>
      <c r="S119" s="68">
        <v>762.43</v>
      </c>
      <c r="T119" s="65">
        <v>23810</v>
      </c>
      <c r="U119" s="65" t="s">
        <v>955</v>
      </c>
      <c r="V119" s="65">
        <v>18275110</v>
      </c>
      <c r="W119" s="65" t="s">
        <v>955</v>
      </c>
      <c r="X119" s="69">
        <v>21</v>
      </c>
    </row>
    <row r="120" spans="1:24">
      <c r="A120" s="60" t="s">
        <v>946</v>
      </c>
      <c r="B120" s="60" t="s">
        <v>408</v>
      </c>
      <c r="C120" s="60" t="s">
        <v>409</v>
      </c>
      <c r="D120" s="60" t="s">
        <v>410</v>
      </c>
      <c r="E120" s="61" t="s">
        <v>46</v>
      </c>
      <c r="F120" s="62" t="s">
        <v>46</v>
      </c>
      <c r="G120" s="63" t="s">
        <v>46</v>
      </c>
      <c r="H120" s="64"/>
      <c r="I120" s="64" t="s">
        <v>47</v>
      </c>
      <c r="J120" s="65">
        <v>1</v>
      </c>
      <c r="K120" s="66">
        <v>23610</v>
      </c>
      <c r="L120" s="67" t="s">
        <v>853</v>
      </c>
      <c r="M120" s="66">
        <v>23920</v>
      </c>
      <c r="N120" s="67" t="s">
        <v>48</v>
      </c>
      <c r="O120" s="66">
        <v>22850</v>
      </c>
      <c r="P120" s="67" t="s">
        <v>50</v>
      </c>
      <c r="Q120" s="66">
        <v>23090</v>
      </c>
      <c r="R120" s="67" t="s">
        <v>50</v>
      </c>
      <c r="S120" s="68">
        <v>23439.05</v>
      </c>
      <c r="T120" s="65">
        <v>39577</v>
      </c>
      <c r="U120" s="65">
        <v>5</v>
      </c>
      <c r="V120" s="65">
        <v>925380620</v>
      </c>
      <c r="W120" s="65">
        <v>117510</v>
      </c>
      <c r="X120" s="69">
        <v>21</v>
      </c>
    </row>
    <row r="121" spans="1:24">
      <c r="A121" s="60" t="s">
        <v>946</v>
      </c>
      <c r="B121" s="60" t="s">
        <v>411</v>
      </c>
      <c r="C121" s="60" t="s">
        <v>412</v>
      </c>
      <c r="D121" s="60" t="s">
        <v>413</v>
      </c>
      <c r="E121" s="61" t="s">
        <v>46</v>
      </c>
      <c r="F121" s="62" t="s">
        <v>46</v>
      </c>
      <c r="G121" s="63" t="s">
        <v>46</v>
      </c>
      <c r="H121" s="64"/>
      <c r="I121" s="64" t="s">
        <v>47</v>
      </c>
      <c r="J121" s="65">
        <v>1</v>
      </c>
      <c r="K121" s="66">
        <v>2346</v>
      </c>
      <c r="L121" s="67" t="s">
        <v>853</v>
      </c>
      <c r="M121" s="66">
        <v>2360</v>
      </c>
      <c r="N121" s="67" t="s">
        <v>371</v>
      </c>
      <c r="O121" s="66">
        <v>2190</v>
      </c>
      <c r="P121" s="67" t="s">
        <v>77</v>
      </c>
      <c r="Q121" s="66">
        <v>2318</v>
      </c>
      <c r="R121" s="67" t="s">
        <v>50</v>
      </c>
      <c r="S121" s="68">
        <v>2292.19</v>
      </c>
      <c r="T121" s="65">
        <v>30558</v>
      </c>
      <c r="U121" s="65">
        <v>2</v>
      </c>
      <c r="V121" s="65">
        <v>69745483</v>
      </c>
      <c r="W121" s="65">
        <v>4432</v>
      </c>
      <c r="X121" s="69">
        <v>21</v>
      </c>
    </row>
    <row r="122" spans="1:24">
      <c r="A122" s="60" t="s">
        <v>946</v>
      </c>
      <c r="B122" s="60" t="s">
        <v>414</v>
      </c>
      <c r="C122" s="60" t="s">
        <v>415</v>
      </c>
      <c r="D122" s="60" t="s">
        <v>416</v>
      </c>
      <c r="E122" s="61" t="s">
        <v>46</v>
      </c>
      <c r="F122" s="62" t="s">
        <v>46</v>
      </c>
      <c r="G122" s="63" t="s">
        <v>46</v>
      </c>
      <c r="H122" s="64"/>
      <c r="I122" s="64" t="s">
        <v>47</v>
      </c>
      <c r="J122" s="65">
        <v>10</v>
      </c>
      <c r="K122" s="66">
        <v>17470</v>
      </c>
      <c r="L122" s="67" t="s">
        <v>853</v>
      </c>
      <c r="M122" s="66">
        <v>17680</v>
      </c>
      <c r="N122" s="67" t="s">
        <v>371</v>
      </c>
      <c r="O122" s="66">
        <v>15150</v>
      </c>
      <c r="P122" s="67" t="s">
        <v>77</v>
      </c>
      <c r="Q122" s="66">
        <v>16970</v>
      </c>
      <c r="R122" s="67" t="s">
        <v>50</v>
      </c>
      <c r="S122" s="68">
        <v>16629.52</v>
      </c>
      <c r="T122" s="65">
        <v>19571010</v>
      </c>
      <c r="U122" s="65">
        <v>30</v>
      </c>
      <c r="V122" s="65">
        <v>323517190200</v>
      </c>
      <c r="W122" s="65">
        <v>478600</v>
      </c>
      <c r="X122" s="69">
        <v>21</v>
      </c>
    </row>
    <row r="123" spans="1:24">
      <c r="A123" s="60" t="s">
        <v>946</v>
      </c>
      <c r="B123" s="60" t="s">
        <v>417</v>
      </c>
      <c r="C123" s="60" t="s">
        <v>418</v>
      </c>
      <c r="D123" s="60" t="s">
        <v>419</v>
      </c>
      <c r="E123" s="61" t="s">
        <v>46</v>
      </c>
      <c r="F123" s="62" t="s">
        <v>46</v>
      </c>
      <c r="G123" s="63" t="s">
        <v>46</v>
      </c>
      <c r="H123" s="64"/>
      <c r="I123" s="64" t="s">
        <v>47</v>
      </c>
      <c r="J123" s="65">
        <v>10</v>
      </c>
      <c r="K123" s="66">
        <v>2615</v>
      </c>
      <c r="L123" s="67" t="s">
        <v>853</v>
      </c>
      <c r="M123" s="66">
        <v>2796</v>
      </c>
      <c r="N123" s="67" t="s">
        <v>77</v>
      </c>
      <c r="O123" s="66">
        <v>2583</v>
      </c>
      <c r="P123" s="67" t="s">
        <v>371</v>
      </c>
      <c r="Q123" s="66">
        <v>2631</v>
      </c>
      <c r="R123" s="67" t="s">
        <v>50</v>
      </c>
      <c r="S123" s="68">
        <v>2668</v>
      </c>
      <c r="T123" s="65">
        <v>2685270</v>
      </c>
      <c r="U123" s="65" t="s">
        <v>955</v>
      </c>
      <c r="V123" s="65">
        <v>7205357110</v>
      </c>
      <c r="W123" s="65" t="s">
        <v>955</v>
      </c>
      <c r="X123" s="69">
        <v>21</v>
      </c>
    </row>
    <row r="124" spans="1:24">
      <c r="A124" s="60" t="s">
        <v>946</v>
      </c>
      <c r="B124" s="60" t="s">
        <v>420</v>
      </c>
      <c r="C124" s="60" t="s">
        <v>421</v>
      </c>
      <c r="D124" s="60" t="s">
        <v>422</v>
      </c>
      <c r="E124" s="61" t="s">
        <v>46</v>
      </c>
      <c r="F124" s="62" t="s">
        <v>46</v>
      </c>
      <c r="G124" s="63" t="s">
        <v>46</v>
      </c>
      <c r="H124" s="64"/>
      <c r="I124" s="64" t="s">
        <v>47</v>
      </c>
      <c r="J124" s="65">
        <v>10</v>
      </c>
      <c r="K124" s="66">
        <v>940</v>
      </c>
      <c r="L124" s="67" t="s">
        <v>48</v>
      </c>
      <c r="M124" s="66">
        <v>975</v>
      </c>
      <c r="N124" s="67" t="s">
        <v>132</v>
      </c>
      <c r="O124" s="66">
        <v>904</v>
      </c>
      <c r="P124" s="67" t="s">
        <v>131</v>
      </c>
      <c r="Q124" s="66">
        <v>970</v>
      </c>
      <c r="R124" s="67" t="s">
        <v>50</v>
      </c>
      <c r="S124" s="68">
        <v>947.5</v>
      </c>
      <c r="T124" s="65">
        <v>6460</v>
      </c>
      <c r="U124" s="65" t="s">
        <v>955</v>
      </c>
      <c r="V124" s="65">
        <v>6052140</v>
      </c>
      <c r="W124" s="65" t="s">
        <v>955</v>
      </c>
      <c r="X124" s="69">
        <v>18</v>
      </c>
    </row>
    <row r="125" spans="1:24">
      <c r="A125" s="60" t="s">
        <v>946</v>
      </c>
      <c r="B125" s="60" t="s">
        <v>423</v>
      </c>
      <c r="C125" s="60" t="s">
        <v>424</v>
      </c>
      <c r="D125" s="60" t="s">
        <v>425</v>
      </c>
      <c r="E125" s="61" t="s">
        <v>46</v>
      </c>
      <c r="F125" s="62" t="s">
        <v>46</v>
      </c>
      <c r="G125" s="63" t="s">
        <v>46</v>
      </c>
      <c r="H125" s="64"/>
      <c r="I125" s="64" t="s">
        <v>47</v>
      </c>
      <c r="J125" s="65">
        <v>10</v>
      </c>
      <c r="K125" s="66">
        <v>1593</v>
      </c>
      <c r="L125" s="67" t="s">
        <v>853</v>
      </c>
      <c r="M125" s="66">
        <v>1604</v>
      </c>
      <c r="N125" s="67" t="s">
        <v>100</v>
      </c>
      <c r="O125" s="66">
        <v>1542</v>
      </c>
      <c r="P125" s="67" t="s">
        <v>84</v>
      </c>
      <c r="Q125" s="66">
        <v>1604</v>
      </c>
      <c r="R125" s="67" t="s">
        <v>100</v>
      </c>
      <c r="S125" s="68">
        <v>1580.5</v>
      </c>
      <c r="T125" s="65">
        <v>340</v>
      </c>
      <c r="U125" s="65" t="s">
        <v>955</v>
      </c>
      <c r="V125" s="65">
        <v>532000</v>
      </c>
      <c r="W125" s="65" t="s">
        <v>955</v>
      </c>
      <c r="X125" s="69">
        <v>6</v>
      </c>
    </row>
    <row r="126" spans="1:24">
      <c r="A126" s="60" t="s">
        <v>946</v>
      </c>
      <c r="B126" s="60" t="s">
        <v>426</v>
      </c>
      <c r="C126" s="60" t="s">
        <v>427</v>
      </c>
      <c r="D126" s="60" t="s">
        <v>428</v>
      </c>
      <c r="E126" s="61" t="s">
        <v>46</v>
      </c>
      <c r="F126" s="62" t="s">
        <v>46</v>
      </c>
      <c r="G126" s="63" t="s">
        <v>46</v>
      </c>
      <c r="H126" s="64"/>
      <c r="I126" s="64" t="s">
        <v>47</v>
      </c>
      <c r="J126" s="65">
        <v>1</v>
      </c>
      <c r="K126" s="66">
        <v>1868</v>
      </c>
      <c r="L126" s="67" t="s">
        <v>853</v>
      </c>
      <c r="M126" s="66">
        <v>1868</v>
      </c>
      <c r="N126" s="67" t="s">
        <v>853</v>
      </c>
      <c r="O126" s="66">
        <v>1745</v>
      </c>
      <c r="P126" s="67" t="s">
        <v>96</v>
      </c>
      <c r="Q126" s="66">
        <v>1793</v>
      </c>
      <c r="R126" s="67" t="s">
        <v>50</v>
      </c>
      <c r="S126" s="68">
        <v>1785.75</v>
      </c>
      <c r="T126" s="65">
        <v>2078</v>
      </c>
      <c r="U126" s="65" t="s">
        <v>955</v>
      </c>
      <c r="V126" s="65">
        <v>3782047</v>
      </c>
      <c r="W126" s="65" t="s">
        <v>955</v>
      </c>
      <c r="X126" s="69">
        <v>20</v>
      </c>
    </row>
    <row r="127" spans="1:24">
      <c r="A127" s="60" t="s">
        <v>946</v>
      </c>
      <c r="B127" s="60" t="s">
        <v>429</v>
      </c>
      <c r="C127" s="60" t="s">
        <v>430</v>
      </c>
      <c r="D127" s="60" t="s">
        <v>431</v>
      </c>
      <c r="E127" s="61" t="s">
        <v>46</v>
      </c>
      <c r="F127" s="62" t="s">
        <v>46</v>
      </c>
      <c r="G127" s="63" t="s">
        <v>46</v>
      </c>
      <c r="H127" s="64"/>
      <c r="I127" s="64" t="s">
        <v>47</v>
      </c>
      <c r="J127" s="65">
        <v>1</v>
      </c>
      <c r="K127" s="66">
        <v>18360</v>
      </c>
      <c r="L127" s="67" t="s">
        <v>853</v>
      </c>
      <c r="M127" s="66">
        <v>18450</v>
      </c>
      <c r="N127" s="67" t="s">
        <v>371</v>
      </c>
      <c r="O127" s="66">
        <v>17420</v>
      </c>
      <c r="P127" s="67" t="s">
        <v>77</v>
      </c>
      <c r="Q127" s="66">
        <v>18060</v>
      </c>
      <c r="R127" s="67" t="s">
        <v>50</v>
      </c>
      <c r="S127" s="68">
        <v>18039.05</v>
      </c>
      <c r="T127" s="65">
        <v>212579</v>
      </c>
      <c r="U127" s="65">
        <v>145002</v>
      </c>
      <c r="V127" s="65">
        <v>3833738888</v>
      </c>
      <c r="W127" s="65">
        <v>2616450818</v>
      </c>
      <c r="X127" s="69">
        <v>21</v>
      </c>
    </row>
    <row r="128" spans="1:24">
      <c r="A128" s="60" t="s">
        <v>946</v>
      </c>
      <c r="B128" s="60" t="s">
        <v>432</v>
      </c>
      <c r="C128" s="60" t="s">
        <v>433</v>
      </c>
      <c r="D128" s="60" t="s">
        <v>434</v>
      </c>
      <c r="E128" s="61" t="s">
        <v>46</v>
      </c>
      <c r="F128" s="62" t="s">
        <v>46</v>
      </c>
      <c r="G128" s="63" t="s">
        <v>46</v>
      </c>
      <c r="H128" s="64"/>
      <c r="I128" s="64" t="s">
        <v>47</v>
      </c>
      <c r="J128" s="65">
        <v>1</v>
      </c>
      <c r="K128" s="66">
        <v>1675</v>
      </c>
      <c r="L128" s="67" t="s">
        <v>853</v>
      </c>
      <c r="M128" s="66">
        <v>1700</v>
      </c>
      <c r="N128" s="67" t="s">
        <v>176</v>
      </c>
      <c r="O128" s="66">
        <v>1602</v>
      </c>
      <c r="P128" s="67" t="s">
        <v>77</v>
      </c>
      <c r="Q128" s="66">
        <v>1670</v>
      </c>
      <c r="R128" s="67" t="s">
        <v>50</v>
      </c>
      <c r="S128" s="68">
        <v>1662</v>
      </c>
      <c r="T128" s="65">
        <v>140523</v>
      </c>
      <c r="U128" s="65">
        <v>13</v>
      </c>
      <c r="V128" s="65">
        <v>229556710</v>
      </c>
      <c r="W128" s="65">
        <v>21727</v>
      </c>
      <c r="X128" s="69">
        <v>21</v>
      </c>
    </row>
    <row r="129" spans="1:24">
      <c r="A129" s="60" t="s">
        <v>946</v>
      </c>
      <c r="B129" s="60" t="s">
        <v>435</v>
      </c>
      <c r="C129" s="60" t="s">
        <v>436</v>
      </c>
      <c r="D129" s="60" t="s">
        <v>437</v>
      </c>
      <c r="E129" s="61" t="s">
        <v>46</v>
      </c>
      <c r="F129" s="62" t="s">
        <v>46</v>
      </c>
      <c r="G129" s="63" t="s">
        <v>46</v>
      </c>
      <c r="H129" s="64"/>
      <c r="I129" s="64" t="s">
        <v>47</v>
      </c>
      <c r="J129" s="65">
        <v>1</v>
      </c>
      <c r="K129" s="66">
        <v>18670</v>
      </c>
      <c r="L129" s="67" t="s">
        <v>853</v>
      </c>
      <c r="M129" s="66">
        <v>18990</v>
      </c>
      <c r="N129" s="67" t="s">
        <v>371</v>
      </c>
      <c r="O129" s="66">
        <v>17920</v>
      </c>
      <c r="P129" s="67" t="s">
        <v>84</v>
      </c>
      <c r="Q129" s="66">
        <v>18590</v>
      </c>
      <c r="R129" s="67" t="s">
        <v>50</v>
      </c>
      <c r="S129" s="68">
        <v>18534.29</v>
      </c>
      <c r="T129" s="65">
        <v>30993</v>
      </c>
      <c r="U129" s="65">
        <v>2</v>
      </c>
      <c r="V129" s="65">
        <v>572386290</v>
      </c>
      <c r="W129" s="65">
        <v>36340</v>
      </c>
      <c r="X129" s="69">
        <v>21</v>
      </c>
    </row>
    <row r="130" spans="1:24">
      <c r="A130" s="60" t="s">
        <v>946</v>
      </c>
      <c r="B130" s="60" t="s">
        <v>438</v>
      </c>
      <c r="C130" s="60" t="s">
        <v>439</v>
      </c>
      <c r="D130" s="60" t="s">
        <v>440</v>
      </c>
      <c r="E130" s="61" t="s">
        <v>46</v>
      </c>
      <c r="F130" s="62" t="s">
        <v>46</v>
      </c>
      <c r="G130" s="63" t="s">
        <v>46</v>
      </c>
      <c r="H130" s="64"/>
      <c r="I130" s="64" t="s">
        <v>47</v>
      </c>
      <c r="J130" s="65">
        <v>10</v>
      </c>
      <c r="K130" s="66">
        <v>2126</v>
      </c>
      <c r="L130" s="67" t="s">
        <v>853</v>
      </c>
      <c r="M130" s="66">
        <v>2139</v>
      </c>
      <c r="N130" s="67" t="s">
        <v>613</v>
      </c>
      <c r="O130" s="66">
        <v>2032</v>
      </c>
      <c r="P130" s="67" t="s">
        <v>84</v>
      </c>
      <c r="Q130" s="66">
        <v>2122</v>
      </c>
      <c r="R130" s="67" t="s">
        <v>50</v>
      </c>
      <c r="S130" s="68">
        <v>2104.29</v>
      </c>
      <c r="T130" s="65">
        <v>916090</v>
      </c>
      <c r="U130" s="65">
        <v>247930</v>
      </c>
      <c r="V130" s="65">
        <v>1916282656</v>
      </c>
      <c r="W130" s="65">
        <v>514589846</v>
      </c>
      <c r="X130" s="69">
        <v>21</v>
      </c>
    </row>
    <row r="131" spans="1:24">
      <c r="A131" s="60" t="s">
        <v>946</v>
      </c>
      <c r="B131" s="60" t="s">
        <v>441</v>
      </c>
      <c r="C131" s="60" t="s">
        <v>442</v>
      </c>
      <c r="D131" s="60" t="s">
        <v>443</v>
      </c>
      <c r="E131" s="61" t="s">
        <v>46</v>
      </c>
      <c r="F131" s="62" t="s">
        <v>46</v>
      </c>
      <c r="G131" s="63" t="s">
        <v>46</v>
      </c>
      <c r="H131" s="64"/>
      <c r="I131" s="64" t="s">
        <v>47</v>
      </c>
      <c r="J131" s="65">
        <v>10</v>
      </c>
      <c r="K131" s="66">
        <v>1752</v>
      </c>
      <c r="L131" s="67" t="s">
        <v>853</v>
      </c>
      <c r="M131" s="66">
        <v>1765</v>
      </c>
      <c r="N131" s="67" t="s">
        <v>69</v>
      </c>
      <c r="O131" s="66">
        <v>1714</v>
      </c>
      <c r="P131" s="67" t="s">
        <v>875</v>
      </c>
      <c r="Q131" s="66">
        <v>1765</v>
      </c>
      <c r="R131" s="67" t="s">
        <v>69</v>
      </c>
      <c r="S131" s="68">
        <v>1738.8</v>
      </c>
      <c r="T131" s="65">
        <v>210</v>
      </c>
      <c r="U131" s="65" t="s">
        <v>955</v>
      </c>
      <c r="V131" s="65">
        <v>363960</v>
      </c>
      <c r="W131" s="65" t="s">
        <v>955</v>
      </c>
      <c r="X131" s="69">
        <v>5</v>
      </c>
    </row>
    <row r="132" spans="1:24">
      <c r="A132" s="60" t="s">
        <v>946</v>
      </c>
      <c r="B132" s="60" t="s">
        <v>444</v>
      </c>
      <c r="C132" s="60" t="s">
        <v>445</v>
      </c>
      <c r="D132" s="60" t="s">
        <v>446</v>
      </c>
      <c r="E132" s="61" t="s">
        <v>46</v>
      </c>
      <c r="F132" s="62" t="s">
        <v>46</v>
      </c>
      <c r="G132" s="63" t="s">
        <v>46</v>
      </c>
      <c r="H132" s="64"/>
      <c r="I132" s="64" t="s">
        <v>47</v>
      </c>
      <c r="J132" s="65">
        <v>10</v>
      </c>
      <c r="K132" s="66">
        <v>2131</v>
      </c>
      <c r="L132" s="67" t="s">
        <v>853</v>
      </c>
      <c r="M132" s="66">
        <v>2155</v>
      </c>
      <c r="N132" s="67" t="s">
        <v>613</v>
      </c>
      <c r="O132" s="66">
        <v>2030</v>
      </c>
      <c r="P132" s="67" t="s">
        <v>84</v>
      </c>
      <c r="Q132" s="66">
        <v>2139</v>
      </c>
      <c r="R132" s="67" t="s">
        <v>50</v>
      </c>
      <c r="S132" s="68">
        <v>2114.48</v>
      </c>
      <c r="T132" s="65">
        <v>1814810</v>
      </c>
      <c r="U132" s="65">
        <v>33320</v>
      </c>
      <c r="V132" s="65">
        <v>3791857542</v>
      </c>
      <c r="W132" s="65">
        <v>70026432</v>
      </c>
      <c r="X132" s="69">
        <v>21</v>
      </c>
    </row>
    <row r="133" spans="1:24">
      <c r="A133" s="60" t="s">
        <v>946</v>
      </c>
      <c r="B133" s="60" t="s">
        <v>450</v>
      </c>
      <c r="C133" s="60" t="s">
        <v>451</v>
      </c>
      <c r="D133" s="60" t="s">
        <v>452</v>
      </c>
      <c r="E133" s="61" t="s">
        <v>46</v>
      </c>
      <c r="F133" s="62" t="s">
        <v>46</v>
      </c>
      <c r="G133" s="63" t="s">
        <v>46</v>
      </c>
      <c r="H133" s="64"/>
      <c r="I133" s="64" t="s">
        <v>47</v>
      </c>
      <c r="J133" s="65">
        <v>1</v>
      </c>
      <c r="K133" s="66">
        <v>18500</v>
      </c>
      <c r="L133" s="67" t="s">
        <v>853</v>
      </c>
      <c r="M133" s="66">
        <v>18840</v>
      </c>
      <c r="N133" s="67" t="s">
        <v>371</v>
      </c>
      <c r="O133" s="66">
        <v>17780</v>
      </c>
      <c r="P133" s="67" t="s">
        <v>77</v>
      </c>
      <c r="Q133" s="66">
        <v>18430</v>
      </c>
      <c r="R133" s="67" t="s">
        <v>50</v>
      </c>
      <c r="S133" s="68">
        <v>18331.05</v>
      </c>
      <c r="T133" s="65">
        <v>5890</v>
      </c>
      <c r="U133" s="65" t="s">
        <v>955</v>
      </c>
      <c r="V133" s="65">
        <v>107111810</v>
      </c>
      <c r="W133" s="65" t="s">
        <v>955</v>
      </c>
      <c r="X133" s="69">
        <v>19</v>
      </c>
    </row>
    <row r="134" spans="1:24">
      <c r="A134" s="60" t="s">
        <v>946</v>
      </c>
      <c r="B134" s="60" t="s">
        <v>453</v>
      </c>
      <c r="C134" s="60" t="s">
        <v>454</v>
      </c>
      <c r="D134" s="60" t="s">
        <v>455</v>
      </c>
      <c r="E134" s="61" t="s">
        <v>46</v>
      </c>
      <c r="F134" s="62" t="s">
        <v>46</v>
      </c>
      <c r="G134" s="63" t="s">
        <v>46</v>
      </c>
      <c r="H134" s="64"/>
      <c r="I134" s="64" t="s">
        <v>47</v>
      </c>
      <c r="J134" s="65">
        <v>100</v>
      </c>
      <c r="K134" s="66">
        <v>154</v>
      </c>
      <c r="L134" s="67" t="s">
        <v>853</v>
      </c>
      <c r="M134" s="66">
        <v>159</v>
      </c>
      <c r="N134" s="67" t="s">
        <v>875</v>
      </c>
      <c r="O134" s="66">
        <v>148</v>
      </c>
      <c r="P134" s="67" t="s">
        <v>50</v>
      </c>
      <c r="Q134" s="66">
        <v>149</v>
      </c>
      <c r="R134" s="67" t="s">
        <v>50</v>
      </c>
      <c r="S134" s="68">
        <v>154.29</v>
      </c>
      <c r="T134" s="65">
        <v>80353800</v>
      </c>
      <c r="U134" s="65">
        <v>19100</v>
      </c>
      <c r="V134" s="65">
        <v>12409001300</v>
      </c>
      <c r="W134" s="65">
        <v>2985200</v>
      </c>
      <c r="X134" s="69">
        <v>21</v>
      </c>
    </row>
    <row r="135" spans="1:24">
      <c r="A135" s="60" t="s">
        <v>946</v>
      </c>
      <c r="B135" s="60" t="s">
        <v>456</v>
      </c>
      <c r="C135" s="60" t="s">
        <v>457</v>
      </c>
      <c r="D135" s="60" t="s">
        <v>458</v>
      </c>
      <c r="E135" s="61" t="s">
        <v>46</v>
      </c>
      <c r="F135" s="62" t="s">
        <v>46</v>
      </c>
      <c r="G135" s="63" t="s">
        <v>46</v>
      </c>
      <c r="H135" s="64"/>
      <c r="I135" s="64" t="s">
        <v>47</v>
      </c>
      <c r="J135" s="65">
        <v>1</v>
      </c>
      <c r="K135" s="66">
        <v>29160</v>
      </c>
      <c r="L135" s="67" t="s">
        <v>853</v>
      </c>
      <c r="M135" s="66">
        <v>30000</v>
      </c>
      <c r="N135" s="67" t="s">
        <v>100</v>
      </c>
      <c r="O135" s="66">
        <v>28420</v>
      </c>
      <c r="P135" s="67" t="s">
        <v>176</v>
      </c>
      <c r="Q135" s="66">
        <v>29060</v>
      </c>
      <c r="R135" s="67" t="s">
        <v>50</v>
      </c>
      <c r="S135" s="68">
        <v>29141.58</v>
      </c>
      <c r="T135" s="65">
        <v>1080</v>
      </c>
      <c r="U135" s="65" t="s">
        <v>955</v>
      </c>
      <c r="V135" s="65">
        <v>31450720</v>
      </c>
      <c r="W135" s="65" t="s">
        <v>955</v>
      </c>
      <c r="X135" s="69">
        <v>19</v>
      </c>
    </row>
    <row r="136" spans="1:24">
      <c r="A136" s="60" t="s">
        <v>946</v>
      </c>
      <c r="B136" s="60" t="s">
        <v>459</v>
      </c>
      <c r="C136" s="60" t="s">
        <v>460</v>
      </c>
      <c r="D136" s="60" t="s">
        <v>461</v>
      </c>
      <c r="E136" s="61" t="s">
        <v>46</v>
      </c>
      <c r="F136" s="62" t="s">
        <v>46</v>
      </c>
      <c r="G136" s="63" t="s">
        <v>46</v>
      </c>
      <c r="H136" s="64"/>
      <c r="I136" s="64" t="s">
        <v>47</v>
      </c>
      <c r="J136" s="65">
        <v>1</v>
      </c>
      <c r="K136" s="66">
        <v>10450</v>
      </c>
      <c r="L136" s="67" t="s">
        <v>853</v>
      </c>
      <c r="M136" s="66">
        <v>11500</v>
      </c>
      <c r="N136" s="67" t="s">
        <v>100</v>
      </c>
      <c r="O136" s="66">
        <v>10380</v>
      </c>
      <c r="P136" s="67" t="s">
        <v>853</v>
      </c>
      <c r="Q136" s="66">
        <v>10900</v>
      </c>
      <c r="R136" s="67" t="s">
        <v>50</v>
      </c>
      <c r="S136" s="68">
        <v>11047.62</v>
      </c>
      <c r="T136" s="65">
        <v>15991</v>
      </c>
      <c r="U136" s="65">
        <v>2</v>
      </c>
      <c r="V136" s="65">
        <v>176694930</v>
      </c>
      <c r="W136" s="65">
        <v>22050</v>
      </c>
      <c r="X136" s="69">
        <v>21</v>
      </c>
    </row>
    <row r="137" spans="1:24">
      <c r="A137" s="60" t="s">
        <v>946</v>
      </c>
      <c r="B137" s="60" t="s">
        <v>462</v>
      </c>
      <c r="C137" s="60" t="s">
        <v>463</v>
      </c>
      <c r="D137" s="60" t="s">
        <v>464</v>
      </c>
      <c r="E137" s="61" t="s">
        <v>46</v>
      </c>
      <c r="F137" s="62" t="s">
        <v>46</v>
      </c>
      <c r="G137" s="63" t="s">
        <v>46</v>
      </c>
      <c r="H137" s="64"/>
      <c r="I137" s="64" t="s">
        <v>47</v>
      </c>
      <c r="J137" s="65">
        <v>1</v>
      </c>
      <c r="K137" s="66">
        <v>22410</v>
      </c>
      <c r="L137" s="67" t="s">
        <v>853</v>
      </c>
      <c r="M137" s="66">
        <v>23000</v>
      </c>
      <c r="N137" s="67" t="s">
        <v>371</v>
      </c>
      <c r="O137" s="66">
        <v>21830</v>
      </c>
      <c r="P137" s="67" t="s">
        <v>84</v>
      </c>
      <c r="Q137" s="66">
        <v>22450</v>
      </c>
      <c r="R137" s="67" t="s">
        <v>50</v>
      </c>
      <c r="S137" s="68">
        <v>22484</v>
      </c>
      <c r="T137" s="65">
        <v>1213</v>
      </c>
      <c r="U137" s="65" t="s">
        <v>955</v>
      </c>
      <c r="V137" s="65">
        <v>27335750</v>
      </c>
      <c r="W137" s="65" t="s">
        <v>955</v>
      </c>
      <c r="X137" s="69">
        <v>20</v>
      </c>
    </row>
    <row r="138" spans="1:24">
      <c r="A138" s="60" t="s">
        <v>946</v>
      </c>
      <c r="B138" s="60" t="s">
        <v>465</v>
      </c>
      <c r="C138" s="60" t="s">
        <v>466</v>
      </c>
      <c r="D138" s="60" t="s">
        <v>467</v>
      </c>
      <c r="E138" s="61" t="s">
        <v>46</v>
      </c>
      <c r="F138" s="62" t="s">
        <v>46</v>
      </c>
      <c r="G138" s="63" t="s">
        <v>46</v>
      </c>
      <c r="H138" s="64"/>
      <c r="I138" s="64" t="s">
        <v>47</v>
      </c>
      <c r="J138" s="65">
        <v>1</v>
      </c>
      <c r="K138" s="66">
        <v>27860</v>
      </c>
      <c r="L138" s="67" t="s">
        <v>853</v>
      </c>
      <c r="M138" s="66">
        <v>28250</v>
      </c>
      <c r="N138" s="67" t="s">
        <v>100</v>
      </c>
      <c r="O138" s="66">
        <v>26730</v>
      </c>
      <c r="P138" s="67" t="s">
        <v>84</v>
      </c>
      <c r="Q138" s="66">
        <v>27730</v>
      </c>
      <c r="R138" s="67" t="s">
        <v>50</v>
      </c>
      <c r="S138" s="68">
        <v>27514.5</v>
      </c>
      <c r="T138" s="65">
        <v>1808</v>
      </c>
      <c r="U138" s="65" t="s">
        <v>955</v>
      </c>
      <c r="V138" s="65">
        <v>49501790</v>
      </c>
      <c r="W138" s="65" t="s">
        <v>955</v>
      </c>
      <c r="X138" s="69">
        <v>20</v>
      </c>
    </row>
    <row r="139" spans="1:24">
      <c r="A139" s="60" t="s">
        <v>946</v>
      </c>
      <c r="B139" s="60" t="s">
        <v>468</v>
      </c>
      <c r="C139" s="60" t="s">
        <v>469</v>
      </c>
      <c r="D139" s="60" t="s">
        <v>470</v>
      </c>
      <c r="E139" s="61" t="s">
        <v>46</v>
      </c>
      <c r="F139" s="62" t="s">
        <v>46</v>
      </c>
      <c r="G139" s="63" t="s">
        <v>46</v>
      </c>
      <c r="H139" s="64"/>
      <c r="I139" s="64" t="s">
        <v>47</v>
      </c>
      <c r="J139" s="65">
        <v>1</v>
      </c>
      <c r="K139" s="66">
        <v>24280</v>
      </c>
      <c r="L139" s="67" t="s">
        <v>853</v>
      </c>
      <c r="M139" s="66">
        <v>24280</v>
      </c>
      <c r="N139" s="67" t="s">
        <v>853</v>
      </c>
      <c r="O139" s="66">
        <v>22920</v>
      </c>
      <c r="P139" s="67" t="s">
        <v>268</v>
      </c>
      <c r="Q139" s="66">
        <v>23120</v>
      </c>
      <c r="R139" s="67" t="s">
        <v>50</v>
      </c>
      <c r="S139" s="68">
        <v>23336.67</v>
      </c>
      <c r="T139" s="65">
        <v>3925</v>
      </c>
      <c r="U139" s="65" t="s">
        <v>955</v>
      </c>
      <c r="V139" s="65">
        <v>91570520</v>
      </c>
      <c r="W139" s="65" t="s">
        <v>955</v>
      </c>
      <c r="X139" s="69">
        <v>21</v>
      </c>
    </row>
    <row r="140" spans="1:24">
      <c r="A140" s="60" t="s">
        <v>946</v>
      </c>
      <c r="B140" s="60" t="s">
        <v>471</v>
      </c>
      <c r="C140" s="60" t="s">
        <v>472</v>
      </c>
      <c r="D140" s="60" t="s">
        <v>473</v>
      </c>
      <c r="E140" s="61" t="s">
        <v>46</v>
      </c>
      <c r="F140" s="62" t="s">
        <v>46</v>
      </c>
      <c r="G140" s="63" t="s">
        <v>46</v>
      </c>
      <c r="H140" s="64"/>
      <c r="I140" s="64" t="s">
        <v>47</v>
      </c>
      <c r="J140" s="65">
        <v>1</v>
      </c>
      <c r="K140" s="66">
        <v>23570</v>
      </c>
      <c r="L140" s="67" t="s">
        <v>853</v>
      </c>
      <c r="M140" s="66">
        <v>24710</v>
      </c>
      <c r="N140" s="67" t="s">
        <v>100</v>
      </c>
      <c r="O140" s="66">
        <v>22300</v>
      </c>
      <c r="P140" s="67" t="s">
        <v>77</v>
      </c>
      <c r="Q140" s="66">
        <v>23970</v>
      </c>
      <c r="R140" s="67" t="s">
        <v>50</v>
      </c>
      <c r="S140" s="68">
        <v>23731.9</v>
      </c>
      <c r="T140" s="65">
        <v>2297</v>
      </c>
      <c r="U140" s="65" t="s">
        <v>955</v>
      </c>
      <c r="V140" s="65">
        <v>54590860</v>
      </c>
      <c r="W140" s="65" t="s">
        <v>955</v>
      </c>
      <c r="X140" s="69">
        <v>21</v>
      </c>
    </row>
    <row r="141" spans="1:24">
      <c r="A141" s="60" t="s">
        <v>946</v>
      </c>
      <c r="B141" s="60" t="s">
        <v>474</v>
      </c>
      <c r="C141" s="60" t="s">
        <v>475</v>
      </c>
      <c r="D141" s="60" t="s">
        <v>476</v>
      </c>
      <c r="E141" s="61" t="s">
        <v>46</v>
      </c>
      <c r="F141" s="62" t="s">
        <v>46</v>
      </c>
      <c r="G141" s="63" t="s">
        <v>46</v>
      </c>
      <c r="H141" s="64"/>
      <c r="I141" s="64" t="s">
        <v>47</v>
      </c>
      <c r="J141" s="65">
        <v>1</v>
      </c>
      <c r="K141" s="66">
        <v>16140</v>
      </c>
      <c r="L141" s="67" t="s">
        <v>853</v>
      </c>
      <c r="M141" s="66">
        <v>17050</v>
      </c>
      <c r="N141" s="67" t="s">
        <v>240</v>
      </c>
      <c r="O141" s="66">
        <v>15430</v>
      </c>
      <c r="P141" s="67" t="s">
        <v>84</v>
      </c>
      <c r="Q141" s="66">
        <v>16560</v>
      </c>
      <c r="R141" s="67" t="s">
        <v>50</v>
      </c>
      <c r="S141" s="68">
        <v>16350.95</v>
      </c>
      <c r="T141" s="65">
        <v>5593</v>
      </c>
      <c r="U141" s="65" t="s">
        <v>955</v>
      </c>
      <c r="V141" s="65">
        <v>91628760</v>
      </c>
      <c r="W141" s="65" t="s">
        <v>955</v>
      </c>
      <c r="X141" s="69">
        <v>21</v>
      </c>
    </row>
    <row r="142" spans="1:24">
      <c r="A142" s="60" t="s">
        <v>946</v>
      </c>
      <c r="B142" s="60" t="s">
        <v>477</v>
      </c>
      <c r="C142" s="60" t="s">
        <v>478</v>
      </c>
      <c r="D142" s="60" t="s">
        <v>479</v>
      </c>
      <c r="E142" s="61" t="s">
        <v>46</v>
      </c>
      <c r="F142" s="62" t="s">
        <v>46</v>
      </c>
      <c r="G142" s="63" t="s">
        <v>46</v>
      </c>
      <c r="H142" s="64"/>
      <c r="I142" s="64" t="s">
        <v>47</v>
      </c>
      <c r="J142" s="65">
        <v>1</v>
      </c>
      <c r="K142" s="66">
        <v>41000</v>
      </c>
      <c r="L142" s="67" t="s">
        <v>853</v>
      </c>
      <c r="M142" s="66">
        <v>41750</v>
      </c>
      <c r="N142" s="67" t="s">
        <v>371</v>
      </c>
      <c r="O142" s="66">
        <v>38200</v>
      </c>
      <c r="P142" s="67" t="s">
        <v>84</v>
      </c>
      <c r="Q142" s="66">
        <v>40950</v>
      </c>
      <c r="R142" s="67" t="s">
        <v>50</v>
      </c>
      <c r="S142" s="68">
        <v>40300</v>
      </c>
      <c r="T142" s="65">
        <v>3229</v>
      </c>
      <c r="U142" s="65" t="s">
        <v>955</v>
      </c>
      <c r="V142" s="65">
        <v>129130450</v>
      </c>
      <c r="W142" s="65" t="s">
        <v>955</v>
      </c>
      <c r="X142" s="69">
        <v>21</v>
      </c>
    </row>
    <row r="143" spans="1:24">
      <c r="A143" s="60" t="s">
        <v>946</v>
      </c>
      <c r="B143" s="60" t="s">
        <v>480</v>
      </c>
      <c r="C143" s="60" t="s">
        <v>481</v>
      </c>
      <c r="D143" s="60" t="s">
        <v>482</v>
      </c>
      <c r="E143" s="61" t="s">
        <v>46</v>
      </c>
      <c r="F143" s="62" t="s">
        <v>46</v>
      </c>
      <c r="G143" s="63" t="s">
        <v>46</v>
      </c>
      <c r="H143" s="64"/>
      <c r="I143" s="64" t="s">
        <v>47</v>
      </c>
      <c r="J143" s="65">
        <v>1</v>
      </c>
      <c r="K143" s="66">
        <v>30500</v>
      </c>
      <c r="L143" s="67" t="s">
        <v>853</v>
      </c>
      <c r="M143" s="66">
        <v>31400</v>
      </c>
      <c r="N143" s="67" t="s">
        <v>371</v>
      </c>
      <c r="O143" s="66">
        <v>28620</v>
      </c>
      <c r="P143" s="67" t="s">
        <v>84</v>
      </c>
      <c r="Q143" s="66">
        <v>30650</v>
      </c>
      <c r="R143" s="67" t="s">
        <v>50</v>
      </c>
      <c r="S143" s="68">
        <v>30153.33</v>
      </c>
      <c r="T143" s="65">
        <v>5022</v>
      </c>
      <c r="U143" s="65">
        <v>2</v>
      </c>
      <c r="V143" s="65">
        <v>150700280</v>
      </c>
      <c r="W143" s="65">
        <v>57800</v>
      </c>
      <c r="X143" s="69">
        <v>21</v>
      </c>
    </row>
    <row r="144" spans="1:24">
      <c r="A144" s="60" t="s">
        <v>946</v>
      </c>
      <c r="B144" s="60" t="s">
        <v>483</v>
      </c>
      <c r="C144" s="60" t="s">
        <v>484</v>
      </c>
      <c r="D144" s="60" t="s">
        <v>485</v>
      </c>
      <c r="E144" s="61" t="s">
        <v>46</v>
      </c>
      <c r="F144" s="62" t="s">
        <v>46</v>
      </c>
      <c r="G144" s="63" t="s">
        <v>46</v>
      </c>
      <c r="H144" s="64"/>
      <c r="I144" s="64" t="s">
        <v>47</v>
      </c>
      <c r="J144" s="65">
        <v>1</v>
      </c>
      <c r="K144" s="66">
        <v>30400</v>
      </c>
      <c r="L144" s="67" t="s">
        <v>853</v>
      </c>
      <c r="M144" s="66">
        <v>31000</v>
      </c>
      <c r="N144" s="67" t="s">
        <v>371</v>
      </c>
      <c r="O144" s="66">
        <v>29090</v>
      </c>
      <c r="P144" s="67" t="s">
        <v>84</v>
      </c>
      <c r="Q144" s="66">
        <v>30650</v>
      </c>
      <c r="R144" s="67" t="s">
        <v>50</v>
      </c>
      <c r="S144" s="68">
        <v>30280</v>
      </c>
      <c r="T144" s="65">
        <v>1604</v>
      </c>
      <c r="U144" s="65" t="s">
        <v>955</v>
      </c>
      <c r="V144" s="65">
        <v>48568070</v>
      </c>
      <c r="W144" s="65" t="s">
        <v>955</v>
      </c>
      <c r="X144" s="69">
        <v>21</v>
      </c>
    </row>
    <row r="145" spans="1:24">
      <c r="A145" s="60" t="s">
        <v>946</v>
      </c>
      <c r="B145" s="60" t="s">
        <v>486</v>
      </c>
      <c r="C145" s="60" t="s">
        <v>487</v>
      </c>
      <c r="D145" s="60" t="s">
        <v>488</v>
      </c>
      <c r="E145" s="61" t="s">
        <v>46</v>
      </c>
      <c r="F145" s="62" t="s">
        <v>46</v>
      </c>
      <c r="G145" s="63" t="s">
        <v>46</v>
      </c>
      <c r="H145" s="64"/>
      <c r="I145" s="64" t="s">
        <v>47</v>
      </c>
      <c r="J145" s="65">
        <v>1</v>
      </c>
      <c r="K145" s="66">
        <v>5930</v>
      </c>
      <c r="L145" s="67" t="s">
        <v>853</v>
      </c>
      <c r="M145" s="66">
        <v>6130</v>
      </c>
      <c r="N145" s="67" t="s">
        <v>172</v>
      </c>
      <c r="O145" s="66">
        <v>5410</v>
      </c>
      <c r="P145" s="67" t="s">
        <v>88</v>
      </c>
      <c r="Q145" s="66">
        <v>5480</v>
      </c>
      <c r="R145" s="67" t="s">
        <v>50</v>
      </c>
      <c r="S145" s="68">
        <v>5778.1</v>
      </c>
      <c r="T145" s="65">
        <v>21142</v>
      </c>
      <c r="U145" s="65">
        <v>1</v>
      </c>
      <c r="V145" s="65">
        <v>121986680</v>
      </c>
      <c r="W145" s="65">
        <v>5320</v>
      </c>
      <c r="X145" s="69">
        <v>21</v>
      </c>
    </row>
    <row r="146" spans="1:24">
      <c r="A146" s="60" t="s">
        <v>946</v>
      </c>
      <c r="B146" s="60" t="s">
        <v>489</v>
      </c>
      <c r="C146" s="60" t="s">
        <v>490</v>
      </c>
      <c r="D146" s="60" t="s">
        <v>491</v>
      </c>
      <c r="E146" s="61" t="s">
        <v>46</v>
      </c>
      <c r="F146" s="62" t="s">
        <v>46</v>
      </c>
      <c r="G146" s="63" t="s">
        <v>46</v>
      </c>
      <c r="H146" s="64"/>
      <c r="I146" s="64" t="s">
        <v>47</v>
      </c>
      <c r="J146" s="65">
        <v>1</v>
      </c>
      <c r="K146" s="66">
        <v>15890</v>
      </c>
      <c r="L146" s="67" t="s">
        <v>853</v>
      </c>
      <c r="M146" s="66">
        <v>16080</v>
      </c>
      <c r="N146" s="67" t="s">
        <v>48</v>
      </c>
      <c r="O146" s="66">
        <v>14900</v>
      </c>
      <c r="P146" s="67" t="s">
        <v>49</v>
      </c>
      <c r="Q146" s="66">
        <v>15140</v>
      </c>
      <c r="R146" s="67" t="s">
        <v>50</v>
      </c>
      <c r="S146" s="68">
        <v>15302.86</v>
      </c>
      <c r="T146" s="65">
        <v>28117</v>
      </c>
      <c r="U146" s="65" t="s">
        <v>955</v>
      </c>
      <c r="V146" s="65">
        <v>430965670</v>
      </c>
      <c r="W146" s="65" t="s">
        <v>955</v>
      </c>
      <c r="X146" s="69">
        <v>21</v>
      </c>
    </row>
    <row r="147" spans="1:24">
      <c r="A147" s="60" t="s">
        <v>946</v>
      </c>
      <c r="B147" s="60" t="s">
        <v>492</v>
      </c>
      <c r="C147" s="60" t="s">
        <v>493</v>
      </c>
      <c r="D147" s="60" t="s">
        <v>494</v>
      </c>
      <c r="E147" s="61" t="s">
        <v>46</v>
      </c>
      <c r="F147" s="62" t="s">
        <v>46</v>
      </c>
      <c r="G147" s="63" t="s">
        <v>46</v>
      </c>
      <c r="H147" s="64"/>
      <c r="I147" s="64" t="s">
        <v>47</v>
      </c>
      <c r="J147" s="65">
        <v>1</v>
      </c>
      <c r="K147" s="66">
        <v>39400</v>
      </c>
      <c r="L147" s="67" t="s">
        <v>853</v>
      </c>
      <c r="M147" s="66">
        <v>41350</v>
      </c>
      <c r="N147" s="67" t="s">
        <v>613</v>
      </c>
      <c r="O147" s="66">
        <v>38400</v>
      </c>
      <c r="P147" s="67" t="s">
        <v>84</v>
      </c>
      <c r="Q147" s="66">
        <v>40350</v>
      </c>
      <c r="R147" s="67" t="s">
        <v>50</v>
      </c>
      <c r="S147" s="68">
        <v>40104.76</v>
      </c>
      <c r="T147" s="65">
        <v>7055</v>
      </c>
      <c r="U147" s="65">
        <v>1</v>
      </c>
      <c r="V147" s="65">
        <v>282697200</v>
      </c>
      <c r="W147" s="65">
        <v>40250</v>
      </c>
      <c r="X147" s="69">
        <v>21</v>
      </c>
    </row>
    <row r="148" spans="1:24">
      <c r="A148" s="60" t="s">
        <v>946</v>
      </c>
      <c r="B148" s="60" t="s">
        <v>495</v>
      </c>
      <c r="C148" s="60" t="s">
        <v>496</v>
      </c>
      <c r="D148" s="60" t="s">
        <v>497</v>
      </c>
      <c r="E148" s="61" t="s">
        <v>46</v>
      </c>
      <c r="F148" s="62" t="s">
        <v>46</v>
      </c>
      <c r="G148" s="63" t="s">
        <v>46</v>
      </c>
      <c r="H148" s="64"/>
      <c r="I148" s="64" t="s">
        <v>47</v>
      </c>
      <c r="J148" s="65">
        <v>1</v>
      </c>
      <c r="K148" s="66">
        <v>23700</v>
      </c>
      <c r="L148" s="67" t="s">
        <v>853</v>
      </c>
      <c r="M148" s="66">
        <v>23740</v>
      </c>
      <c r="N148" s="67" t="s">
        <v>48</v>
      </c>
      <c r="O148" s="66">
        <v>22530</v>
      </c>
      <c r="P148" s="67" t="s">
        <v>176</v>
      </c>
      <c r="Q148" s="66">
        <v>22740</v>
      </c>
      <c r="R148" s="67" t="s">
        <v>50</v>
      </c>
      <c r="S148" s="68">
        <v>22975.24</v>
      </c>
      <c r="T148" s="65">
        <v>1195</v>
      </c>
      <c r="U148" s="65" t="s">
        <v>955</v>
      </c>
      <c r="V148" s="65">
        <v>27352130</v>
      </c>
      <c r="W148" s="65" t="s">
        <v>955</v>
      </c>
      <c r="X148" s="69">
        <v>21</v>
      </c>
    </row>
    <row r="149" spans="1:24">
      <c r="A149" s="60" t="s">
        <v>946</v>
      </c>
      <c r="B149" s="60" t="s">
        <v>498</v>
      </c>
      <c r="C149" s="60" t="s">
        <v>499</v>
      </c>
      <c r="D149" s="60" t="s">
        <v>500</v>
      </c>
      <c r="E149" s="61" t="s">
        <v>46</v>
      </c>
      <c r="F149" s="62" t="s">
        <v>46</v>
      </c>
      <c r="G149" s="63" t="s">
        <v>46</v>
      </c>
      <c r="H149" s="64"/>
      <c r="I149" s="64" t="s">
        <v>47</v>
      </c>
      <c r="J149" s="65">
        <v>1</v>
      </c>
      <c r="K149" s="66">
        <v>8080</v>
      </c>
      <c r="L149" s="67" t="s">
        <v>853</v>
      </c>
      <c r="M149" s="66">
        <v>8290</v>
      </c>
      <c r="N149" s="67" t="s">
        <v>875</v>
      </c>
      <c r="O149" s="66">
        <v>7770</v>
      </c>
      <c r="P149" s="67" t="s">
        <v>50</v>
      </c>
      <c r="Q149" s="66">
        <v>7820</v>
      </c>
      <c r="R149" s="67" t="s">
        <v>50</v>
      </c>
      <c r="S149" s="68">
        <v>8069.05</v>
      </c>
      <c r="T149" s="65">
        <v>22371</v>
      </c>
      <c r="U149" s="65" t="s">
        <v>955</v>
      </c>
      <c r="V149" s="65">
        <v>180164120</v>
      </c>
      <c r="W149" s="65" t="s">
        <v>955</v>
      </c>
      <c r="X149" s="69">
        <v>21</v>
      </c>
    </row>
    <row r="150" spans="1:24">
      <c r="A150" s="60" t="s">
        <v>946</v>
      </c>
      <c r="B150" s="60" t="s">
        <v>501</v>
      </c>
      <c r="C150" s="60" t="s">
        <v>502</v>
      </c>
      <c r="D150" s="60" t="s">
        <v>503</v>
      </c>
      <c r="E150" s="61" t="s">
        <v>46</v>
      </c>
      <c r="F150" s="62" t="s">
        <v>46</v>
      </c>
      <c r="G150" s="63" t="s">
        <v>46</v>
      </c>
      <c r="H150" s="64"/>
      <c r="I150" s="64" t="s">
        <v>47</v>
      </c>
      <c r="J150" s="65">
        <v>1</v>
      </c>
      <c r="K150" s="66">
        <v>13950</v>
      </c>
      <c r="L150" s="67" t="s">
        <v>853</v>
      </c>
      <c r="M150" s="66">
        <v>14470</v>
      </c>
      <c r="N150" s="67" t="s">
        <v>371</v>
      </c>
      <c r="O150" s="66">
        <v>13810</v>
      </c>
      <c r="P150" s="67" t="s">
        <v>853</v>
      </c>
      <c r="Q150" s="66">
        <v>14030</v>
      </c>
      <c r="R150" s="67" t="s">
        <v>50</v>
      </c>
      <c r="S150" s="68">
        <v>14141.43</v>
      </c>
      <c r="T150" s="65">
        <v>2490</v>
      </c>
      <c r="U150" s="65" t="s">
        <v>955</v>
      </c>
      <c r="V150" s="65">
        <v>35098300</v>
      </c>
      <c r="W150" s="65" t="s">
        <v>955</v>
      </c>
      <c r="X150" s="69">
        <v>21</v>
      </c>
    </row>
    <row r="151" spans="1:24">
      <c r="A151" s="60" t="s">
        <v>946</v>
      </c>
      <c r="B151" s="60" t="s">
        <v>504</v>
      </c>
      <c r="C151" s="60" t="s">
        <v>505</v>
      </c>
      <c r="D151" s="60" t="s">
        <v>506</v>
      </c>
      <c r="E151" s="61" t="s">
        <v>46</v>
      </c>
      <c r="F151" s="62" t="s">
        <v>46</v>
      </c>
      <c r="G151" s="63" t="s">
        <v>46</v>
      </c>
      <c r="H151" s="64"/>
      <c r="I151" s="64" t="s">
        <v>47</v>
      </c>
      <c r="J151" s="65">
        <v>1</v>
      </c>
      <c r="K151" s="66">
        <v>30600</v>
      </c>
      <c r="L151" s="67" t="s">
        <v>853</v>
      </c>
      <c r="M151" s="66">
        <v>30850</v>
      </c>
      <c r="N151" s="67" t="s">
        <v>613</v>
      </c>
      <c r="O151" s="66">
        <v>29410</v>
      </c>
      <c r="P151" s="67" t="s">
        <v>172</v>
      </c>
      <c r="Q151" s="66">
        <v>30050</v>
      </c>
      <c r="R151" s="67" t="s">
        <v>50</v>
      </c>
      <c r="S151" s="68">
        <v>30206.19</v>
      </c>
      <c r="T151" s="65">
        <v>1723</v>
      </c>
      <c r="U151" s="65" t="s">
        <v>955</v>
      </c>
      <c r="V151" s="65">
        <v>51889000</v>
      </c>
      <c r="W151" s="65" t="s">
        <v>955</v>
      </c>
      <c r="X151" s="69">
        <v>21</v>
      </c>
    </row>
    <row r="152" spans="1:24">
      <c r="A152" s="60" t="s">
        <v>946</v>
      </c>
      <c r="B152" s="60" t="s">
        <v>507</v>
      </c>
      <c r="C152" s="60" t="s">
        <v>508</v>
      </c>
      <c r="D152" s="60" t="s">
        <v>509</v>
      </c>
      <c r="E152" s="61" t="s">
        <v>46</v>
      </c>
      <c r="F152" s="62" t="s">
        <v>46</v>
      </c>
      <c r="G152" s="63" t="s">
        <v>46</v>
      </c>
      <c r="H152" s="64"/>
      <c r="I152" s="64" t="s">
        <v>47</v>
      </c>
      <c r="J152" s="65">
        <v>10</v>
      </c>
      <c r="K152" s="66">
        <v>1131</v>
      </c>
      <c r="L152" s="67" t="s">
        <v>853</v>
      </c>
      <c r="M152" s="66">
        <v>1148</v>
      </c>
      <c r="N152" s="67" t="s">
        <v>69</v>
      </c>
      <c r="O152" s="66">
        <v>1097</v>
      </c>
      <c r="P152" s="67" t="s">
        <v>84</v>
      </c>
      <c r="Q152" s="66">
        <v>1106</v>
      </c>
      <c r="R152" s="67" t="s">
        <v>50</v>
      </c>
      <c r="S152" s="68">
        <v>1118.48</v>
      </c>
      <c r="T152" s="65">
        <v>336620</v>
      </c>
      <c r="U152" s="65">
        <v>179060</v>
      </c>
      <c r="V152" s="65">
        <v>377221880</v>
      </c>
      <c r="W152" s="65">
        <v>201101720</v>
      </c>
      <c r="X152" s="69">
        <v>21</v>
      </c>
    </row>
    <row r="153" spans="1:24">
      <c r="A153" s="60" t="s">
        <v>946</v>
      </c>
      <c r="B153" s="60" t="s">
        <v>510</v>
      </c>
      <c r="C153" s="60" t="s">
        <v>511</v>
      </c>
      <c r="D153" s="60" t="s">
        <v>512</v>
      </c>
      <c r="E153" s="61" t="s">
        <v>46</v>
      </c>
      <c r="F153" s="62" t="s">
        <v>46</v>
      </c>
      <c r="G153" s="63" t="s">
        <v>46</v>
      </c>
      <c r="H153" s="64"/>
      <c r="I153" s="64" t="s">
        <v>47</v>
      </c>
      <c r="J153" s="65">
        <v>10</v>
      </c>
      <c r="K153" s="66">
        <v>2491</v>
      </c>
      <c r="L153" s="67" t="s">
        <v>853</v>
      </c>
      <c r="M153" s="66">
        <v>2516</v>
      </c>
      <c r="N153" s="67" t="s">
        <v>240</v>
      </c>
      <c r="O153" s="66">
        <v>2398</v>
      </c>
      <c r="P153" s="67" t="s">
        <v>77</v>
      </c>
      <c r="Q153" s="66">
        <v>2506</v>
      </c>
      <c r="R153" s="67" t="s">
        <v>73</v>
      </c>
      <c r="S153" s="68">
        <v>2472.6999999999998</v>
      </c>
      <c r="T153" s="65">
        <v>3170</v>
      </c>
      <c r="U153" s="65" t="s">
        <v>955</v>
      </c>
      <c r="V153" s="65">
        <v>7847040</v>
      </c>
      <c r="W153" s="65" t="s">
        <v>955</v>
      </c>
      <c r="X153" s="69">
        <v>10</v>
      </c>
    </row>
    <row r="154" spans="1:24">
      <c r="A154" s="60" t="s">
        <v>946</v>
      </c>
      <c r="B154" s="60" t="s">
        <v>513</v>
      </c>
      <c r="C154" s="60" t="s">
        <v>514</v>
      </c>
      <c r="D154" s="60" t="s">
        <v>515</v>
      </c>
      <c r="E154" s="61" t="s">
        <v>46</v>
      </c>
      <c r="F154" s="62" t="s">
        <v>46</v>
      </c>
      <c r="G154" s="63" t="s">
        <v>46</v>
      </c>
      <c r="H154" s="64"/>
      <c r="I154" s="64" t="s">
        <v>47</v>
      </c>
      <c r="J154" s="65">
        <v>10</v>
      </c>
      <c r="K154" s="66">
        <v>2581</v>
      </c>
      <c r="L154" s="67" t="s">
        <v>853</v>
      </c>
      <c r="M154" s="66">
        <v>2628</v>
      </c>
      <c r="N154" s="67" t="s">
        <v>371</v>
      </c>
      <c r="O154" s="66">
        <v>2475</v>
      </c>
      <c r="P154" s="67" t="s">
        <v>77</v>
      </c>
      <c r="Q154" s="66">
        <v>2577</v>
      </c>
      <c r="R154" s="67" t="s">
        <v>50</v>
      </c>
      <c r="S154" s="68">
        <v>2567.79</v>
      </c>
      <c r="T154" s="65">
        <v>32570</v>
      </c>
      <c r="U154" s="65" t="s">
        <v>955</v>
      </c>
      <c r="V154" s="65">
        <v>82168440</v>
      </c>
      <c r="W154" s="65" t="s">
        <v>955</v>
      </c>
      <c r="X154" s="69">
        <v>19</v>
      </c>
    </row>
    <row r="155" spans="1:24">
      <c r="A155" s="60" t="s">
        <v>946</v>
      </c>
      <c r="B155" s="60" t="s">
        <v>516</v>
      </c>
      <c r="C155" s="60" t="s">
        <v>517</v>
      </c>
      <c r="D155" s="60" t="s">
        <v>518</v>
      </c>
      <c r="E155" s="61" t="s">
        <v>46</v>
      </c>
      <c r="F155" s="62" t="s">
        <v>46</v>
      </c>
      <c r="G155" s="63" t="s">
        <v>46</v>
      </c>
      <c r="H155" s="64"/>
      <c r="I155" s="64" t="s">
        <v>47</v>
      </c>
      <c r="J155" s="65">
        <v>10</v>
      </c>
      <c r="K155" s="66">
        <v>1551</v>
      </c>
      <c r="L155" s="67" t="s">
        <v>853</v>
      </c>
      <c r="M155" s="66">
        <v>1587</v>
      </c>
      <c r="N155" s="67" t="s">
        <v>371</v>
      </c>
      <c r="O155" s="66">
        <v>1515</v>
      </c>
      <c r="P155" s="67" t="s">
        <v>84</v>
      </c>
      <c r="Q155" s="66">
        <v>1563</v>
      </c>
      <c r="R155" s="67" t="s">
        <v>50</v>
      </c>
      <c r="S155" s="68">
        <v>1554.23</v>
      </c>
      <c r="T155" s="65">
        <v>29200</v>
      </c>
      <c r="U155" s="65" t="s">
        <v>955</v>
      </c>
      <c r="V155" s="65">
        <v>44678510</v>
      </c>
      <c r="W155" s="65" t="s">
        <v>955</v>
      </c>
      <c r="X155" s="69">
        <v>13</v>
      </c>
    </row>
    <row r="156" spans="1:24">
      <c r="A156" s="60" t="s">
        <v>946</v>
      </c>
      <c r="B156" s="60" t="s">
        <v>519</v>
      </c>
      <c r="C156" s="60" t="s">
        <v>520</v>
      </c>
      <c r="D156" s="60" t="s">
        <v>521</v>
      </c>
      <c r="E156" s="61" t="s">
        <v>46</v>
      </c>
      <c r="F156" s="62" t="s">
        <v>46</v>
      </c>
      <c r="G156" s="63" t="s">
        <v>46</v>
      </c>
      <c r="H156" s="64"/>
      <c r="I156" s="64" t="s">
        <v>47</v>
      </c>
      <c r="J156" s="65">
        <v>1</v>
      </c>
      <c r="K156" s="66">
        <v>3450</v>
      </c>
      <c r="L156" s="67" t="s">
        <v>853</v>
      </c>
      <c r="M156" s="66">
        <v>3755</v>
      </c>
      <c r="N156" s="67" t="s">
        <v>73</v>
      </c>
      <c r="O156" s="66">
        <v>3405</v>
      </c>
      <c r="P156" s="67" t="s">
        <v>84</v>
      </c>
      <c r="Q156" s="66">
        <v>3725</v>
      </c>
      <c r="R156" s="67" t="s">
        <v>50</v>
      </c>
      <c r="S156" s="68">
        <v>3605.48</v>
      </c>
      <c r="T156" s="65">
        <v>7852123</v>
      </c>
      <c r="U156" s="65">
        <v>1385805</v>
      </c>
      <c r="V156" s="65">
        <v>28405749490</v>
      </c>
      <c r="W156" s="65">
        <v>5145535180</v>
      </c>
      <c r="X156" s="69">
        <v>21</v>
      </c>
    </row>
    <row r="157" spans="1:24">
      <c r="A157" s="60" t="s">
        <v>946</v>
      </c>
      <c r="B157" s="60" t="s">
        <v>522</v>
      </c>
      <c r="C157" s="60" t="s">
        <v>523</v>
      </c>
      <c r="D157" s="60" t="s">
        <v>524</v>
      </c>
      <c r="E157" s="61" t="s">
        <v>46</v>
      </c>
      <c r="F157" s="62" t="s">
        <v>46</v>
      </c>
      <c r="G157" s="63" t="s">
        <v>46</v>
      </c>
      <c r="H157" s="64"/>
      <c r="I157" s="64" t="s">
        <v>47</v>
      </c>
      <c r="J157" s="65">
        <v>1</v>
      </c>
      <c r="K157" s="66">
        <v>2649</v>
      </c>
      <c r="L157" s="67" t="s">
        <v>853</v>
      </c>
      <c r="M157" s="66">
        <v>2699</v>
      </c>
      <c r="N157" s="67" t="s">
        <v>69</v>
      </c>
      <c r="O157" s="66">
        <v>2631</v>
      </c>
      <c r="P157" s="67" t="s">
        <v>96</v>
      </c>
      <c r="Q157" s="66">
        <v>2673</v>
      </c>
      <c r="R157" s="67" t="s">
        <v>50</v>
      </c>
      <c r="S157" s="68">
        <v>2666.81</v>
      </c>
      <c r="T157" s="65">
        <v>3568955</v>
      </c>
      <c r="U157" s="65">
        <v>3248450</v>
      </c>
      <c r="V157" s="65">
        <v>9561670385</v>
      </c>
      <c r="W157" s="65">
        <v>8703064210</v>
      </c>
      <c r="X157" s="69">
        <v>21</v>
      </c>
    </row>
    <row r="158" spans="1:24">
      <c r="A158" s="60" t="s">
        <v>946</v>
      </c>
      <c r="B158" s="60" t="s">
        <v>525</v>
      </c>
      <c r="C158" s="60" t="s">
        <v>526</v>
      </c>
      <c r="D158" s="60" t="s">
        <v>527</v>
      </c>
      <c r="E158" s="61" t="s">
        <v>46</v>
      </c>
      <c r="F158" s="62" t="s">
        <v>46</v>
      </c>
      <c r="G158" s="63" t="s">
        <v>46</v>
      </c>
      <c r="H158" s="64"/>
      <c r="I158" s="64" t="s">
        <v>47</v>
      </c>
      <c r="J158" s="65">
        <v>1</v>
      </c>
      <c r="K158" s="66">
        <v>3055</v>
      </c>
      <c r="L158" s="67" t="s">
        <v>853</v>
      </c>
      <c r="M158" s="66">
        <v>3315</v>
      </c>
      <c r="N158" s="67" t="s">
        <v>73</v>
      </c>
      <c r="O158" s="66">
        <v>3010</v>
      </c>
      <c r="P158" s="67" t="s">
        <v>84</v>
      </c>
      <c r="Q158" s="66">
        <v>3290</v>
      </c>
      <c r="R158" s="67" t="s">
        <v>50</v>
      </c>
      <c r="S158" s="68">
        <v>3188.57</v>
      </c>
      <c r="T158" s="65">
        <v>53693</v>
      </c>
      <c r="U158" s="65">
        <v>1650</v>
      </c>
      <c r="V158" s="65">
        <v>170062045</v>
      </c>
      <c r="W158" s="65">
        <v>5085225</v>
      </c>
      <c r="X158" s="69">
        <v>21</v>
      </c>
    </row>
    <row r="159" spans="1:24">
      <c r="A159" s="60" t="s">
        <v>946</v>
      </c>
      <c r="B159" s="60" t="s">
        <v>528</v>
      </c>
      <c r="C159" s="60" t="s">
        <v>529</v>
      </c>
      <c r="D159" s="60" t="s">
        <v>530</v>
      </c>
      <c r="E159" s="61" t="s">
        <v>46</v>
      </c>
      <c r="F159" s="62" t="s">
        <v>46</v>
      </c>
      <c r="G159" s="63" t="s">
        <v>46</v>
      </c>
      <c r="H159" s="64"/>
      <c r="I159" s="64" t="s">
        <v>47</v>
      </c>
      <c r="J159" s="65">
        <v>1</v>
      </c>
      <c r="K159" s="66">
        <v>2312</v>
      </c>
      <c r="L159" s="67" t="s">
        <v>853</v>
      </c>
      <c r="M159" s="66">
        <v>2470</v>
      </c>
      <c r="N159" s="67" t="s">
        <v>371</v>
      </c>
      <c r="O159" s="66">
        <v>2235</v>
      </c>
      <c r="P159" s="67" t="s">
        <v>84</v>
      </c>
      <c r="Q159" s="66">
        <v>2386</v>
      </c>
      <c r="R159" s="67" t="s">
        <v>50</v>
      </c>
      <c r="S159" s="68">
        <v>2371.38</v>
      </c>
      <c r="T159" s="65">
        <v>87154</v>
      </c>
      <c r="U159" s="65">
        <v>4189</v>
      </c>
      <c r="V159" s="65">
        <v>209371158</v>
      </c>
      <c r="W159" s="65">
        <v>9993228</v>
      </c>
      <c r="X159" s="69">
        <v>21</v>
      </c>
    </row>
    <row r="160" spans="1:24">
      <c r="A160" s="60" t="s">
        <v>946</v>
      </c>
      <c r="B160" s="60" t="s">
        <v>531</v>
      </c>
      <c r="C160" s="60" t="s">
        <v>532</v>
      </c>
      <c r="D160" s="60" t="s">
        <v>533</v>
      </c>
      <c r="E160" s="61" t="s">
        <v>46</v>
      </c>
      <c r="F160" s="62" t="s">
        <v>46</v>
      </c>
      <c r="G160" s="63" t="s">
        <v>46</v>
      </c>
      <c r="H160" s="64"/>
      <c r="I160" s="64" t="s">
        <v>47</v>
      </c>
      <c r="J160" s="65">
        <v>1</v>
      </c>
      <c r="K160" s="66">
        <v>2455</v>
      </c>
      <c r="L160" s="67" t="s">
        <v>853</v>
      </c>
      <c r="M160" s="66">
        <v>2712</v>
      </c>
      <c r="N160" s="67" t="s">
        <v>50</v>
      </c>
      <c r="O160" s="66">
        <v>2427</v>
      </c>
      <c r="P160" s="67" t="s">
        <v>853</v>
      </c>
      <c r="Q160" s="66">
        <v>2708</v>
      </c>
      <c r="R160" s="67" t="s">
        <v>50</v>
      </c>
      <c r="S160" s="68">
        <v>2589.14</v>
      </c>
      <c r="T160" s="65">
        <v>252315</v>
      </c>
      <c r="U160" s="65">
        <v>2</v>
      </c>
      <c r="V160" s="65">
        <v>653583140</v>
      </c>
      <c r="W160" s="65">
        <v>5340</v>
      </c>
      <c r="X160" s="69">
        <v>21</v>
      </c>
    </row>
    <row r="161" spans="1:24">
      <c r="A161" s="60" t="s">
        <v>946</v>
      </c>
      <c r="B161" s="60" t="s">
        <v>534</v>
      </c>
      <c r="C161" s="60" t="s">
        <v>535</v>
      </c>
      <c r="D161" s="60" t="s">
        <v>536</v>
      </c>
      <c r="E161" s="61" t="s">
        <v>46</v>
      </c>
      <c r="F161" s="62" t="s">
        <v>46</v>
      </c>
      <c r="G161" s="63" t="s">
        <v>46</v>
      </c>
      <c r="H161" s="64"/>
      <c r="I161" s="64" t="s">
        <v>47</v>
      </c>
      <c r="J161" s="65">
        <v>1</v>
      </c>
      <c r="K161" s="66">
        <v>11680</v>
      </c>
      <c r="L161" s="67" t="s">
        <v>853</v>
      </c>
      <c r="M161" s="66">
        <v>11750</v>
      </c>
      <c r="N161" s="67" t="s">
        <v>613</v>
      </c>
      <c r="O161" s="66">
        <v>11170</v>
      </c>
      <c r="P161" s="67" t="s">
        <v>84</v>
      </c>
      <c r="Q161" s="66">
        <v>11630</v>
      </c>
      <c r="R161" s="67" t="s">
        <v>50</v>
      </c>
      <c r="S161" s="68">
        <v>11535.24</v>
      </c>
      <c r="T161" s="65">
        <v>21522</v>
      </c>
      <c r="U161" s="65">
        <v>6000</v>
      </c>
      <c r="V161" s="65">
        <v>247962560</v>
      </c>
      <c r="W161" s="65">
        <v>69528600</v>
      </c>
      <c r="X161" s="69">
        <v>21</v>
      </c>
    </row>
    <row r="162" spans="1:24">
      <c r="A162" s="60" t="s">
        <v>946</v>
      </c>
      <c r="B162" s="60" t="s">
        <v>541</v>
      </c>
      <c r="C162" s="60" t="s">
        <v>542</v>
      </c>
      <c r="D162" s="60" t="s">
        <v>543</v>
      </c>
      <c r="E162" s="61" t="s">
        <v>46</v>
      </c>
      <c r="F162" s="62" t="s">
        <v>46</v>
      </c>
      <c r="G162" s="63" t="s">
        <v>46</v>
      </c>
      <c r="H162" s="64"/>
      <c r="I162" s="64" t="s">
        <v>47</v>
      </c>
      <c r="J162" s="65">
        <v>1</v>
      </c>
      <c r="K162" s="66">
        <v>1650</v>
      </c>
      <c r="L162" s="67" t="s">
        <v>853</v>
      </c>
      <c r="M162" s="66">
        <v>1895</v>
      </c>
      <c r="N162" s="67" t="s">
        <v>73</v>
      </c>
      <c r="O162" s="66">
        <v>1634</v>
      </c>
      <c r="P162" s="67" t="s">
        <v>853</v>
      </c>
      <c r="Q162" s="66">
        <v>1850</v>
      </c>
      <c r="R162" s="67" t="s">
        <v>50</v>
      </c>
      <c r="S162" s="68">
        <v>1799.29</v>
      </c>
      <c r="T162" s="65">
        <v>31392255</v>
      </c>
      <c r="U162" s="65">
        <v>23991</v>
      </c>
      <c r="V162" s="65">
        <v>56426681059</v>
      </c>
      <c r="W162" s="65">
        <v>43593055</v>
      </c>
      <c r="X162" s="69">
        <v>21</v>
      </c>
    </row>
    <row r="163" spans="1:24">
      <c r="A163" s="60" t="s">
        <v>946</v>
      </c>
      <c r="B163" s="60" t="s">
        <v>544</v>
      </c>
      <c r="C163" s="60" t="s">
        <v>545</v>
      </c>
      <c r="D163" s="60" t="s">
        <v>546</v>
      </c>
      <c r="E163" s="61" t="s">
        <v>46</v>
      </c>
      <c r="F163" s="62" t="s">
        <v>46</v>
      </c>
      <c r="G163" s="63" t="s">
        <v>46</v>
      </c>
      <c r="H163" s="64"/>
      <c r="I163" s="64" t="s">
        <v>47</v>
      </c>
      <c r="J163" s="65">
        <v>1</v>
      </c>
      <c r="K163" s="66">
        <v>18430</v>
      </c>
      <c r="L163" s="67" t="s">
        <v>853</v>
      </c>
      <c r="M163" s="66">
        <v>19440</v>
      </c>
      <c r="N163" s="67" t="s">
        <v>240</v>
      </c>
      <c r="O163" s="66">
        <v>18400</v>
      </c>
      <c r="P163" s="67" t="s">
        <v>853</v>
      </c>
      <c r="Q163" s="66">
        <v>19250</v>
      </c>
      <c r="R163" s="67" t="s">
        <v>50</v>
      </c>
      <c r="S163" s="68">
        <v>18959.05</v>
      </c>
      <c r="T163" s="65">
        <v>3020</v>
      </c>
      <c r="U163" s="65" t="s">
        <v>955</v>
      </c>
      <c r="V163" s="65">
        <v>57178860</v>
      </c>
      <c r="W163" s="65" t="s">
        <v>955</v>
      </c>
      <c r="X163" s="69">
        <v>21</v>
      </c>
    </row>
    <row r="164" spans="1:24">
      <c r="A164" s="60" t="s">
        <v>946</v>
      </c>
      <c r="B164" s="60" t="s">
        <v>547</v>
      </c>
      <c r="C164" s="60" t="s">
        <v>548</v>
      </c>
      <c r="D164" s="60" t="s">
        <v>549</v>
      </c>
      <c r="E164" s="61" t="s">
        <v>46</v>
      </c>
      <c r="F164" s="62" t="s">
        <v>46</v>
      </c>
      <c r="G164" s="63" t="s">
        <v>46</v>
      </c>
      <c r="H164" s="64"/>
      <c r="I164" s="64" t="s">
        <v>47</v>
      </c>
      <c r="J164" s="65">
        <v>10</v>
      </c>
      <c r="K164" s="66">
        <v>2285</v>
      </c>
      <c r="L164" s="67" t="s">
        <v>853</v>
      </c>
      <c r="M164" s="66">
        <v>2599</v>
      </c>
      <c r="N164" s="67" t="s">
        <v>268</v>
      </c>
      <c r="O164" s="66">
        <v>2279</v>
      </c>
      <c r="P164" s="67" t="s">
        <v>853</v>
      </c>
      <c r="Q164" s="66">
        <v>2522</v>
      </c>
      <c r="R164" s="67" t="s">
        <v>50</v>
      </c>
      <c r="S164" s="68">
        <v>2449.52</v>
      </c>
      <c r="T164" s="65">
        <v>18990</v>
      </c>
      <c r="U164" s="65" t="s">
        <v>955</v>
      </c>
      <c r="V164" s="65">
        <v>46976790</v>
      </c>
      <c r="W164" s="65" t="s">
        <v>955</v>
      </c>
      <c r="X164" s="69">
        <v>21</v>
      </c>
    </row>
    <row r="165" spans="1:24">
      <c r="A165" s="60" t="s">
        <v>946</v>
      </c>
      <c r="B165" s="60" t="s">
        <v>550</v>
      </c>
      <c r="C165" s="60" t="s">
        <v>551</v>
      </c>
      <c r="D165" s="60" t="s">
        <v>552</v>
      </c>
      <c r="E165" s="61" t="s">
        <v>46</v>
      </c>
      <c r="F165" s="62" t="s">
        <v>46</v>
      </c>
      <c r="G165" s="63" t="s">
        <v>46</v>
      </c>
      <c r="H165" s="64"/>
      <c r="I165" s="64" t="s">
        <v>47</v>
      </c>
      <c r="J165" s="65">
        <v>1</v>
      </c>
      <c r="K165" s="66">
        <v>10130</v>
      </c>
      <c r="L165" s="67" t="s">
        <v>853</v>
      </c>
      <c r="M165" s="66">
        <v>11370</v>
      </c>
      <c r="N165" s="67" t="s">
        <v>268</v>
      </c>
      <c r="O165" s="66">
        <v>9890</v>
      </c>
      <c r="P165" s="67" t="s">
        <v>77</v>
      </c>
      <c r="Q165" s="66">
        <v>10750</v>
      </c>
      <c r="R165" s="67" t="s">
        <v>50</v>
      </c>
      <c r="S165" s="68">
        <v>10737.62</v>
      </c>
      <c r="T165" s="65">
        <v>7862</v>
      </c>
      <c r="U165" s="65" t="s">
        <v>955</v>
      </c>
      <c r="V165" s="65">
        <v>84583050</v>
      </c>
      <c r="W165" s="65" t="s">
        <v>955</v>
      </c>
      <c r="X165" s="69">
        <v>21</v>
      </c>
    </row>
    <row r="166" spans="1:24">
      <c r="A166" s="60" t="s">
        <v>946</v>
      </c>
      <c r="B166" s="60" t="s">
        <v>553</v>
      </c>
      <c r="C166" s="60" t="s">
        <v>554</v>
      </c>
      <c r="D166" s="60" t="s">
        <v>555</v>
      </c>
      <c r="E166" s="61" t="s">
        <v>46</v>
      </c>
      <c r="F166" s="62" t="s">
        <v>46</v>
      </c>
      <c r="G166" s="63" t="s">
        <v>46</v>
      </c>
      <c r="H166" s="64"/>
      <c r="I166" s="64" t="s">
        <v>47</v>
      </c>
      <c r="J166" s="65">
        <v>1</v>
      </c>
      <c r="K166" s="66">
        <v>19710</v>
      </c>
      <c r="L166" s="67" t="s">
        <v>853</v>
      </c>
      <c r="M166" s="66">
        <v>23800</v>
      </c>
      <c r="N166" s="67" t="s">
        <v>131</v>
      </c>
      <c r="O166" s="66">
        <v>19380</v>
      </c>
      <c r="P166" s="67" t="s">
        <v>84</v>
      </c>
      <c r="Q166" s="66">
        <v>21000</v>
      </c>
      <c r="R166" s="67" t="s">
        <v>50</v>
      </c>
      <c r="S166" s="68">
        <v>21458.57</v>
      </c>
      <c r="T166" s="65">
        <v>6851</v>
      </c>
      <c r="U166" s="65">
        <v>2</v>
      </c>
      <c r="V166" s="65">
        <v>153945120</v>
      </c>
      <c r="W166" s="65">
        <v>39700</v>
      </c>
      <c r="X166" s="69">
        <v>21</v>
      </c>
    </row>
    <row r="167" spans="1:24">
      <c r="A167" s="60" t="s">
        <v>946</v>
      </c>
      <c r="B167" s="60" t="s">
        <v>556</v>
      </c>
      <c r="C167" s="60" t="s">
        <v>557</v>
      </c>
      <c r="D167" s="60" t="s">
        <v>558</v>
      </c>
      <c r="E167" s="61" t="s">
        <v>46</v>
      </c>
      <c r="F167" s="62" t="s">
        <v>46</v>
      </c>
      <c r="G167" s="63" t="s">
        <v>46</v>
      </c>
      <c r="H167" s="64"/>
      <c r="I167" s="64" t="s">
        <v>47</v>
      </c>
      <c r="J167" s="65">
        <v>1</v>
      </c>
      <c r="K167" s="66">
        <v>14640</v>
      </c>
      <c r="L167" s="67" t="s">
        <v>853</v>
      </c>
      <c r="M167" s="66">
        <v>16700</v>
      </c>
      <c r="N167" s="67" t="s">
        <v>132</v>
      </c>
      <c r="O167" s="66">
        <v>14640</v>
      </c>
      <c r="P167" s="67" t="s">
        <v>853</v>
      </c>
      <c r="Q167" s="66">
        <v>16390</v>
      </c>
      <c r="R167" s="67" t="s">
        <v>50</v>
      </c>
      <c r="S167" s="68">
        <v>15905</v>
      </c>
      <c r="T167" s="65">
        <v>181</v>
      </c>
      <c r="U167" s="65" t="s">
        <v>955</v>
      </c>
      <c r="V167" s="65">
        <v>2929750</v>
      </c>
      <c r="W167" s="65" t="s">
        <v>955</v>
      </c>
      <c r="X167" s="69">
        <v>14</v>
      </c>
    </row>
    <row r="168" spans="1:24">
      <c r="A168" s="60" t="s">
        <v>946</v>
      </c>
      <c r="B168" s="60" t="s">
        <v>559</v>
      </c>
      <c r="C168" s="60" t="s">
        <v>560</v>
      </c>
      <c r="D168" s="60" t="s">
        <v>561</v>
      </c>
      <c r="E168" s="61" t="s">
        <v>46</v>
      </c>
      <c r="F168" s="62" t="s">
        <v>46</v>
      </c>
      <c r="G168" s="63" t="s">
        <v>46</v>
      </c>
      <c r="H168" s="64"/>
      <c r="I168" s="64" t="s">
        <v>47</v>
      </c>
      <c r="J168" s="65">
        <v>10</v>
      </c>
      <c r="K168" s="66">
        <v>51400</v>
      </c>
      <c r="L168" s="67" t="s">
        <v>853</v>
      </c>
      <c r="M168" s="66">
        <v>52500</v>
      </c>
      <c r="N168" s="67" t="s">
        <v>69</v>
      </c>
      <c r="O168" s="66">
        <v>51000</v>
      </c>
      <c r="P168" s="67" t="s">
        <v>172</v>
      </c>
      <c r="Q168" s="66">
        <v>52300</v>
      </c>
      <c r="R168" s="67" t="s">
        <v>50</v>
      </c>
      <c r="S168" s="68">
        <v>51933.33</v>
      </c>
      <c r="T168" s="65">
        <v>7400</v>
      </c>
      <c r="U168" s="65" t="s">
        <v>955</v>
      </c>
      <c r="V168" s="65">
        <v>383831000</v>
      </c>
      <c r="W168" s="65" t="s">
        <v>955</v>
      </c>
      <c r="X168" s="69">
        <v>21</v>
      </c>
    </row>
    <row r="169" spans="1:24">
      <c r="A169" s="60" t="s">
        <v>946</v>
      </c>
      <c r="B169" s="60" t="s">
        <v>562</v>
      </c>
      <c r="C169" s="60" t="s">
        <v>563</v>
      </c>
      <c r="D169" s="60" t="s">
        <v>564</v>
      </c>
      <c r="E169" s="61" t="s">
        <v>46</v>
      </c>
      <c r="F169" s="62" t="s">
        <v>46</v>
      </c>
      <c r="G169" s="63" t="s">
        <v>46</v>
      </c>
      <c r="H169" s="64"/>
      <c r="I169" s="64" t="s">
        <v>47</v>
      </c>
      <c r="J169" s="65">
        <v>100</v>
      </c>
      <c r="K169" s="66">
        <v>236</v>
      </c>
      <c r="L169" s="67" t="s">
        <v>853</v>
      </c>
      <c r="M169" s="66">
        <v>279</v>
      </c>
      <c r="N169" s="67" t="s">
        <v>69</v>
      </c>
      <c r="O169" s="66">
        <v>232</v>
      </c>
      <c r="P169" s="67" t="s">
        <v>84</v>
      </c>
      <c r="Q169" s="66">
        <v>242</v>
      </c>
      <c r="R169" s="67" t="s">
        <v>50</v>
      </c>
      <c r="S169" s="68">
        <v>246.29</v>
      </c>
      <c r="T169" s="65">
        <v>37788400</v>
      </c>
      <c r="U169" s="65">
        <v>768900</v>
      </c>
      <c r="V169" s="65">
        <v>9430511900</v>
      </c>
      <c r="W169" s="65">
        <v>205577800</v>
      </c>
      <c r="X169" s="69">
        <v>21</v>
      </c>
    </row>
    <row r="170" spans="1:24">
      <c r="A170" s="60" t="s">
        <v>946</v>
      </c>
      <c r="B170" s="60" t="s">
        <v>565</v>
      </c>
      <c r="C170" s="60" t="s">
        <v>566</v>
      </c>
      <c r="D170" s="60" t="s">
        <v>567</v>
      </c>
      <c r="E170" s="61" t="s">
        <v>46</v>
      </c>
      <c r="F170" s="62" t="s">
        <v>46</v>
      </c>
      <c r="G170" s="63" t="s">
        <v>46</v>
      </c>
      <c r="H170" s="64"/>
      <c r="I170" s="64" t="s">
        <v>47</v>
      </c>
      <c r="J170" s="65">
        <v>10</v>
      </c>
      <c r="K170" s="66">
        <v>33250</v>
      </c>
      <c r="L170" s="67" t="s">
        <v>853</v>
      </c>
      <c r="M170" s="66">
        <v>35900</v>
      </c>
      <c r="N170" s="67" t="s">
        <v>73</v>
      </c>
      <c r="O170" s="66">
        <v>32850</v>
      </c>
      <c r="P170" s="67" t="s">
        <v>853</v>
      </c>
      <c r="Q170" s="66">
        <v>35600</v>
      </c>
      <c r="R170" s="67" t="s">
        <v>50</v>
      </c>
      <c r="S170" s="68">
        <v>34742.86</v>
      </c>
      <c r="T170" s="65">
        <v>13210</v>
      </c>
      <c r="U170" s="65">
        <v>80</v>
      </c>
      <c r="V170" s="65">
        <v>454692000</v>
      </c>
      <c r="W170" s="65">
        <v>2753500</v>
      </c>
      <c r="X170" s="69">
        <v>21</v>
      </c>
    </row>
    <row r="171" spans="1:24">
      <c r="A171" s="60" t="s">
        <v>946</v>
      </c>
      <c r="B171" s="60" t="s">
        <v>568</v>
      </c>
      <c r="C171" s="60" t="s">
        <v>569</v>
      </c>
      <c r="D171" s="60" t="s">
        <v>570</v>
      </c>
      <c r="E171" s="61" t="s">
        <v>46</v>
      </c>
      <c r="F171" s="62" t="s">
        <v>46</v>
      </c>
      <c r="G171" s="63" t="s">
        <v>46</v>
      </c>
      <c r="H171" s="64"/>
      <c r="I171" s="64" t="s">
        <v>47</v>
      </c>
      <c r="J171" s="65">
        <v>10</v>
      </c>
      <c r="K171" s="66">
        <v>3535</v>
      </c>
      <c r="L171" s="67" t="s">
        <v>853</v>
      </c>
      <c r="M171" s="66">
        <v>3840</v>
      </c>
      <c r="N171" s="67" t="s">
        <v>73</v>
      </c>
      <c r="O171" s="66">
        <v>3490</v>
      </c>
      <c r="P171" s="67" t="s">
        <v>853</v>
      </c>
      <c r="Q171" s="66">
        <v>3820</v>
      </c>
      <c r="R171" s="67" t="s">
        <v>50</v>
      </c>
      <c r="S171" s="68">
        <v>3692.62</v>
      </c>
      <c r="T171" s="65">
        <v>802380</v>
      </c>
      <c r="U171" s="65">
        <v>310110</v>
      </c>
      <c r="V171" s="65">
        <v>2898356317</v>
      </c>
      <c r="W171" s="65">
        <v>1114244817</v>
      </c>
      <c r="X171" s="69">
        <v>21</v>
      </c>
    </row>
    <row r="172" spans="1:24">
      <c r="A172" s="60" t="s">
        <v>946</v>
      </c>
      <c r="B172" s="60" t="s">
        <v>571</v>
      </c>
      <c r="C172" s="60" t="s">
        <v>572</v>
      </c>
      <c r="D172" s="60" t="s">
        <v>573</v>
      </c>
      <c r="E172" s="61" t="s">
        <v>46</v>
      </c>
      <c r="F172" s="62" t="s">
        <v>46</v>
      </c>
      <c r="G172" s="63" t="s">
        <v>46</v>
      </c>
      <c r="H172" s="64"/>
      <c r="I172" s="64" t="s">
        <v>47</v>
      </c>
      <c r="J172" s="65">
        <v>10</v>
      </c>
      <c r="K172" s="66">
        <v>1752</v>
      </c>
      <c r="L172" s="67" t="s">
        <v>853</v>
      </c>
      <c r="M172" s="66">
        <v>1896</v>
      </c>
      <c r="N172" s="67" t="s">
        <v>371</v>
      </c>
      <c r="O172" s="66">
        <v>1716</v>
      </c>
      <c r="P172" s="67" t="s">
        <v>84</v>
      </c>
      <c r="Q172" s="66">
        <v>1837</v>
      </c>
      <c r="R172" s="67" t="s">
        <v>50</v>
      </c>
      <c r="S172" s="68">
        <v>1822.14</v>
      </c>
      <c r="T172" s="65">
        <v>229160</v>
      </c>
      <c r="U172" s="65">
        <v>20</v>
      </c>
      <c r="V172" s="65">
        <v>414044080</v>
      </c>
      <c r="W172" s="65">
        <v>36160</v>
      </c>
      <c r="X172" s="69">
        <v>21</v>
      </c>
    </row>
    <row r="173" spans="1:24">
      <c r="A173" s="60" t="s">
        <v>946</v>
      </c>
      <c r="B173" s="60" t="s">
        <v>574</v>
      </c>
      <c r="C173" s="60" t="s">
        <v>575</v>
      </c>
      <c r="D173" s="60" t="s">
        <v>576</v>
      </c>
      <c r="E173" s="61" t="s">
        <v>46</v>
      </c>
      <c r="F173" s="62" t="s">
        <v>46</v>
      </c>
      <c r="G173" s="63" t="s">
        <v>46</v>
      </c>
      <c r="H173" s="64"/>
      <c r="I173" s="64" t="s">
        <v>47</v>
      </c>
      <c r="J173" s="65">
        <v>100</v>
      </c>
      <c r="K173" s="66">
        <v>182</v>
      </c>
      <c r="L173" s="67" t="s">
        <v>853</v>
      </c>
      <c r="M173" s="66">
        <v>207</v>
      </c>
      <c r="N173" s="67" t="s">
        <v>268</v>
      </c>
      <c r="O173" s="66">
        <v>180</v>
      </c>
      <c r="P173" s="67" t="s">
        <v>853</v>
      </c>
      <c r="Q173" s="66">
        <v>197</v>
      </c>
      <c r="R173" s="67" t="s">
        <v>50</v>
      </c>
      <c r="S173" s="68">
        <v>195.19</v>
      </c>
      <c r="T173" s="65">
        <v>468900</v>
      </c>
      <c r="U173" s="65">
        <v>300</v>
      </c>
      <c r="V173" s="65">
        <v>92452400</v>
      </c>
      <c r="W173" s="65">
        <v>59100</v>
      </c>
      <c r="X173" s="69">
        <v>21</v>
      </c>
    </row>
    <row r="174" spans="1:24">
      <c r="A174" s="60" t="s">
        <v>946</v>
      </c>
      <c r="B174" s="60" t="s">
        <v>577</v>
      </c>
      <c r="C174" s="60" t="s">
        <v>578</v>
      </c>
      <c r="D174" s="60" t="s">
        <v>579</v>
      </c>
      <c r="E174" s="61" t="s">
        <v>46</v>
      </c>
      <c r="F174" s="62" t="s">
        <v>46</v>
      </c>
      <c r="G174" s="63" t="s">
        <v>46</v>
      </c>
      <c r="H174" s="64"/>
      <c r="I174" s="64" t="s">
        <v>47</v>
      </c>
      <c r="J174" s="65">
        <v>10</v>
      </c>
      <c r="K174" s="66">
        <v>1150</v>
      </c>
      <c r="L174" s="67" t="s">
        <v>48</v>
      </c>
      <c r="M174" s="66">
        <v>1256</v>
      </c>
      <c r="N174" s="67" t="s">
        <v>100</v>
      </c>
      <c r="O174" s="66">
        <v>1150</v>
      </c>
      <c r="P174" s="67" t="s">
        <v>48</v>
      </c>
      <c r="Q174" s="66">
        <v>1221</v>
      </c>
      <c r="R174" s="67" t="s">
        <v>50</v>
      </c>
      <c r="S174" s="68">
        <v>1198</v>
      </c>
      <c r="T174" s="65">
        <v>4450</v>
      </c>
      <c r="U174" s="65" t="s">
        <v>955</v>
      </c>
      <c r="V174" s="65">
        <v>5321420</v>
      </c>
      <c r="W174" s="65" t="s">
        <v>955</v>
      </c>
      <c r="X174" s="69">
        <v>16</v>
      </c>
    </row>
    <row r="175" spans="1:24">
      <c r="A175" s="60" t="s">
        <v>946</v>
      </c>
      <c r="B175" s="60" t="s">
        <v>580</v>
      </c>
      <c r="C175" s="60" t="s">
        <v>581</v>
      </c>
      <c r="D175" s="60" t="s">
        <v>582</v>
      </c>
      <c r="E175" s="61" t="s">
        <v>46</v>
      </c>
      <c r="F175" s="62" t="s">
        <v>46</v>
      </c>
      <c r="G175" s="63" t="s">
        <v>46</v>
      </c>
      <c r="H175" s="64"/>
      <c r="I175" s="64" t="s">
        <v>47</v>
      </c>
      <c r="J175" s="65">
        <v>10</v>
      </c>
      <c r="K175" s="66">
        <v>411</v>
      </c>
      <c r="L175" s="67" t="s">
        <v>853</v>
      </c>
      <c r="M175" s="66">
        <v>477</v>
      </c>
      <c r="N175" s="67" t="s">
        <v>268</v>
      </c>
      <c r="O175" s="66">
        <v>409</v>
      </c>
      <c r="P175" s="67" t="s">
        <v>48</v>
      </c>
      <c r="Q175" s="66">
        <v>444</v>
      </c>
      <c r="R175" s="67" t="s">
        <v>50</v>
      </c>
      <c r="S175" s="68">
        <v>438.38</v>
      </c>
      <c r="T175" s="65">
        <v>109620</v>
      </c>
      <c r="U175" s="65" t="s">
        <v>955</v>
      </c>
      <c r="V175" s="65">
        <v>48496490</v>
      </c>
      <c r="W175" s="65" t="s">
        <v>955</v>
      </c>
      <c r="X175" s="69">
        <v>21</v>
      </c>
    </row>
    <row r="176" spans="1:24">
      <c r="A176" s="60" t="s">
        <v>946</v>
      </c>
      <c r="B176" s="60" t="s">
        <v>583</v>
      </c>
      <c r="C176" s="60" t="s">
        <v>584</v>
      </c>
      <c r="D176" s="60" t="s">
        <v>585</v>
      </c>
      <c r="E176" s="61" t="s">
        <v>46</v>
      </c>
      <c r="F176" s="62" t="s">
        <v>46</v>
      </c>
      <c r="G176" s="63" t="s">
        <v>46</v>
      </c>
      <c r="H176" s="64"/>
      <c r="I176" s="64" t="s">
        <v>47</v>
      </c>
      <c r="J176" s="65">
        <v>10</v>
      </c>
      <c r="K176" s="66">
        <v>1750</v>
      </c>
      <c r="L176" s="67" t="s">
        <v>853</v>
      </c>
      <c r="M176" s="66">
        <v>2198</v>
      </c>
      <c r="N176" s="67" t="s">
        <v>613</v>
      </c>
      <c r="O176" s="66">
        <v>1714</v>
      </c>
      <c r="P176" s="67" t="s">
        <v>853</v>
      </c>
      <c r="Q176" s="66">
        <v>1853</v>
      </c>
      <c r="R176" s="67" t="s">
        <v>50</v>
      </c>
      <c r="S176" s="68">
        <v>1896.95</v>
      </c>
      <c r="T176" s="65">
        <v>16360</v>
      </c>
      <c r="U176" s="65" t="s">
        <v>955</v>
      </c>
      <c r="V176" s="65">
        <v>32295230</v>
      </c>
      <c r="W176" s="65" t="s">
        <v>955</v>
      </c>
      <c r="X176" s="69">
        <v>21</v>
      </c>
    </row>
    <row r="177" spans="1:24">
      <c r="A177" s="60" t="s">
        <v>946</v>
      </c>
      <c r="B177" s="60" t="s">
        <v>586</v>
      </c>
      <c r="C177" s="60" t="s">
        <v>587</v>
      </c>
      <c r="D177" s="60" t="s">
        <v>588</v>
      </c>
      <c r="E177" s="61" t="s">
        <v>46</v>
      </c>
      <c r="F177" s="62" t="s">
        <v>46</v>
      </c>
      <c r="G177" s="63" t="s">
        <v>46</v>
      </c>
      <c r="H177" s="64"/>
      <c r="I177" s="64" t="s">
        <v>47</v>
      </c>
      <c r="J177" s="65">
        <v>10</v>
      </c>
      <c r="K177" s="66">
        <v>619</v>
      </c>
      <c r="L177" s="67" t="s">
        <v>853</v>
      </c>
      <c r="M177" s="66">
        <v>664</v>
      </c>
      <c r="N177" s="67" t="s">
        <v>49</v>
      </c>
      <c r="O177" s="66">
        <v>613</v>
      </c>
      <c r="P177" s="67" t="s">
        <v>49</v>
      </c>
      <c r="Q177" s="66">
        <v>649</v>
      </c>
      <c r="R177" s="67" t="s">
        <v>50</v>
      </c>
      <c r="S177" s="68">
        <v>635.86</v>
      </c>
      <c r="T177" s="65">
        <v>61450</v>
      </c>
      <c r="U177" s="65" t="s">
        <v>955</v>
      </c>
      <c r="V177" s="65">
        <v>39090870</v>
      </c>
      <c r="W177" s="65" t="s">
        <v>955</v>
      </c>
      <c r="X177" s="69">
        <v>21</v>
      </c>
    </row>
    <row r="178" spans="1:24">
      <c r="A178" s="60" t="s">
        <v>946</v>
      </c>
      <c r="B178" s="60" t="s">
        <v>589</v>
      </c>
      <c r="C178" s="60" t="s">
        <v>590</v>
      </c>
      <c r="D178" s="60" t="s">
        <v>591</v>
      </c>
      <c r="E178" s="61" t="s">
        <v>46</v>
      </c>
      <c r="F178" s="62" t="s">
        <v>46</v>
      </c>
      <c r="G178" s="63" t="s">
        <v>46</v>
      </c>
      <c r="H178" s="64"/>
      <c r="I178" s="64" t="s">
        <v>47</v>
      </c>
      <c r="J178" s="65">
        <v>10</v>
      </c>
      <c r="K178" s="66">
        <v>443</v>
      </c>
      <c r="L178" s="67" t="s">
        <v>853</v>
      </c>
      <c r="M178" s="66">
        <v>467</v>
      </c>
      <c r="N178" s="67" t="s">
        <v>50</v>
      </c>
      <c r="O178" s="66">
        <v>430</v>
      </c>
      <c r="P178" s="67" t="s">
        <v>49</v>
      </c>
      <c r="Q178" s="66">
        <v>465</v>
      </c>
      <c r="R178" s="67" t="s">
        <v>50</v>
      </c>
      <c r="S178" s="68">
        <v>446.95</v>
      </c>
      <c r="T178" s="65">
        <v>196770</v>
      </c>
      <c r="U178" s="65" t="s">
        <v>955</v>
      </c>
      <c r="V178" s="65">
        <v>88082300</v>
      </c>
      <c r="W178" s="65" t="s">
        <v>955</v>
      </c>
      <c r="X178" s="69">
        <v>21</v>
      </c>
    </row>
    <row r="179" spans="1:24">
      <c r="A179" s="60" t="s">
        <v>946</v>
      </c>
      <c r="B179" s="60" t="s">
        <v>592</v>
      </c>
      <c r="C179" s="60" t="s">
        <v>593</v>
      </c>
      <c r="D179" s="60" t="s">
        <v>594</v>
      </c>
      <c r="E179" s="61" t="s">
        <v>46</v>
      </c>
      <c r="F179" s="62" t="s">
        <v>46</v>
      </c>
      <c r="G179" s="63" t="s">
        <v>46</v>
      </c>
      <c r="H179" s="64"/>
      <c r="I179" s="64" t="s">
        <v>47</v>
      </c>
      <c r="J179" s="65">
        <v>100</v>
      </c>
      <c r="K179" s="66">
        <v>3</v>
      </c>
      <c r="L179" s="67" t="s">
        <v>853</v>
      </c>
      <c r="M179" s="66">
        <v>4</v>
      </c>
      <c r="N179" s="67" t="s">
        <v>77</v>
      </c>
      <c r="O179" s="66">
        <v>2</v>
      </c>
      <c r="P179" s="67" t="s">
        <v>853</v>
      </c>
      <c r="Q179" s="66">
        <v>3</v>
      </c>
      <c r="R179" s="67" t="s">
        <v>50</v>
      </c>
      <c r="S179" s="68">
        <v>2.81</v>
      </c>
      <c r="T179" s="65">
        <v>308585500</v>
      </c>
      <c r="U179" s="65">
        <v>93300</v>
      </c>
      <c r="V179" s="65">
        <v>884413900</v>
      </c>
      <c r="W179" s="65">
        <v>279900</v>
      </c>
      <c r="X179" s="69">
        <v>21</v>
      </c>
    </row>
    <row r="180" spans="1:24">
      <c r="A180" s="60" t="s">
        <v>946</v>
      </c>
      <c r="B180" s="60" t="s">
        <v>595</v>
      </c>
      <c r="C180" s="60" t="s">
        <v>596</v>
      </c>
      <c r="D180" s="60" t="s">
        <v>597</v>
      </c>
      <c r="E180" s="61" t="s">
        <v>46</v>
      </c>
      <c r="F180" s="62" t="s">
        <v>46</v>
      </c>
      <c r="G180" s="63" t="s">
        <v>46</v>
      </c>
      <c r="H180" s="64"/>
      <c r="I180" s="64" t="s">
        <v>47</v>
      </c>
      <c r="J180" s="65">
        <v>10</v>
      </c>
      <c r="K180" s="66">
        <v>775</v>
      </c>
      <c r="L180" s="67" t="s">
        <v>853</v>
      </c>
      <c r="M180" s="66">
        <v>882</v>
      </c>
      <c r="N180" s="67" t="s">
        <v>73</v>
      </c>
      <c r="O180" s="66">
        <v>770</v>
      </c>
      <c r="P180" s="67" t="s">
        <v>853</v>
      </c>
      <c r="Q180" s="66">
        <v>861</v>
      </c>
      <c r="R180" s="67" t="s">
        <v>50</v>
      </c>
      <c r="S180" s="68">
        <v>843.52</v>
      </c>
      <c r="T180" s="65">
        <v>642480</v>
      </c>
      <c r="U180" s="65" t="s">
        <v>955</v>
      </c>
      <c r="V180" s="65">
        <v>540560360</v>
      </c>
      <c r="W180" s="65" t="s">
        <v>955</v>
      </c>
      <c r="X180" s="69">
        <v>21</v>
      </c>
    </row>
    <row r="181" spans="1:24">
      <c r="A181" s="60" t="s">
        <v>946</v>
      </c>
      <c r="B181" s="60" t="s">
        <v>598</v>
      </c>
      <c r="C181" s="60" t="s">
        <v>599</v>
      </c>
      <c r="D181" s="60" t="s">
        <v>600</v>
      </c>
      <c r="E181" s="61" t="s">
        <v>46</v>
      </c>
      <c r="F181" s="62" t="s">
        <v>46</v>
      </c>
      <c r="G181" s="63" t="s">
        <v>46</v>
      </c>
      <c r="H181" s="64"/>
      <c r="I181" s="64" t="s">
        <v>47</v>
      </c>
      <c r="J181" s="65">
        <v>1</v>
      </c>
      <c r="K181" s="66">
        <v>3400</v>
      </c>
      <c r="L181" s="67" t="s">
        <v>48</v>
      </c>
      <c r="M181" s="66">
        <v>4030</v>
      </c>
      <c r="N181" s="67" t="s">
        <v>100</v>
      </c>
      <c r="O181" s="66">
        <v>3400</v>
      </c>
      <c r="P181" s="67" t="s">
        <v>48</v>
      </c>
      <c r="Q181" s="66">
        <v>3735</v>
      </c>
      <c r="R181" s="67" t="s">
        <v>50</v>
      </c>
      <c r="S181" s="68">
        <v>3771.25</v>
      </c>
      <c r="T181" s="65">
        <v>5163</v>
      </c>
      <c r="U181" s="65" t="s">
        <v>955</v>
      </c>
      <c r="V181" s="65">
        <v>19502330</v>
      </c>
      <c r="W181" s="65" t="s">
        <v>955</v>
      </c>
      <c r="X181" s="69">
        <v>20</v>
      </c>
    </row>
    <row r="182" spans="1:24">
      <c r="A182" s="60" t="s">
        <v>946</v>
      </c>
      <c r="B182" s="60" t="s">
        <v>601</v>
      </c>
      <c r="C182" s="60" t="s">
        <v>602</v>
      </c>
      <c r="D182" s="60" t="s">
        <v>603</v>
      </c>
      <c r="E182" s="61" t="s">
        <v>46</v>
      </c>
      <c r="F182" s="62" t="s">
        <v>46</v>
      </c>
      <c r="G182" s="63" t="s">
        <v>46</v>
      </c>
      <c r="H182" s="64"/>
      <c r="I182" s="64" t="s">
        <v>47</v>
      </c>
      <c r="J182" s="65">
        <v>100</v>
      </c>
      <c r="K182" s="66">
        <v>500</v>
      </c>
      <c r="L182" s="67" t="s">
        <v>853</v>
      </c>
      <c r="M182" s="66">
        <v>545</v>
      </c>
      <c r="N182" s="67" t="s">
        <v>92</v>
      </c>
      <c r="O182" s="66">
        <v>419</v>
      </c>
      <c r="P182" s="67" t="s">
        <v>88</v>
      </c>
      <c r="Q182" s="66">
        <v>441</v>
      </c>
      <c r="R182" s="67" t="s">
        <v>50</v>
      </c>
      <c r="S182" s="68">
        <v>475.19</v>
      </c>
      <c r="T182" s="65">
        <v>494100</v>
      </c>
      <c r="U182" s="65" t="s">
        <v>955</v>
      </c>
      <c r="V182" s="65">
        <v>239310800</v>
      </c>
      <c r="W182" s="65" t="s">
        <v>955</v>
      </c>
      <c r="X182" s="69">
        <v>21</v>
      </c>
    </row>
    <row r="183" spans="1:24">
      <c r="A183" s="60" t="s">
        <v>946</v>
      </c>
      <c r="B183" s="60" t="s">
        <v>604</v>
      </c>
      <c r="C183" s="60" t="s">
        <v>605</v>
      </c>
      <c r="D183" s="60" t="s">
        <v>606</v>
      </c>
      <c r="E183" s="61" t="s">
        <v>46</v>
      </c>
      <c r="F183" s="62" t="s">
        <v>46</v>
      </c>
      <c r="G183" s="63" t="s">
        <v>46</v>
      </c>
      <c r="H183" s="64"/>
      <c r="I183" s="64" t="s">
        <v>47</v>
      </c>
      <c r="J183" s="65">
        <v>10</v>
      </c>
      <c r="K183" s="66">
        <v>4150</v>
      </c>
      <c r="L183" s="67" t="s">
        <v>853</v>
      </c>
      <c r="M183" s="66">
        <v>4880</v>
      </c>
      <c r="N183" s="67" t="s">
        <v>100</v>
      </c>
      <c r="O183" s="66">
        <v>4015</v>
      </c>
      <c r="P183" s="67" t="s">
        <v>853</v>
      </c>
      <c r="Q183" s="66">
        <v>4450</v>
      </c>
      <c r="R183" s="67" t="s">
        <v>50</v>
      </c>
      <c r="S183" s="68">
        <v>4431.1899999999996</v>
      </c>
      <c r="T183" s="65">
        <v>43650</v>
      </c>
      <c r="U183" s="65" t="s">
        <v>955</v>
      </c>
      <c r="V183" s="65">
        <v>199601400</v>
      </c>
      <c r="W183" s="65" t="s">
        <v>955</v>
      </c>
      <c r="X183" s="69">
        <v>21</v>
      </c>
    </row>
    <row r="184" spans="1:24">
      <c r="A184" s="60" t="s">
        <v>946</v>
      </c>
      <c r="B184" s="60" t="s">
        <v>607</v>
      </c>
      <c r="C184" s="60" t="s">
        <v>608</v>
      </c>
      <c r="D184" s="60" t="s">
        <v>609</v>
      </c>
      <c r="E184" s="61" t="s">
        <v>46</v>
      </c>
      <c r="F184" s="62" t="s">
        <v>46</v>
      </c>
      <c r="G184" s="63" t="s">
        <v>46</v>
      </c>
      <c r="H184" s="64"/>
      <c r="I184" s="64" t="s">
        <v>47</v>
      </c>
      <c r="J184" s="65">
        <v>10</v>
      </c>
      <c r="K184" s="66">
        <v>1880</v>
      </c>
      <c r="L184" s="67" t="s">
        <v>853</v>
      </c>
      <c r="M184" s="66">
        <v>2250</v>
      </c>
      <c r="N184" s="67" t="s">
        <v>268</v>
      </c>
      <c r="O184" s="66">
        <v>1815</v>
      </c>
      <c r="P184" s="67" t="s">
        <v>84</v>
      </c>
      <c r="Q184" s="66">
        <v>2068</v>
      </c>
      <c r="R184" s="67" t="s">
        <v>50</v>
      </c>
      <c r="S184" s="68">
        <v>2030.67</v>
      </c>
      <c r="T184" s="65">
        <v>61480</v>
      </c>
      <c r="U184" s="65" t="s">
        <v>955</v>
      </c>
      <c r="V184" s="65">
        <v>125895010</v>
      </c>
      <c r="W184" s="65" t="s">
        <v>955</v>
      </c>
      <c r="X184" s="69">
        <v>21</v>
      </c>
    </row>
    <row r="185" spans="1:24">
      <c r="A185" s="60" t="s">
        <v>946</v>
      </c>
      <c r="B185" s="60" t="s">
        <v>610</v>
      </c>
      <c r="C185" s="60" t="s">
        <v>611</v>
      </c>
      <c r="D185" s="60" t="s">
        <v>612</v>
      </c>
      <c r="E185" s="61" t="s">
        <v>46</v>
      </c>
      <c r="F185" s="62" t="s">
        <v>46</v>
      </c>
      <c r="G185" s="63" t="s">
        <v>46</v>
      </c>
      <c r="H185" s="64"/>
      <c r="I185" s="64" t="s">
        <v>47</v>
      </c>
      <c r="J185" s="65">
        <v>100</v>
      </c>
      <c r="K185" s="66">
        <v>86</v>
      </c>
      <c r="L185" s="67" t="s">
        <v>853</v>
      </c>
      <c r="M185" s="66">
        <v>96</v>
      </c>
      <c r="N185" s="67" t="s">
        <v>50</v>
      </c>
      <c r="O185" s="66">
        <v>86</v>
      </c>
      <c r="P185" s="67" t="s">
        <v>853</v>
      </c>
      <c r="Q185" s="66">
        <v>96</v>
      </c>
      <c r="R185" s="67" t="s">
        <v>50</v>
      </c>
      <c r="S185" s="68">
        <v>90.52</v>
      </c>
      <c r="T185" s="65">
        <v>2484500</v>
      </c>
      <c r="U185" s="65">
        <v>5000</v>
      </c>
      <c r="V185" s="65">
        <v>225068500</v>
      </c>
      <c r="W185" s="65">
        <v>450000</v>
      </c>
      <c r="X185" s="69">
        <v>21</v>
      </c>
    </row>
    <row r="186" spans="1:24">
      <c r="A186" s="60" t="s">
        <v>946</v>
      </c>
      <c r="B186" s="60" t="s">
        <v>614</v>
      </c>
      <c r="C186" s="60" t="s">
        <v>615</v>
      </c>
      <c r="D186" s="60" t="s">
        <v>616</v>
      </c>
      <c r="E186" s="61" t="s">
        <v>46</v>
      </c>
      <c r="F186" s="62" t="s">
        <v>46</v>
      </c>
      <c r="G186" s="63" t="s">
        <v>46</v>
      </c>
      <c r="H186" s="64"/>
      <c r="I186" s="64" t="s">
        <v>47</v>
      </c>
      <c r="J186" s="65">
        <v>100</v>
      </c>
      <c r="K186" s="66">
        <v>115</v>
      </c>
      <c r="L186" s="67" t="s">
        <v>853</v>
      </c>
      <c r="M186" s="66">
        <v>123</v>
      </c>
      <c r="N186" s="67" t="s">
        <v>50</v>
      </c>
      <c r="O186" s="66">
        <v>111</v>
      </c>
      <c r="P186" s="67" t="s">
        <v>49</v>
      </c>
      <c r="Q186" s="66">
        <v>123</v>
      </c>
      <c r="R186" s="67" t="s">
        <v>50</v>
      </c>
      <c r="S186" s="68">
        <v>115.71</v>
      </c>
      <c r="T186" s="65">
        <v>950500</v>
      </c>
      <c r="U186" s="65" t="s">
        <v>955</v>
      </c>
      <c r="V186" s="65">
        <v>110426300</v>
      </c>
      <c r="W186" s="65" t="s">
        <v>955</v>
      </c>
      <c r="X186" s="69">
        <v>21</v>
      </c>
    </row>
    <row r="187" spans="1:24">
      <c r="A187" s="60" t="s">
        <v>946</v>
      </c>
      <c r="B187" s="60" t="s">
        <v>617</v>
      </c>
      <c r="C187" s="60" t="s">
        <v>618</v>
      </c>
      <c r="D187" s="60" t="s">
        <v>619</v>
      </c>
      <c r="E187" s="61" t="s">
        <v>46</v>
      </c>
      <c r="F187" s="62" t="s">
        <v>46</v>
      </c>
      <c r="G187" s="63" t="s">
        <v>46</v>
      </c>
      <c r="H187" s="64"/>
      <c r="I187" s="64" t="s">
        <v>47</v>
      </c>
      <c r="J187" s="65">
        <v>10</v>
      </c>
      <c r="K187" s="66">
        <v>2611</v>
      </c>
      <c r="L187" s="67" t="s">
        <v>853</v>
      </c>
      <c r="M187" s="66">
        <v>2646</v>
      </c>
      <c r="N187" s="67" t="s">
        <v>268</v>
      </c>
      <c r="O187" s="66">
        <v>2521</v>
      </c>
      <c r="P187" s="67" t="s">
        <v>49</v>
      </c>
      <c r="Q187" s="66">
        <v>2634</v>
      </c>
      <c r="R187" s="67" t="s">
        <v>50</v>
      </c>
      <c r="S187" s="68">
        <v>2585.19</v>
      </c>
      <c r="T187" s="65">
        <v>16230</v>
      </c>
      <c r="U187" s="65" t="s">
        <v>955</v>
      </c>
      <c r="V187" s="65">
        <v>41934480</v>
      </c>
      <c r="W187" s="65" t="s">
        <v>955</v>
      </c>
      <c r="X187" s="69">
        <v>21</v>
      </c>
    </row>
    <row r="188" spans="1:24">
      <c r="A188" s="60" t="s">
        <v>946</v>
      </c>
      <c r="B188" s="60" t="s">
        <v>620</v>
      </c>
      <c r="C188" s="60" t="s">
        <v>621</v>
      </c>
      <c r="D188" s="60" t="s">
        <v>622</v>
      </c>
      <c r="E188" s="61" t="s">
        <v>46</v>
      </c>
      <c r="F188" s="62" t="s">
        <v>46</v>
      </c>
      <c r="G188" s="63" t="s">
        <v>46</v>
      </c>
      <c r="H188" s="64"/>
      <c r="I188" s="64" t="s">
        <v>47</v>
      </c>
      <c r="J188" s="65">
        <v>10</v>
      </c>
      <c r="K188" s="66">
        <v>1903</v>
      </c>
      <c r="L188" s="67" t="s">
        <v>853</v>
      </c>
      <c r="M188" s="66">
        <v>1927</v>
      </c>
      <c r="N188" s="67" t="s">
        <v>48</v>
      </c>
      <c r="O188" s="66">
        <v>1855</v>
      </c>
      <c r="P188" s="67" t="s">
        <v>172</v>
      </c>
      <c r="Q188" s="66">
        <v>1868</v>
      </c>
      <c r="R188" s="67" t="s">
        <v>50</v>
      </c>
      <c r="S188" s="68">
        <v>1890.57</v>
      </c>
      <c r="T188" s="65">
        <v>45230</v>
      </c>
      <c r="U188" s="65">
        <v>70</v>
      </c>
      <c r="V188" s="65">
        <v>85127730</v>
      </c>
      <c r="W188" s="65">
        <v>132080</v>
      </c>
      <c r="X188" s="69">
        <v>21</v>
      </c>
    </row>
    <row r="189" spans="1:24">
      <c r="A189" s="60" t="s">
        <v>946</v>
      </c>
      <c r="B189" s="60" t="s">
        <v>623</v>
      </c>
      <c r="C189" s="60" t="s">
        <v>624</v>
      </c>
      <c r="D189" s="60" t="s">
        <v>625</v>
      </c>
      <c r="E189" s="61" t="s">
        <v>46</v>
      </c>
      <c r="F189" s="62" t="s">
        <v>46</v>
      </c>
      <c r="G189" s="63" t="s">
        <v>46</v>
      </c>
      <c r="H189" s="64"/>
      <c r="I189" s="64" t="s">
        <v>47</v>
      </c>
      <c r="J189" s="65">
        <v>10</v>
      </c>
      <c r="K189" s="66">
        <v>206</v>
      </c>
      <c r="L189" s="67" t="s">
        <v>853</v>
      </c>
      <c r="M189" s="66">
        <v>235</v>
      </c>
      <c r="N189" s="67" t="s">
        <v>73</v>
      </c>
      <c r="O189" s="66">
        <v>204</v>
      </c>
      <c r="P189" s="67" t="s">
        <v>853</v>
      </c>
      <c r="Q189" s="66">
        <v>228</v>
      </c>
      <c r="R189" s="67" t="s">
        <v>50</v>
      </c>
      <c r="S189" s="68">
        <v>223.71</v>
      </c>
      <c r="T189" s="65">
        <v>96736420</v>
      </c>
      <c r="U189" s="65">
        <v>235490</v>
      </c>
      <c r="V189" s="65">
        <v>21473953586</v>
      </c>
      <c r="W189" s="65">
        <v>53342516</v>
      </c>
      <c r="X189" s="69">
        <v>21</v>
      </c>
    </row>
    <row r="190" spans="1:24">
      <c r="A190" s="60" t="s">
        <v>946</v>
      </c>
      <c r="B190" s="60" t="s">
        <v>626</v>
      </c>
      <c r="C190" s="60" t="s">
        <v>627</v>
      </c>
      <c r="D190" s="60" t="s">
        <v>628</v>
      </c>
      <c r="E190" s="61" t="s">
        <v>46</v>
      </c>
      <c r="F190" s="62" t="s">
        <v>46</v>
      </c>
      <c r="G190" s="63" t="s">
        <v>46</v>
      </c>
      <c r="H190" s="64"/>
      <c r="I190" s="64" t="s">
        <v>629</v>
      </c>
      <c r="J190" s="65">
        <v>1</v>
      </c>
      <c r="K190" s="66">
        <v>8720</v>
      </c>
      <c r="L190" s="67" t="s">
        <v>853</v>
      </c>
      <c r="M190" s="66">
        <v>10020</v>
      </c>
      <c r="N190" s="67" t="s">
        <v>371</v>
      </c>
      <c r="O190" s="66">
        <v>8000</v>
      </c>
      <c r="P190" s="67" t="s">
        <v>48</v>
      </c>
      <c r="Q190" s="66">
        <v>9370</v>
      </c>
      <c r="R190" s="67" t="s">
        <v>50</v>
      </c>
      <c r="S190" s="68">
        <v>9180</v>
      </c>
      <c r="T190" s="65">
        <v>23281</v>
      </c>
      <c r="U190" s="65" t="s">
        <v>955</v>
      </c>
      <c r="V190" s="65">
        <v>213834270</v>
      </c>
      <c r="W190" s="65" t="s">
        <v>955</v>
      </c>
      <c r="X190" s="69">
        <v>21</v>
      </c>
    </row>
    <row r="191" spans="1:24">
      <c r="A191" s="60" t="s">
        <v>946</v>
      </c>
      <c r="B191" s="60" t="s">
        <v>630</v>
      </c>
      <c r="C191" s="60" t="s">
        <v>631</v>
      </c>
      <c r="D191" s="60" t="s">
        <v>632</v>
      </c>
      <c r="E191" s="61" t="s">
        <v>46</v>
      </c>
      <c r="F191" s="62" t="s">
        <v>46</v>
      </c>
      <c r="G191" s="63" t="s">
        <v>46</v>
      </c>
      <c r="H191" s="64"/>
      <c r="I191" s="64" t="s">
        <v>629</v>
      </c>
      <c r="J191" s="65">
        <v>1</v>
      </c>
      <c r="K191" s="66">
        <v>6120</v>
      </c>
      <c r="L191" s="67" t="s">
        <v>853</v>
      </c>
      <c r="M191" s="66">
        <v>6250</v>
      </c>
      <c r="N191" s="67" t="s">
        <v>84</v>
      </c>
      <c r="O191" s="66">
        <v>5720</v>
      </c>
      <c r="P191" s="67" t="s">
        <v>176</v>
      </c>
      <c r="Q191" s="66">
        <v>5880</v>
      </c>
      <c r="R191" s="67" t="s">
        <v>50</v>
      </c>
      <c r="S191" s="68">
        <v>5960.48</v>
      </c>
      <c r="T191" s="65">
        <v>11043</v>
      </c>
      <c r="U191" s="65">
        <v>2</v>
      </c>
      <c r="V191" s="65">
        <v>66104980</v>
      </c>
      <c r="W191" s="65">
        <v>12350</v>
      </c>
      <c r="X191" s="69">
        <v>21</v>
      </c>
    </row>
    <row r="192" spans="1:24">
      <c r="A192" s="60" t="s">
        <v>946</v>
      </c>
      <c r="B192" s="60" t="s">
        <v>633</v>
      </c>
      <c r="C192" s="60" t="s">
        <v>634</v>
      </c>
      <c r="D192" s="60" t="s">
        <v>635</v>
      </c>
      <c r="E192" s="61" t="s">
        <v>46</v>
      </c>
      <c r="F192" s="62" t="s">
        <v>46</v>
      </c>
      <c r="G192" s="63" t="s">
        <v>46</v>
      </c>
      <c r="H192" s="64"/>
      <c r="I192" s="64" t="s">
        <v>629</v>
      </c>
      <c r="J192" s="65">
        <v>1</v>
      </c>
      <c r="K192" s="66">
        <v>16750</v>
      </c>
      <c r="L192" s="67" t="s">
        <v>853</v>
      </c>
      <c r="M192" s="66">
        <v>17000</v>
      </c>
      <c r="N192" s="67" t="s">
        <v>240</v>
      </c>
      <c r="O192" s="66">
        <v>15050</v>
      </c>
      <c r="P192" s="67" t="s">
        <v>131</v>
      </c>
      <c r="Q192" s="66">
        <v>16010</v>
      </c>
      <c r="R192" s="67" t="s">
        <v>50</v>
      </c>
      <c r="S192" s="68">
        <v>16031</v>
      </c>
      <c r="T192" s="65">
        <v>2826</v>
      </c>
      <c r="U192" s="65" t="s">
        <v>955</v>
      </c>
      <c r="V192" s="65">
        <v>44994190</v>
      </c>
      <c r="W192" s="65" t="s">
        <v>955</v>
      </c>
      <c r="X192" s="69">
        <v>20</v>
      </c>
    </row>
    <row r="193" spans="1:24">
      <c r="A193" s="60" t="s">
        <v>946</v>
      </c>
      <c r="B193" s="60" t="s">
        <v>636</v>
      </c>
      <c r="C193" s="60" t="s">
        <v>637</v>
      </c>
      <c r="D193" s="60" t="s">
        <v>638</v>
      </c>
      <c r="E193" s="61" t="s">
        <v>46</v>
      </c>
      <c r="F193" s="62" t="s">
        <v>46</v>
      </c>
      <c r="G193" s="63" t="s">
        <v>46</v>
      </c>
      <c r="H193" s="64"/>
      <c r="I193" s="64" t="s">
        <v>629</v>
      </c>
      <c r="J193" s="65">
        <v>1</v>
      </c>
      <c r="K193" s="66">
        <v>6010</v>
      </c>
      <c r="L193" s="67" t="s">
        <v>853</v>
      </c>
      <c r="M193" s="66">
        <v>6370</v>
      </c>
      <c r="N193" s="67" t="s">
        <v>92</v>
      </c>
      <c r="O193" s="66">
        <v>5980</v>
      </c>
      <c r="P193" s="67" t="s">
        <v>853</v>
      </c>
      <c r="Q193" s="66">
        <v>6320</v>
      </c>
      <c r="R193" s="67" t="s">
        <v>50</v>
      </c>
      <c r="S193" s="68">
        <v>6230.48</v>
      </c>
      <c r="T193" s="65">
        <v>38750</v>
      </c>
      <c r="U193" s="65">
        <v>2</v>
      </c>
      <c r="V193" s="65">
        <v>241435170</v>
      </c>
      <c r="W193" s="65">
        <v>12400</v>
      </c>
      <c r="X193" s="69">
        <v>21</v>
      </c>
    </row>
    <row r="194" spans="1:24">
      <c r="A194" s="60" t="s">
        <v>946</v>
      </c>
      <c r="B194" s="60" t="s">
        <v>639</v>
      </c>
      <c r="C194" s="60" t="s">
        <v>640</v>
      </c>
      <c r="D194" s="60" t="s">
        <v>641</v>
      </c>
      <c r="E194" s="61" t="s">
        <v>46</v>
      </c>
      <c r="F194" s="62" t="s">
        <v>46</v>
      </c>
      <c r="G194" s="63" t="s">
        <v>46</v>
      </c>
      <c r="H194" s="64"/>
      <c r="I194" s="64" t="s">
        <v>629</v>
      </c>
      <c r="J194" s="65">
        <v>1</v>
      </c>
      <c r="K194" s="66">
        <v>147</v>
      </c>
      <c r="L194" s="67" t="s">
        <v>853</v>
      </c>
      <c r="M194" s="66">
        <v>164</v>
      </c>
      <c r="N194" s="67" t="s">
        <v>84</v>
      </c>
      <c r="O194" s="66">
        <v>126</v>
      </c>
      <c r="P194" s="67" t="s">
        <v>240</v>
      </c>
      <c r="Q194" s="66">
        <v>130</v>
      </c>
      <c r="R194" s="67" t="s">
        <v>50</v>
      </c>
      <c r="S194" s="68">
        <v>142.1</v>
      </c>
      <c r="T194" s="65">
        <v>16480847</v>
      </c>
      <c r="U194" s="65" t="s">
        <v>955</v>
      </c>
      <c r="V194" s="65">
        <v>2383616941</v>
      </c>
      <c r="W194" s="65" t="s">
        <v>955</v>
      </c>
      <c r="X194" s="69">
        <v>21</v>
      </c>
    </row>
    <row r="195" spans="1:24">
      <c r="A195" s="60" t="s">
        <v>946</v>
      </c>
      <c r="B195" s="60" t="s">
        <v>642</v>
      </c>
      <c r="C195" s="60" t="s">
        <v>643</v>
      </c>
      <c r="D195" s="60" t="s">
        <v>644</v>
      </c>
      <c r="E195" s="61" t="s">
        <v>46</v>
      </c>
      <c r="F195" s="62" t="s">
        <v>46</v>
      </c>
      <c r="G195" s="63" t="s">
        <v>46</v>
      </c>
      <c r="H195" s="64"/>
      <c r="I195" s="64" t="s">
        <v>629</v>
      </c>
      <c r="J195" s="65">
        <v>1</v>
      </c>
      <c r="K195" s="66">
        <v>17100</v>
      </c>
      <c r="L195" s="67" t="s">
        <v>853</v>
      </c>
      <c r="M195" s="66">
        <v>18980</v>
      </c>
      <c r="N195" s="67" t="s">
        <v>240</v>
      </c>
      <c r="O195" s="66">
        <v>17010</v>
      </c>
      <c r="P195" s="67" t="s">
        <v>853</v>
      </c>
      <c r="Q195" s="66">
        <v>18560</v>
      </c>
      <c r="R195" s="67" t="s">
        <v>50</v>
      </c>
      <c r="S195" s="68">
        <v>18021.900000000001</v>
      </c>
      <c r="T195" s="65">
        <v>27662</v>
      </c>
      <c r="U195" s="65" t="s">
        <v>955</v>
      </c>
      <c r="V195" s="65">
        <v>500907600</v>
      </c>
      <c r="W195" s="65" t="s">
        <v>955</v>
      </c>
      <c r="X195" s="69">
        <v>21</v>
      </c>
    </row>
    <row r="196" spans="1:24">
      <c r="A196" s="60" t="s">
        <v>946</v>
      </c>
      <c r="B196" s="60" t="s">
        <v>645</v>
      </c>
      <c r="C196" s="60" t="s">
        <v>646</v>
      </c>
      <c r="D196" s="60" t="s">
        <v>647</v>
      </c>
      <c r="E196" s="61" t="s">
        <v>46</v>
      </c>
      <c r="F196" s="62" t="s">
        <v>46</v>
      </c>
      <c r="G196" s="63" t="s">
        <v>46</v>
      </c>
      <c r="H196" s="64"/>
      <c r="I196" s="64" t="s">
        <v>629</v>
      </c>
      <c r="J196" s="65">
        <v>1</v>
      </c>
      <c r="K196" s="66">
        <v>5570</v>
      </c>
      <c r="L196" s="67" t="s">
        <v>853</v>
      </c>
      <c r="M196" s="66">
        <v>5650</v>
      </c>
      <c r="N196" s="67" t="s">
        <v>853</v>
      </c>
      <c r="O196" s="66">
        <v>5290</v>
      </c>
      <c r="P196" s="67" t="s">
        <v>69</v>
      </c>
      <c r="Q196" s="66">
        <v>5350</v>
      </c>
      <c r="R196" s="67" t="s">
        <v>50</v>
      </c>
      <c r="S196" s="68">
        <v>5436.19</v>
      </c>
      <c r="T196" s="65">
        <v>9245</v>
      </c>
      <c r="U196" s="65" t="s">
        <v>955</v>
      </c>
      <c r="V196" s="65">
        <v>50582900</v>
      </c>
      <c r="W196" s="65" t="s">
        <v>955</v>
      </c>
      <c r="X196" s="69">
        <v>21</v>
      </c>
    </row>
    <row r="197" spans="1:24">
      <c r="A197" s="60" t="s">
        <v>946</v>
      </c>
      <c r="B197" s="60" t="s">
        <v>648</v>
      </c>
      <c r="C197" s="60" t="s">
        <v>649</v>
      </c>
      <c r="D197" s="60" t="s">
        <v>650</v>
      </c>
      <c r="E197" s="61" t="s">
        <v>46</v>
      </c>
      <c r="F197" s="62" t="s">
        <v>46</v>
      </c>
      <c r="G197" s="63" t="s">
        <v>46</v>
      </c>
      <c r="H197" s="64"/>
      <c r="I197" s="64" t="s">
        <v>629</v>
      </c>
      <c r="J197" s="65">
        <v>1</v>
      </c>
      <c r="K197" s="66">
        <v>713</v>
      </c>
      <c r="L197" s="67" t="s">
        <v>853</v>
      </c>
      <c r="M197" s="66">
        <v>900</v>
      </c>
      <c r="N197" s="67" t="s">
        <v>100</v>
      </c>
      <c r="O197" s="66">
        <v>697</v>
      </c>
      <c r="P197" s="67" t="s">
        <v>853</v>
      </c>
      <c r="Q197" s="66">
        <v>837</v>
      </c>
      <c r="R197" s="67" t="s">
        <v>50</v>
      </c>
      <c r="S197" s="68">
        <v>828.86</v>
      </c>
      <c r="T197" s="65">
        <v>151719515</v>
      </c>
      <c r="U197" s="65">
        <v>300000</v>
      </c>
      <c r="V197" s="65">
        <v>125262615598</v>
      </c>
      <c r="W197" s="65">
        <v>266400000</v>
      </c>
      <c r="X197" s="69">
        <v>21</v>
      </c>
    </row>
    <row r="198" spans="1:24">
      <c r="A198" s="60" t="s">
        <v>946</v>
      </c>
      <c r="B198" s="60" t="s">
        <v>651</v>
      </c>
      <c r="C198" s="60" t="s">
        <v>652</v>
      </c>
      <c r="D198" s="60" t="s">
        <v>653</v>
      </c>
      <c r="E198" s="61" t="s">
        <v>46</v>
      </c>
      <c r="F198" s="62" t="s">
        <v>46</v>
      </c>
      <c r="G198" s="63" t="s">
        <v>46</v>
      </c>
      <c r="H198" s="64"/>
      <c r="I198" s="64" t="s">
        <v>629</v>
      </c>
      <c r="J198" s="65">
        <v>1</v>
      </c>
      <c r="K198" s="66">
        <v>2968</v>
      </c>
      <c r="L198" s="67" t="s">
        <v>853</v>
      </c>
      <c r="M198" s="66">
        <v>2986</v>
      </c>
      <c r="N198" s="67" t="s">
        <v>853</v>
      </c>
      <c r="O198" s="66">
        <v>2600</v>
      </c>
      <c r="P198" s="67" t="s">
        <v>100</v>
      </c>
      <c r="Q198" s="66">
        <v>2675</v>
      </c>
      <c r="R198" s="67" t="s">
        <v>50</v>
      </c>
      <c r="S198" s="68">
        <v>2715.57</v>
      </c>
      <c r="T198" s="65">
        <v>1199545</v>
      </c>
      <c r="U198" s="65">
        <v>84</v>
      </c>
      <c r="V198" s="65">
        <v>3254177115</v>
      </c>
      <c r="W198" s="65">
        <v>237715</v>
      </c>
      <c r="X198" s="69">
        <v>21</v>
      </c>
    </row>
    <row r="199" spans="1:24">
      <c r="A199" s="60" t="s">
        <v>946</v>
      </c>
      <c r="B199" s="60" t="s">
        <v>654</v>
      </c>
      <c r="C199" s="60" t="s">
        <v>655</v>
      </c>
      <c r="D199" s="60" t="s">
        <v>656</v>
      </c>
      <c r="E199" s="61" t="s">
        <v>46</v>
      </c>
      <c r="F199" s="62" t="s">
        <v>46</v>
      </c>
      <c r="G199" s="63" t="s">
        <v>46</v>
      </c>
      <c r="H199" s="64"/>
      <c r="I199" s="64" t="s">
        <v>629</v>
      </c>
      <c r="J199" s="65">
        <v>1</v>
      </c>
      <c r="K199" s="66">
        <v>29890</v>
      </c>
      <c r="L199" s="67" t="s">
        <v>853</v>
      </c>
      <c r="M199" s="66">
        <v>32800</v>
      </c>
      <c r="N199" s="67" t="s">
        <v>240</v>
      </c>
      <c r="O199" s="66">
        <v>29370</v>
      </c>
      <c r="P199" s="67" t="s">
        <v>853</v>
      </c>
      <c r="Q199" s="66">
        <v>32550</v>
      </c>
      <c r="R199" s="67" t="s">
        <v>50</v>
      </c>
      <c r="S199" s="68">
        <v>31297.14</v>
      </c>
      <c r="T199" s="65">
        <v>156736</v>
      </c>
      <c r="U199" s="65" t="s">
        <v>955</v>
      </c>
      <c r="V199" s="65">
        <v>4873229190</v>
      </c>
      <c r="W199" s="65" t="s">
        <v>955</v>
      </c>
      <c r="X199" s="69">
        <v>21</v>
      </c>
    </row>
    <row r="200" spans="1:24">
      <c r="A200" s="60" t="s">
        <v>946</v>
      </c>
      <c r="B200" s="60" t="s">
        <v>657</v>
      </c>
      <c r="C200" s="60" t="s">
        <v>658</v>
      </c>
      <c r="D200" s="60" t="s">
        <v>659</v>
      </c>
      <c r="E200" s="61" t="s">
        <v>46</v>
      </c>
      <c r="F200" s="62" t="s">
        <v>46</v>
      </c>
      <c r="G200" s="63" t="s">
        <v>46</v>
      </c>
      <c r="H200" s="64"/>
      <c r="I200" s="64" t="s">
        <v>629</v>
      </c>
      <c r="J200" s="65">
        <v>1</v>
      </c>
      <c r="K200" s="66">
        <v>2988</v>
      </c>
      <c r="L200" s="67" t="s">
        <v>853</v>
      </c>
      <c r="M200" s="66">
        <v>3025</v>
      </c>
      <c r="N200" s="67" t="s">
        <v>853</v>
      </c>
      <c r="O200" s="66">
        <v>2835</v>
      </c>
      <c r="P200" s="67" t="s">
        <v>240</v>
      </c>
      <c r="Q200" s="66">
        <v>2853</v>
      </c>
      <c r="R200" s="67" t="s">
        <v>50</v>
      </c>
      <c r="S200" s="68">
        <v>2909.81</v>
      </c>
      <c r="T200" s="65">
        <v>503654</v>
      </c>
      <c r="U200" s="65">
        <v>3502</v>
      </c>
      <c r="V200" s="65">
        <v>1474028052</v>
      </c>
      <c r="W200" s="65">
        <v>10005199</v>
      </c>
      <c r="X200" s="69">
        <v>21</v>
      </c>
    </row>
    <row r="201" spans="1:24">
      <c r="A201" s="60" t="s">
        <v>946</v>
      </c>
      <c r="B201" s="60" t="s">
        <v>660</v>
      </c>
      <c r="C201" s="60" t="s">
        <v>661</v>
      </c>
      <c r="D201" s="60" t="s">
        <v>662</v>
      </c>
      <c r="E201" s="61" t="s">
        <v>46</v>
      </c>
      <c r="F201" s="62" t="s">
        <v>46</v>
      </c>
      <c r="G201" s="63" t="s">
        <v>46</v>
      </c>
      <c r="H201" s="64"/>
      <c r="I201" s="64" t="s">
        <v>629</v>
      </c>
      <c r="J201" s="65">
        <v>1</v>
      </c>
      <c r="K201" s="66">
        <v>11910</v>
      </c>
      <c r="L201" s="67" t="s">
        <v>853</v>
      </c>
      <c r="M201" s="66">
        <v>12230</v>
      </c>
      <c r="N201" s="67" t="s">
        <v>100</v>
      </c>
      <c r="O201" s="66">
        <v>11280</v>
      </c>
      <c r="P201" s="67" t="s">
        <v>77</v>
      </c>
      <c r="Q201" s="66">
        <v>11940</v>
      </c>
      <c r="R201" s="67" t="s">
        <v>50</v>
      </c>
      <c r="S201" s="68">
        <v>11849.52</v>
      </c>
      <c r="T201" s="65">
        <v>38288</v>
      </c>
      <c r="U201" s="65">
        <v>4308</v>
      </c>
      <c r="V201" s="65">
        <v>454192580</v>
      </c>
      <c r="W201" s="65">
        <v>50894630</v>
      </c>
      <c r="X201" s="69">
        <v>21</v>
      </c>
    </row>
    <row r="202" spans="1:24">
      <c r="A202" s="60" t="s">
        <v>946</v>
      </c>
      <c r="B202" s="60" t="s">
        <v>663</v>
      </c>
      <c r="C202" s="60" t="s">
        <v>664</v>
      </c>
      <c r="D202" s="60" t="s">
        <v>665</v>
      </c>
      <c r="E202" s="61" t="s">
        <v>46</v>
      </c>
      <c r="F202" s="62" t="s">
        <v>46</v>
      </c>
      <c r="G202" s="63" t="s">
        <v>46</v>
      </c>
      <c r="H202" s="64"/>
      <c r="I202" s="64" t="s">
        <v>629</v>
      </c>
      <c r="J202" s="65">
        <v>1</v>
      </c>
      <c r="K202" s="66">
        <v>12900</v>
      </c>
      <c r="L202" s="67" t="s">
        <v>853</v>
      </c>
      <c r="M202" s="66">
        <v>14000</v>
      </c>
      <c r="N202" s="67" t="s">
        <v>371</v>
      </c>
      <c r="O202" s="66">
        <v>12900</v>
      </c>
      <c r="P202" s="67" t="s">
        <v>853</v>
      </c>
      <c r="Q202" s="66">
        <v>13960</v>
      </c>
      <c r="R202" s="67" t="s">
        <v>50</v>
      </c>
      <c r="S202" s="68">
        <v>13558</v>
      </c>
      <c r="T202" s="65">
        <v>311</v>
      </c>
      <c r="U202" s="65">
        <v>2</v>
      </c>
      <c r="V202" s="65">
        <v>4278360</v>
      </c>
      <c r="W202" s="65">
        <v>26280</v>
      </c>
      <c r="X202" s="69">
        <v>15</v>
      </c>
    </row>
    <row r="203" spans="1:24">
      <c r="A203" s="60" t="s">
        <v>946</v>
      </c>
      <c r="B203" s="60" t="s">
        <v>666</v>
      </c>
      <c r="C203" s="60" t="s">
        <v>667</v>
      </c>
      <c r="D203" s="60" t="s">
        <v>668</v>
      </c>
      <c r="E203" s="61" t="s">
        <v>46</v>
      </c>
      <c r="F203" s="62" t="s">
        <v>46</v>
      </c>
      <c r="G203" s="63" t="s">
        <v>46</v>
      </c>
      <c r="H203" s="64"/>
      <c r="I203" s="64" t="s">
        <v>629</v>
      </c>
      <c r="J203" s="65">
        <v>1</v>
      </c>
      <c r="K203" s="66">
        <v>18540</v>
      </c>
      <c r="L203" s="67" t="s">
        <v>853</v>
      </c>
      <c r="M203" s="66">
        <v>19980</v>
      </c>
      <c r="N203" s="67" t="s">
        <v>73</v>
      </c>
      <c r="O203" s="66">
        <v>18310</v>
      </c>
      <c r="P203" s="67" t="s">
        <v>853</v>
      </c>
      <c r="Q203" s="66">
        <v>19830</v>
      </c>
      <c r="R203" s="67" t="s">
        <v>50</v>
      </c>
      <c r="S203" s="68">
        <v>19236.189999999999</v>
      </c>
      <c r="T203" s="65">
        <v>29507</v>
      </c>
      <c r="U203" s="65">
        <v>600</v>
      </c>
      <c r="V203" s="65">
        <v>575132520</v>
      </c>
      <c r="W203" s="65">
        <v>12067800</v>
      </c>
      <c r="X203" s="69">
        <v>21</v>
      </c>
    </row>
    <row r="204" spans="1:24">
      <c r="A204" s="60" t="s">
        <v>946</v>
      </c>
      <c r="B204" s="60" t="s">
        <v>669</v>
      </c>
      <c r="C204" s="60" t="s">
        <v>670</v>
      </c>
      <c r="D204" s="60" t="s">
        <v>671</v>
      </c>
      <c r="E204" s="61" t="s">
        <v>46</v>
      </c>
      <c r="F204" s="62" t="s">
        <v>46</v>
      </c>
      <c r="G204" s="63" t="s">
        <v>46</v>
      </c>
      <c r="H204" s="64"/>
      <c r="I204" s="64" t="s">
        <v>629</v>
      </c>
      <c r="J204" s="65">
        <v>1</v>
      </c>
      <c r="K204" s="66">
        <v>13500</v>
      </c>
      <c r="L204" s="67" t="s">
        <v>853</v>
      </c>
      <c r="M204" s="66">
        <v>14350</v>
      </c>
      <c r="N204" s="67" t="s">
        <v>613</v>
      </c>
      <c r="O204" s="66">
        <v>13270</v>
      </c>
      <c r="P204" s="67" t="s">
        <v>77</v>
      </c>
      <c r="Q204" s="66">
        <v>14210</v>
      </c>
      <c r="R204" s="67" t="s">
        <v>50</v>
      </c>
      <c r="S204" s="68">
        <v>13857.5</v>
      </c>
      <c r="T204" s="65">
        <v>1166</v>
      </c>
      <c r="U204" s="65" t="s">
        <v>955</v>
      </c>
      <c r="V204" s="65">
        <v>15931240</v>
      </c>
      <c r="W204" s="65" t="s">
        <v>955</v>
      </c>
      <c r="X204" s="69">
        <v>16</v>
      </c>
    </row>
    <row r="205" spans="1:24">
      <c r="A205" s="60" t="s">
        <v>946</v>
      </c>
      <c r="B205" s="60" t="s">
        <v>672</v>
      </c>
      <c r="C205" s="60" t="s">
        <v>673</v>
      </c>
      <c r="D205" s="60" t="s">
        <v>674</v>
      </c>
      <c r="E205" s="61" t="s">
        <v>46</v>
      </c>
      <c r="F205" s="62" t="s">
        <v>46</v>
      </c>
      <c r="G205" s="63" t="s">
        <v>46</v>
      </c>
      <c r="H205" s="64"/>
      <c r="I205" s="64" t="s">
        <v>629</v>
      </c>
      <c r="J205" s="65">
        <v>1</v>
      </c>
      <c r="K205" s="66">
        <v>18240</v>
      </c>
      <c r="L205" s="67" t="s">
        <v>853</v>
      </c>
      <c r="M205" s="66">
        <v>20800</v>
      </c>
      <c r="N205" s="67" t="s">
        <v>613</v>
      </c>
      <c r="O205" s="66">
        <v>17830</v>
      </c>
      <c r="P205" s="67" t="s">
        <v>84</v>
      </c>
      <c r="Q205" s="66">
        <v>19060</v>
      </c>
      <c r="R205" s="67" t="s">
        <v>50</v>
      </c>
      <c r="S205" s="68">
        <v>19426.669999999998</v>
      </c>
      <c r="T205" s="65">
        <v>141061</v>
      </c>
      <c r="U205" s="65">
        <v>20</v>
      </c>
      <c r="V205" s="65">
        <v>2783592880</v>
      </c>
      <c r="W205" s="65">
        <v>392090</v>
      </c>
      <c r="X205" s="69">
        <v>21</v>
      </c>
    </row>
    <row r="206" spans="1:24">
      <c r="A206" s="60" t="s">
        <v>946</v>
      </c>
      <c r="B206" s="60" t="s">
        <v>675</v>
      </c>
      <c r="C206" s="60" t="s">
        <v>676</v>
      </c>
      <c r="D206" s="60" t="s">
        <v>677</v>
      </c>
      <c r="E206" s="61" t="s">
        <v>46</v>
      </c>
      <c r="F206" s="62" t="s">
        <v>46</v>
      </c>
      <c r="G206" s="63" t="s">
        <v>46</v>
      </c>
      <c r="H206" s="64"/>
      <c r="I206" s="64" t="s">
        <v>629</v>
      </c>
      <c r="J206" s="65">
        <v>1</v>
      </c>
      <c r="K206" s="66">
        <v>3970</v>
      </c>
      <c r="L206" s="67" t="s">
        <v>853</v>
      </c>
      <c r="M206" s="66">
        <v>3975</v>
      </c>
      <c r="N206" s="67" t="s">
        <v>853</v>
      </c>
      <c r="O206" s="66">
        <v>3720</v>
      </c>
      <c r="P206" s="67" t="s">
        <v>613</v>
      </c>
      <c r="Q206" s="66">
        <v>3910</v>
      </c>
      <c r="R206" s="67" t="s">
        <v>50</v>
      </c>
      <c r="S206" s="68">
        <v>3843.57</v>
      </c>
      <c r="T206" s="65">
        <v>16186</v>
      </c>
      <c r="U206" s="65" t="s">
        <v>955</v>
      </c>
      <c r="V206" s="65">
        <v>62780920</v>
      </c>
      <c r="W206" s="65" t="s">
        <v>955</v>
      </c>
      <c r="X206" s="69">
        <v>21</v>
      </c>
    </row>
    <row r="207" spans="1:24">
      <c r="A207" s="60" t="s">
        <v>946</v>
      </c>
      <c r="B207" s="60" t="s">
        <v>678</v>
      </c>
      <c r="C207" s="60" t="s">
        <v>679</v>
      </c>
      <c r="D207" s="60" t="s">
        <v>680</v>
      </c>
      <c r="E207" s="61" t="s">
        <v>46</v>
      </c>
      <c r="F207" s="62" t="s">
        <v>46</v>
      </c>
      <c r="G207" s="63" t="s">
        <v>46</v>
      </c>
      <c r="H207" s="64"/>
      <c r="I207" s="64" t="s">
        <v>629</v>
      </c>
      <c r="J207" s="65">
        <v>1</v>
      </c>
      <c r="K207" s="66">
        <v>11390</v>
      </c>
      <c r="L207" s="67" t="s">
        <v>853</v>
      </c>
      <c r="M207" s="66">
        <v>12230</v>
      </c>
      <c r="N207" s="67" t="s">
        <v>100</v>
      </c>
      <c r="O207" s="66">
        <v>11390</v>
      </c>
      <c r="P207" s="67" t="s">
        <v>853</v>
      </c>
      <c r="Q207" s="66">
        <v>11630</v>
      </c>
      <c r="R207" s="67" t="s">
        <v>50</v>
      </c>
      <c r="S207" s="68">
        <v>11795.38</v>
      </c>
      <c r="T207" s="65">
        <v>2338</v>
      </c>
      <c r="U207" s="65">
        <v>1</v>
      </c>
      <c r="V207" s="65">
        <v>27790260</v>
      </c>
      <c r="W207" s="65">
        <v>12040</v>
      </c>
      <c r="X207" s="69">
        <v>13</v>
      </c>
    </row>
    <row r="208" spans="1:24">
      <c r="A208" s="60" t="s">
        <v>946</v>
      </c>
      <c r="B208" s="60" t="s">
        <v>681</v>
      </c>
      <c r="C208" s="60" t="s">
        <v>682</v>
      </c>
      <c r="D208" s="60" t="s">
        <v>683</v>
      </c>
      <c r="E208" s="61" t="s">
        <v>46</v>
      </c>
      <c r="F208" s="62" t="s">
        <v>46</v>
      </c>
      <c r="G208" s="63" t="s">
        <v>46</v>
      </c>
      <c r="H208" s="64"/>
      <c r="I208" s="64" t="s">
        <v>629</v>
      </c>
      <c r="J208" s="65">
        <v>1</v>
      </c>
      <c r="K208" s="66">
        <v>12730</v>
      </c>
      <c r="L208" s="67" t="s">
        <v>172</v>
      </c>
      <c r="M208" s="66">
        <v>12910</v>
      </c>
      <c r="N208" s="67" t="s">
        <v>131</v>
      </c>
      <c r="O208" s="66">
        <v>12730</v>
      </c>
      <c r="P208" s="67" t="s">
        <v>172</v>
      </c>
      <c r="Q208" s="66">
        <v>12910</v>
      </c>
      <c r="R208" s="67" t="s">
        <v>131</v>
      </c>
      <c r="S208" s="68">
        <v>12820</v>
      </c>
      <c r="T208" s="65">
        <v>2</v>
      </c>
      <c r="U208" s="65" t="s">
        <v>955</v>
      </c>
      <c r="V208" s="65">
        <v>25640</v>
      </c>
      <c r="W208" s="65" t="s">
        <v>955</v>
      </c>
      <c r="X208" s="69">
        <v>2</v>
      </c>
    </row>
    <row r="209" spans="1:24">
      <c r="A209" s="60" t="s">
        <v>946</v>
      </c>
      <c r="B209" s="60" t="s">
        <v>684</v>
      </c>
      <c r="C209" s="60" t="s">
        <v>685</v>
      </c>
      <c r="D209" s="60" t="s">
        <v>686</v>
      </c>
      <c r="E209" s="61" t="s">
        <v>46</v>
      </c>
      <c r="F209" s="62" t="s">
        <v>46</v>
      </c>
      <c r="G209" s="63" t="s">
        <v>46</v>
      </c>
      <c r="H209" s="64"/>
      <c r="I209" s="64" t="s">
        <v>629</v>
      </c>
      <c r="J209" s="65">
        <v>1</v>
      </c>
      <c r="K209" s="66">
        <v>12920</v>
      </c>
      <c r="L209" s="67" t="s">
        <v>84</v>
      </c>
      <c r="M209" s="66">
        <v>13760</v>
      </c>
      <c r="N209" s="67" t="s">
        <v>100</v>
      </c>
      <c r="O209" s="66">
        <v>12920</v>
      </c>
      <c r="P209" s="67" t="s">
        <v>84</v>
      </c>
      <c r="Q209" s="66">
        <v>13340</v>
      </c>
      <c r="R209" s="67" t="s">
        <v>50</v>
      </c>
      <c r="S209" s="68">
        <v>13448.57</v>
      </c>
      <c r="T209" s="65">
        <v>129</v>
      </c>
      <c r="U209" s="65">
        <v>1</v>
      </c>
      <c r="V209" s="65">
        <v>1722790</v>
      </c>
      <c r="W209" s="65">
        <v>13310</v>
      </c>
      <c r="X209" s="69">
        <v>7</v>
      </c>
    </row>
    <row r="210" spans="1:24">
      <c r="A210" s="60" t="s">
        <v>946</v>
      </c>
      <c r="B210" s="60" t="s">
        <v>687</v>
      </c>
      <c r="C210" s="60" t="s">
        <v>688</v>
      </c>
      <c r="D210" s="60" t="s">
        <v>689</v>
      </c>
      <c r="E210" s="61" t="s">
        <v>46</v>
      </c>
      <c r="F210" s="62" t="s">
        <v>46</v>
      </c>
      <c r="G210" s="63" t="s">
        <v>46</v>
      </c>
      <c r="H210" s="64"/>
      <c r="I210" s="64" t="s">
        <v>629</v>
      </c>
      <c r="J210" s="65">
        <v>1</v>
      </c>
      <c r="K210" s="66">
        <v>13510</v>
      </c>
      <c r="L210" s="67" t="s">
        <v>84</v>
      </c>
      <c r="M210" s="66">
        <v>14580</v>
      </c>
      <c r="N210" s="67" t="s">
        <v>371</v>
      </c>
      <c r="O210" s="66">
        <v>13510</v>
      </c>
      <c r="P210" s="67" t="s">
        <v>84</v>
      </c>
      <c r="Q210" s="66">
        <v>14580</v>
      </c>
      <c r="R210" s="67" t="s">
        <v>371</v>
      </c>
      <c r="S210" s="68">
        <v>14144.29</v>
      </c>
      <c r="T210" s="65">
        <v>256</v>
      </c>
      <c r="U210" s="65" t="s">
        <v>955</v>
      </c>
      <c r="V210" s="65">
        <v>3560230</v>
      </c>
      <c r="W210" s="65" t="s">
        <v>955</v>
      </c>
      <c r="X210" s="69">
        <v>7</v>
      </c>
    </row>
    <row r="211" spans="1:24">
      <c r="A211" s="60" t="s">
        <v>946</v>
      </c>
      <c r="B211" s="60" t="s">
        <v>690</v>
      </c>
      <c r="C211" s="60" t="s">
        <v>691</v>
      </c>
      <c r="D211" s="60" t="s">
        <v>692</v>
      </c>
      <c r="E211" s="61" t="s">
        <v>46</v>
      </c>
      <c r="F211" s="62" t="s">
        <v>46</v>
      </c>
      <c r="G211" s="63" t="s">
        <v>46</v>
      </c>
      <c r="H211" s="64"/>
      <c r="I211" s="64" t="s">
        <v>629</v>
      </c>
      <c r="J211" s="65">
        <v>1</v>
      </c>
      <c r="K211" s="66">
        <v>13050</v>
      </c>
      <c r="L211" s="67" t="s">
        <v>853</v>
      </c>
      <c r="M211" s="66">
        <v>13400</v>
      </c>
      <c r="N211" s="67" t="s">
        <v>371</v>
      </c>
      <c r="O211" s="66">
        <v>12600</v>
      </c>
      <c r="P211" s="67" t="s">
        <v>84</v>
      </c>
      <c r="Q211" s="66">
        <v>12960</v>
      </c>
      <c r="R211" s="67" t="s">
        <v>50</v>
      </c>
      <c r="S211" s="68">
        <v>13050</v>
      </c>
      <c r="T211" s="65">
        <v>2439</v>
      </c>
      <c r="U211" s="65">
        <v>1</v>
      </c>
      <c r="V211" s="65">
        <v>31812060</v>
      </c>
      <c r="W211" s="65">
        <v>13030</v>
      </c>
      <c r="X211" s="69">
        <v>18</v>
      </c>
    </row>
    <row r="212" spans="1:24">
      <c r="A212" s="60" t="s">
        <v>946</v>
      </c>
      <c r="B212" s="60" t="s">
        <v>693</v>
      </c>
      <c r="C212" s="60" t="s">
        <v>694</v>
      </c>
      <c r="D212" s="60" t="s">
        <v>695</v>
      </c>
      <c r="E212" s="61" t="s">
        <v>46</v>
      </c>
      <c r="F212" s="62" t="s">
        <v>46</v>
      </c>
      <c r="G212" s="63" t="s">
        <v>46</v>
      </c>
      <c r="H212" s="64"/>
      <c r="I212" s="64" t="s">
        <v>629</v>
      </c>
      <c r="J212" s="65">
        <v>1</v>
      </c>
      <c r="K212" s="66">
        <v>13650</v>
      </c>
      <c r="L212" s="67" t="s">
        <v>48</v>
      </c>
      <c r="M212" s="66">
        <v>14040</v>
      </c>
      <c r="N212" s="67" t="s">
        <v>240</v>
      </c>
      <c r="O212" s="66">
        <v>13250</v>
      </c>
      <c r="P212" s="67" t="s">
        <v>84</v>
      </c>
      <c r="Q212" s="66">
        <v>14040</v>
      </c>
      <c r="R212" s="67" t="s">
        <v>240</v>
      </c>
      <c r="S212" s="68">
        <v>13738.33</v>
      </c>
      <c r="T212" s="65">
        <v>1365</v>
      </c>
      <c r="U212" s="65" t="s">
        <v>955</v>
      </c>
      <c r="V212" s="65">
        <v>19003840</v>
      </c>
      <c r="W212" s="65" t="s">
        <v>955</v>
      </c>
      <c r="X212" s="69">
        <v>6</v>
      </c>
    </row>
    <row r="213" spans="1:24">
      <c r="A213" s="60" t="s">
        <v>946</v>
      </c>
      <c r="B213" s="60" t="s">
        <v>696</v>
      </c>
      <c r="C213" s="60" t="s">
        <v>697</v>
      </c>
      <c r="D213" s="60" t="s">
        <v>698</v>
      </c>
      <c r="E213" s="61" t="s">
        <v>46</v>
      </c>
      <c r="F213" s="62" t="s">
        <v>46</v>
      </c>
      <c r="G213" s="63" t="s">
        <v>46</v>
      </c>
      <c r="H213" s="64"/>
      <c r="I213" s="64" t="s">
        <v>629</v>
      </c>
      <c r="J213" s="65">
        <v>1</v>
      </c>
      <c r="K213" s="66">
        <v>13230</v>
      </c>
      <c r="L213" s="67" t="s">
        <v>875</v>
      </c>
      <c r="M213" s="66">
        <v>13360</v>
      </c>
      <c r="N213" s="67" t="s">
        <v>875</v>
      </c>
      <c r="O213" s="66">
        <v>13230</v>
      </c>
      <c r="P213" s="67" t="s">
        <v>875</v>
      </c>
      <c r="Q213" s="66">
        <v>13360</v>
      </c>
      <c r="R213" s="67" t="s">
        <v>875</v>
      </c>
      <c r="S213" s="68">
        <v>13360</v>
      </c>
      <c r="T213" s="65">
        <v>22</v>
      </c>
      <c r="U213" s="65" t="s">
        <v>955</v>
      </c>
      <c r="V213" s="65">
        <v>291400</v>
      </c>
      <c r="W213" s="65" t="s">
        <v>955</v>
      </c>
      <c r="X213" s="69">
        <v>1</v>
      </c>
    </row>
    <row r="214" spans="1:24">
      <c r="A214" s="60" t="s">
        <v>946</v>
      </c>
      <c r="B214" s="60" t="s">
        <v>699</v>
      </c>
      <c r="C214" s="60" t="s">
        <v>700</v>
      </c>
      <c r="D214" s="60" t="s">
        <v>701</v>
      </c>
      <c r="E214" s="61" t="s">
        <v>46</v>
      </c>
      <c r="F214" s="62" t="s">
        <v>46</v>
      </c>
      <c r="G214" s="63" t="s">
        <v>46</v>
      </c>
      <c r="H214" s="64"/>
      <c r="I214" s="64" t="s">
        <v>629</v>
      </c>
      <c r="J214" s="65">
        <v>1</v>
      </c>
      <c r="K214" s="66">
        <v>10690</v>
      </c>
      <c r="L214" s="67" t="s">
        <v>853</v>
      </c>
      <c r="M214" s="66">
        <v>10710</v>
      </c>
      <c r="N214" s="67" t="s">
        <v>613</v>
      </c>
      <c r="O214" s="66">
        <v>10300</v>
      </c>
      <c r="P214" s="67" t="s">
        <v>77</v>
      </c>
      <c r="Q214" s="66">
        <v>10570</v>
      </c>
      <c r="R214" s="67" t="s">
        <v>50</v>
      </c>
      <c r="S214" s="68">
        <v>10534.71</v>
      </c>
      <c r="T214" s="65">
        <v>7894</v>
      </c>
      <c r="U214" s="65" t="s">
        <v>955</v>
      </c>
      <c r="V214" s="65">
        <v>82750330</v>
      </c>
      <c r="W214" s="65" t="s">
        <v>955</v>
      </c>
      <c r="X214" s="69">
        <v>17</v>
      </c>
    </row>
    <row r="215" spans="1:24">
      <c r="A215" s="60" t="s">
        <v>946</v>
      </c>
      <c r="B215" s="60" t="s">
        <v>702</v>
      </c>
      <c r="C215" s="60" t="s">
        <v>703</v>
      </c>
      <c r="D215" s="60" t="s">
        <v>704</v>
      </c>
      <c r="E215" s="61" t="s">
        <v>46</v>
      </c>
      <c r="F215" s="62" t="s">
        <v>46</v>
      </c>
      <c r="G215" s="63" t="s">
        <v>46</v>
      </c>
      <c r="H215" s="64"/>
      <c r="I215" s="64" t="s">
        <v>629</v>
      </c>
      <c r="J215" s="65">
        <v>1</v>
      </c>
      <c r="K215" s="66">
        <v>12000</v>
      </c>
      <c r="L215" s="67" t="s">
        <v>853</v>
      </c>
      <c r="M215" s="66">
        <v>12210</v>
      </c>
      <c r="N215" s="67" t="s">
        <v>73</v>
      </c>
      <c r="O215" s="66">
        <v>11350</v>
      </c>
      <c r="P215" s="67" t="s">
        <v>77</v>
      </c>
      <c r="Q215" s="66">
        <v>12000</v>
      </c>
      <c r="R215" s="67" t="s">
        <v>50</v>
      </c>
      <c r="S215" s="68">
        <v>11879.52</v>
      </c>
      <c r="T215" s="65">
        <v>45806</v>
      </c>
      <c r="U215" s="65" t="s">
        <v>955</v>
      </c>
      <c r="V215" s="65">
        <v>543688040</v>
      </c>
      <c r="W215" s="65" t="s">
        <v>955</v>
      </c>
      <c r="X215" s="69">
        <v>21</v>
      </c>
    </row>
    <row r="216" spans="1:24">
      <c r="A216" s="60" t="s">
        <v>946</v>
      </c>
      <c r="B216" s="60" t="s">
        <v>705</v>
      </c>
      <c r="C216" s="60" t="s">
        <v>706</v>
      </c>
      <c r="D216" s="60" t="s">
        <v>707</v>
      </c>
      <c r="E216" s="61" t="s">
        <v>46</v>
      </c>
      <c r="F216" s="62" t="s">
        <v>46</v>
      </c>
      <c r="G216" s="63" t="s">
        <v>46</v>
      </c>
      <c r="H216" s="64"/>
      <c r="I216" s="64" t="s">
        <v>629</v>
      </c>
      <c r="J216" s="65">
        <v>1</v>
      </c>
      <c r="K216" s="66">
        <v>10650</v>
      </c>
      <c r="L216" s="67" t="s">
        <v>853</v>
      </c>
      <c r="M216" s="66">
        <v>10650</v>
      </c>
      <c r="N216" s="67" t="s">
        <v>853</v>
      </c>
      <c r="O216" s="66">
        <v>10220</v>
      </c>
      <c r="P216" s="67" t="s">
        <v>92</v>
      </c>
      <c r="Q216" s="66">
        <v>10360</v>
      </c>
      <c r="R216" s="67" t="s">
        <v>50</v>
      </c>
      <c r="S216" s="68">
        <v>10355.56</v>
      </c>
      <c r="T216" s="65">
        <v>14594</v>
      </c>
      <c r="U216" s="65" t="s">
        <v>955</v>
      </c>
      <c r="V216" s="65">
        <v>150655100</v>
      </c>
      <c r="W216" s="65" t="s">
        <v>955</v>
      </c>
      <c r="X216" s="69">
        <v>18</v>
      </c>
    </row>
    <row r="217" spans="1:24">
      <c r="A217" s="60" t="s">
        <v>946</v>
      </c>
      <c r="B217" s="60" t="s">
        <v>708</v>
      </c>
      <c r="C217" s="60" t="s">
        <v>709</v>
      </c>
      <c r="D217" s="60" t="s">
        <v>710</v>
      </c>
      <c r="E217" s="61" t="s">
        <v>46</v>
      </c>
      <c r="F217" s="62" t="s">
        <v>46</v>
      </c>
      <c r="G217" s="63" t="s">
        <v>46</v>
      </c>
      <c r="H217" s="64"/>
      <c r="I217" s="64" t="s">
        <v>47</v>
      </c>
      <c r="J217" s="65">
        <v>10</v>
      </c>
      <c r="K217" s="66">
        <v>995</v>
      </c>
      <c r="L217" s="67" t="s">
        <v>853</v>
      </c>
      <c r="M217" s="66">
        <v>996</v>
      </c>
      <c r="N217" s="67" t="s">
        <v>853</v>
      </c>
      <c r="O217" s="66">
        <v>990</v>
      </c>
      <c r="P217" s="67" t="s">
        <v>132</v>
      </c>
      <c r="Q217" s="66">
        <v>993</v>
      </c>
      <c r="R217" s="67" t="s">
        <v>50</v>
      </c>
      <c r="S217" s="68">
        <v>992.95</v>
      </c>
      <c r="T217" s="65">
        <v>7945470</v>
      </c>
      <c r="U217" s="65">
        <v>7327770</v>
      </c>
      <c r="V217" s="65">
        <v>7895096692</v>
      </c>
      <c r="W217" s="65">
        <v>7281927592</v>
      </c>
      <c r="X217" s="69">
        <v>21</v>
      </c>
    </row>
    <row r="218" spans="1:24">
      <c r="A218" s="60" t="s">
        <v>946</v>
      </c>
      <c r="B218" s="60" t="s">
        <v>711</v>
      </c>
      <c r="C218" s="60" t="s">
        <v>712</v>
      </c>
      <c r="D218" s="60" t="s">
        <v>713</v>
      </c>
      <c r="E218" s="61" t="s">
        <v>46</v>
      </c>
      <c r="F218" s="62" t="s">
        <v>46</v>
      </c>
      <c r="G218" s="63" t="s">
        <v>46</v>
      </c>
      <c r="H218" s="64"/>
      <c r="I218" s="64" t="s">
        <v>47</v>
      </c>
      <c r="J218" s="65">
        <v>10</v>
      </c>
      <c r="K218" s="66">
        <v>1005</v>
      </c>
      <c r="L218" s="67" t="s">
        <v>853</v>
      </c>
      <c r="M218" s="66">
        <v>1031</v>
      </c>
      <c r="N218" s="67" t="s">
        <v>69</v>
      </c>
      <c r="O218" s="66">
        <v>1000</v>
      </c>
      <c r="P218" s="67" t="s">
        <v>172</v>
      </c>
      <c r="Q218" s="66">
        <v>1027</v>
      </c>
      <c r="R218" s="67" t="s">
        <v>50</v>
      </c>
      <c r="S218" s="68">
        <v>1017.19</v>
      </c>
      <c r="T218" s="65">
        <v>3788880</v>
      </c>
      <c r="U218" s="65">
        <v>2980230</v>
      </c>
      <c r="V218" s="65">
        <v>3863546836</v>
      </c>
      <c r="W218" s="65">
        <v>3037340366</v>
      </c>
      <c r="X218" s="69">
        <v>21</v>
      </c>
    </row>
    <row r="219" spans="1:24">
      <c r="A219" s="60" t="s">
        <v>946</v>
      </c>
      <c r="B219" s="60" t="s">
        <v>714</v>
      </c>
      <c r="C219" s="60" t="s">
        <v>715</v>
      </c>
      <c r="D219" s="60" t="s">
        <v>716</v>
      </c>
      <c r="E219" s="61" t="s">
        <v>46</v>
      </c>
      <c r="F219" s="62" t="s">
        <v>46</v>
      </c>
      <c r="G219" s="63" t="s">
        <v>46</v>
      </c>
      <c r="H219" s="64"/>
      <c r="I219" s="64" t="s">
        <v>47</v>
      </c>
      <c r="J219" s="65">
        <v>10</v>
      </c>
      <c r="K219" s="66">
        <v>1015</v>
      </c>
      <c r="L219" s="67" t="s">
        <v>853</v>
      </c>
      <c r="M219" s="66">
        <v>1018</v>
      </c>
      <c r="N219" s="67" t="s">
        <v>48</v>
      </c>
      <c r="O219" s="66">
        <v>1002</v>
      </c>
      <c r="P219" s="67" t="s">
        <v>176</v>
      </c>
      <c r="Q219" s="66">
        <v>1011</v>
      </c>
      <c r="R219" s="67" t="s">
        <v>50</v>
      </c>
      <c r="S219" s="68">
        <v>1010.33</v>
      </c>
      <c r="T219" s="65">
        <v>8735830</v>
      </c>
      <c r="U219" s="65">
        <v>7364950</v>
      </c>
      <c r="V219" s="65">
        <v>8826280048</v>
      </c>
      <c r="W219" s="65">
        <v>7443352848</v>
      </c>
      <c r="X219" s="69">
        <v>21</v>
      </c>
    </row>
    <row r="220" spans="1:24">
      <c r="A220" s="60" t="s">
        <v>946</v>
      </c>
      <c r="B220" s="60" t="s">
        <v>717</v>
      </c>
      <c r="C220" s="60" t="s">
        <v>718</v>
      </c>
      <c r="D220" s="60" t="s">
        <v>719</v>
      </c>
      <c r="E220" s="61" t="s">
        <v>46</v>
      </c>
      <c r="F220" s="62" t="s">
        <v>46</v>
      </c>
      <c r="G220" s="63" t="s">
        <v>46</v>
      </c>
      <c r="H220" s="64"/>
      <c r="I220" s="64" t="s">
        <v>47</v>
      </c>
      <c r="J220" s="65">
        <v>10</v>
      </c>
      <c r="K220" s="66">
        <v>1504</v>
      </c>
      <c r="L220" s="67" t="s">
        <v>853</v>
      </c>
      <c r="M220" s="66">
        <v>1637</v>
      </c>
      <c r="N220" s="67" t="s">
        <v>73</v>
      </c>
      <c r="O220" s="66">
        <v>1488</v>
      </c>
      <c r="P220" s="67" t="s">
        <v>84</v>
      </c>
      <c r="Q220" s="66">
        <v>1624</v>
      </c>
      <c r="R220" s="67" t="s">
        <v>50</v>
      </c>
      <c r="S220" s="68">
        <v>1573.43</v>
      </c>
      <c r="T220" s="65">
        <v>2007460</v>
      </c>
      <c r="U220" s="65">
        <v>411390</v>
      </c>
      <c r="V220" s="65">
        <v>3073424955</v>
      </c>
      <c r="W220" s="65">
        <v>630996275</v>
      </c>
      <c r="X220" s="69">
        <v>21</v>
      </c>
    </row>
    <row r="221" spans="1:24">
      <c r="A221" s="60" t="s">
        <v>946</v>
      </c>
      <c r="B221" s="60" t="s">
        <v>720</v>
      </c>
      <c r="C221" s="60" t="s">
        <v>721</v>
      </c>
      <c r="D221" s="60" t="s">
        <v>722</v>
      </c>
      <c r="E221" s="61" t="s">
        <v>46</v>
      </c>
      <c r="F221" s="62" t="s">
        <v>46</v>
      </c>
      <c r="G221" s="63" t="s">
        <v>46</v>
      </c>
      <c r="H221" s="64"/>
      <c r="I221" s="64" t="s">
        <v>47</v>
      </c>
      <c r="J221" s="65">
        <v>10</v>
      </c>
      <c r="K221" s="66">
        <v>1461</v>
      </c>
      <c r="L221" s="67" t="s">
        <v>853</v>
      </c>
      <c r="M221" s="66">
        <v>1547</v>
      </c>
      <c r="N221" s="67" t="s">
        <v>240</v>
      </c>
      <c r="O221" s="66">
        <v>1450</v>
      </c>
      <c r="P221" s="67" t="s">
        <v>853</v>
      </c>
      <c r="Q221" s="66">
        <v>1544</v>
      </c>
      <c r="R221" s="67" t="s">
        <v>50</v>
      </c>
      <c r="S221" s="68">
        <v>1502.24</v>
      </c>
      <c r="T221" s="65">
        <v>2495370</v>
      </c>
      <c r="U221" s="65">
        <v>761000</v>
      </c>
      <c r="V221" s="65">
        <v>3682108360</v>
      </c>
      <c r="W221" s="65">
        <v>1114065800</v>
      </c>
      <c r="X221" s="69">
        <v>21</v>
      </c>
    </row>
    <row r="222" spans="1:24">
      <c r="A222" s="60" t="s">
        <v>946</v>
      </c>
      <c r="B222" s="60" t="s">
        <v>723</v>
      </c>
      <c r="C222" s="60" t="s">
        <v>724</v>
      </c>
      <c r="D222" s="60" t="s">
        <v>725</v>
      </c>
      <c r="E222" s="61" t="s">
        <v>46</v>
      </c>
      <c r="F222" s="62" t="s">
        <v>46</v>
      </c>
      <c r="G222" s="63" t="s">
        <v>46</v>
      </c>
      <c r="H222" s="64"/>
      <c r="I222" s="64" t="s">
        <v>47</v>
      </c>
      <c r="J222" s="65">
        <v>10</v>
      </c>
      <c r="K222" s="66">
        <v>1140</v>
      </c>
      <c r="L222" s="67" t="s">
        <v>853</v>
      </c>
      <c r="M222" s="66">
        <v>1256</v>
      </c>
      <c r="N222" s="67" t="s">
        <v>50</v>
      </c>
      <c r="O222" s="66">
        <v>1126</v>
      </c>
      <c r="P222" s="67" t="s">
        <v>853</v>
      </c>
      <c r="Q222" s="66">
        <v>1249</v>
      </c>
      <c r="R222" s="67" t="s">
        <v>50</v>
      </c>
      <c r="S222" s="68">
        <v>1198.67</v>
      </c>
      <c r="T222" s="65">
        <v>797150</v>
      </c>
      <c r="U222" s="65">
        <v>502900</v>
      </c>
      <c r="V222" s="65">
        <v>966237154</v>
      </c>
      <c r="W222" s="65">
        <v>614484564</v>
      </c>
      <c r="X222" s="69">
        <v>21</v>
      </c>
    </row>
    <row r="223" spans="1:24">
      <c r="A223" s="60" t="s">
        <v>946</v>
      </c>
      <c r="B223" s="60" t="s">
        <v>726</v>
      </c>
      <c r="C223" s="60" t="s">
        <v>727</v>
      </c>
      <c r="D223" s="60" t="s">
        <v>728</v>
      </c>
      <c r="E223" s="61" t="s">
        <v>46</v>
      </c>
      <c r="F223" s="62" t="s">
        <v>46</v>
      </c>
      <c r="G223" s="63" t="s">
        <v>46</v>
      </c>
      <c r="H223" s="64"/>
      <c r="I223" s="64" t="s">
        <v>47</v>
      </c>
      <c r="J223" s="65">
        <v>10</v>
      </c>
      <c r="K223" s="66">
        <v>861</v>
      </c>
      <c r="L223" s="67" t="s">
        <v>853</v>
      </c>
      <c r="M223" s="66">
        <v>884</v>
      </c>
      <c r="N223" s="67" t="s">
        <v>371</v>
      </c>
      <c r="O223" s="66">
        <v>813</v>
      </c>
      <c r="P223" s="67" t="s">
        <v>84</v>
      </c>
      <c r="Q223" s="66">
        <v>856</v>
      </c>
      <c r="R223" s="67" t="s">
        <v>50</v>
      </c>
      <c r="S223" s="68">
        <v>854.52</v>
      </c>
      <c r="T223" s="65">
        <v>11291940</v>
      </c>
      <c r="U223" s="65">
        <v>353830</v>
      </c>
      <c r="V223" s="65">
        <v>9633509080</v>
      </c>
      <c r="W223" s="65">
        <v>307208840</v>
      </c>
      <c r="X223" s="69">
        <v>21</v>
      </c>
    </row>
    <row r="224" spans="1:24">
      <c r="A224" s="60" t="s">
        <v>946</v>
      </c>
      <c r="B224" s="60" t="s">
        <v>729</v>
      </c>
      <c r="C224" s="60" t="s">
        <v>730</v>
      </c>
      <c r="D224" s="60" t="s">
        <v>731</v>
      </c>
      <c r="E224" s="61" t="s">
        <v>46</v>
      </c>
      <c r="F224" s="62" t="s">
        <v>46</v>
      </c>
      <c r="G224" s="63" t="s">
        <v>46</v>
      </c>
      <c r="H224" s="64"/>
      <c r="I224" s="64" t="s">
        <v>47</v>
      </c>
      <c r="J224" s="65">
        <v>10</v>
      </c>
      <c r="K224" s="66">
        <v>1221</v>
      </c>
      <c r="L224" s="67" t="s">
        <v>853</v>
      </c>
      <c r="M224" s="66">
        <v>1233</v>
      </c>
      <c r="N224" s="67" t="s">
        <v>613</v>
      </c>
      <c r="O224" s="66">
        <v>1162</v>
      </c>
      <c r="P224" s="67" t="s">
        <v>84</v>
      </c>
      <c r="Q224" s="66">
        <v>1220</v>
      </c>
      <c r="R224" s="67" t="s">
        <v>50</v>
      </c>
      <c r="S224" s="68">
        <v>1206.6199999999999</v>
      </c>
      <c r="T224" s="65">
        <v>1959310</v>
      </c>
      <c r="U224" s="65">
        <v>1810810</v>
      </c>
      <c r="V224" s="65">
        <v>2381443203</v>
      </c>
      <c r="W224" s="65">
        <v>2203675333</v>
      </c>
      <c r="X224" s="69">
        <v>21</v>
      </c>
    </row>
    <row r="225" spans="1:24">
      <c r="A225" s="60" t="s">
        <v>946</v>
      </c>
      <c r="B225" s="60" t="s">
        <v>732</v>
      </c>
      <c r="C225" s="60" t="s">
        <v>733</v>
      </c>
      <c r="D225" s="60" t="s">
        <v>734</v>
      </c>
      <c r="E225" s="61" t="s">
        <v>46</v>
      </c>
      <c r="F225" s="62" t="s">
        <v>46</v>
      </c>
      <c r="G225" s="63" t="s">
        <v>46</v>
      </c>
      <c r="H225" s="64"/>
      <c r="I225" s="64" t="s">
        <v>47</v>
      </c>
      <c r="J225" s="65">
        <v>1</v>
      </c>
      <c r="K225" s="66">
        <v>1170</v>
      </c>
      <c r="L225" s="67" t="s">
        <v>853</v>
      </c>
      <c r="M225" s="66">
        <v>1188</v>
      </c>
      <c r="N225" s="67" t="s">
        <v>100</v>
      </c>
      <c r="O225" s="66">
        <v>1121</v>
      </c>
      <c r="P225" s="67" t="s">
        <v>84</v>
      </c>
      <c r="Q225" s="66">
        <v>1166</v>
      </c>
      <c r="R225" s="67" t="s">
        <v>50</v>
      </c>
      <c r="S225" s="68">
        <v>1160.05</v>
      </c>
      <c r="T225" s="65">
        <v>8803</v>
      </c>
      <c r="U225" s="65">
        <v>2</v>
      </c>
      <c r="V225" s="65">
        <v>10248270</v>
      </c>
      <c r="W225" s="65">
        <v>2280</v>
      </c>
      <c r="X225" s="69">
        <v>21</v>
      </c>
    </row>
    <row r="226" spans="1:24">
      <c r="A226" s="60" t="s">
        <v>946</v>
      </c>
      <c r="B226" s="60" t="s">
        <v>735</v>
      </c>
      <c r="C226" s="60" t="s">
        <v>736</v>
      </c>
      <c r="D226" s="60" t="s">
        <v>737</v>
      </c>
      <c r="E226" s="61" t="s">
        <v>46</v>
      </c>
      <c r="F226" s="62" t="s">
        <v>46</v>
      </c>
      <c r="G226" s="63" t="s">
        <v>46</v>
      </c>
      <c r="H226" s="64"/>
      <c r="I226" s="64" t="s">
        <v>47</v>
      </c>
      <c r="J226" s="65">
        <v>10</v>
      </c>
      <c r="K226" s="66">
        <v>1040</v>
      </c>
      <c r="L226" s="67" t="s">
        <v>853</v>
      </c>
      <c r="M226" s="66">
        <v>1059</v>
      </c>
      <c r="N226" s="67" t="s">
        <v>100</v>
      </c>
      <c r="O226" s="66">
        <v>1021</v>
      </c>
      <c r="P226" s="67" t="s">
        <v>172</v>
      </c>
      <c r="Q226" s="66">
        <v>1050</v>
      </c>
      <c r="R226" s="67" t="s">
        <v>50</v>
      </c>
      <c r="S226" s="68">
        <v>1043.43</v>
      </c>
      <c r="T226" s="65">
        <v>136650</v>
      </c>
      <c r="U226" s="65">
        <v>84630</v>
      </c>
      <c r="V226" s="65">
        <v>142629431</v>
      </c>
      <c r="W226" s="65">
        <v>88732181</v>
      </c>
      <c r="X226" s="69">
        <v>21</v>
      </c>
    </row>
    <row r="227" spans="1:24">
      <c r="A227" s="60" t="s">
        <v>946</v>
      </c>
      <c r="B227" s="60" t="s">
        <v>738</v>
      </c>
      <c r="C227" s="60" t="s">
        <v>739</v>
      </c>
      <c r="D227" s="60" t="s">
        <v>740</v>
      </c>
      <c r="E227" s="61" t="s">
        <v>46</v>
      </c>
      <c r="F227" s="62" t="s">
        <v>46</v>
      </c>
      <c r="G227" s="63" t="s">
        <v>46</v>
      </c>
      <c r="H227" s="64"/>
      <c r="I227" s="64" t="s">
        <v>47</v>
      </c>
      <c r="J227" s="65">
        <v>10</v>
      </c>
      <c r="K227" s="66">
        <v>1204</v>
      </c>
      <c r="L227" s="67" t="s">
        <v>853</v>
      </c>
      <c r="M227" s="66">
        <v>1295</v>
      </c>
      <c r="N227" s="67" t="s">
        <v>268</v>
      </c>
      <c r="O227" s="66">
        <v>1166</v>
      </c>
      <c r="P227" s="67" t="s">
        <v>84</v>
      </c>
      <c r="Q227" s="66">
        <v>1249</v>
      </c>
      <c r="R227" s="67" t="s">
        <v>50</v>
      </c>
      <c r="S227" s="68">
        <v>1239.3800000000001</v>
      </c>
      <c r="T227" s="65">
        <v>87700</v>
      </c>
      <c r="U227" s="65">
        <v>40090</v>
      </c>
      <c r="V227" s="65">
        <v>109321960</v>
      </c>
      <c r="W227" s="65">
        <v>50429530</v>
      </c>
      <c r="X227" s="69">
        <v>21</v>
      </c>
    </row>
    <row r="228" spans="1:24">
      <c r="A228" s="60" t="s">
        <v>946</v>
      </c>
      <c r="B228" s="60" t="s">
        <v>741</v>
      </c>
      <c r="C228" s="60" t="s">
        <v>742</v>
      </c>
      <c r="D228" s="60" t="s">
        <v>743</v>
      </c>
      <c r="E228" s="61" t="s">
        <v>46</v>
      </c>
      <c r="F228" s="62" t="s">
        <v>46</v>
      </c>
      <c r="G228" s="63" t="s">
        <v>46</v>
      </c>
      <c r="H228" s="64"/>
      <c r="I228" s="64" t="s">
        <v>47</v>
      </c>
      <c r="J228" s="65">
        <v>10</v>
      </c>
      <c r="K228" s="66">
        <v>1508</v>
      </c>
      <c r="L228" s="67" t="s">
        <v>853</v>
      </c>
      <c r="M228" s="66">
        <v>1603</v>
      </c>
      <c r="N228" s="67" t="s">
        <v>50</v>
      </c>
      <c r="O228" s="66">
        <v>1494</v>
      </c>
      <c r="P228" s="67" t="s">
        <v>853</v>
      </c>
      <c r="Q228" s="66">
        <v>1599</v>
      </c>
      <c r="R228" s="67" t="s">
        <v>50</v>
      </c>
      <c r="S228" s="68">
        <v>1553</v>
      </c>
      <c r="T228" s="65">
        <v>15959850</v>
      </c>
      <c r="U228" s="65">
        <v>5350570</v>
      </c>
      <c r="V228" s="65">
        <v>24777651594</v>
      </c>
      <c r="W228" s="65">
        <v>8393845814</v>
      </c>
      <c r="X228" s="69">
        <v>21</v>
      </c>
    </row>
    <row r="229" spans="1:24">
      <c r="A229" s="60" t="s">
        <v>946</v>
      </c>
      <c r="B229" s="60" t="s">
        <v>744</v>
      </c>
      <c r="C229" s="60" t="s">
        <v>745</v>
      </c>
      <c r="D229" s="60" t="s">
        <v>746</v>
      </c>
      <c r="E229" s="61" t="s">
        <v>46</v>
      </c>
      <c r="F229" s="62" t="s">
        <v>46</v>
      </c>
      <c r="G229" s="63" t="s">
        <v>46</v>
      </c>
      <c r="H229" s="64"/>
      <c r="I229" s="64" t="s">
        <v>47</v>
      </c>
      <c r="J229" s="65">
        <v>1</v>
      </c>
      <c r="K229" s="66">
        <v>3950</v>
      </c>
      <c r="L229" s="67" t="s">
        <v>853</v>
      </c>
      <c r="M229" s="66">
        <v>4185</v>
      </c>
      <c r="N229" s="67" t="s">
        <v>371</v>
      </c>
      <c r="O229" s="66">
        <v>3740</v>
      </c>
      <c r="P229" s="67" t="s">
        <v>84</v>
      </c>
      <c r="Q229" s="66">
        <v>4180</v>
      </c>
      <c r="R229" s="67" t="s">
        <v>50</v>
      </c>
      <c r="S229" s="68">
        <v>4005.71</v>
      </c>
      <c r="T229" s="65">
        <v>105999</v>
      </c>
      <c r="U229" s="65" t="s">
        <v>955</v>
      </c>
      <c r="V229" s="65">
        <v>420951495</v>
      </c>
      <c r="W229" s="65" t="s">
        <v>955</v>
      </c>
      <c r="X229" s="69">
        <v>21</v>
      </c>
    </row>
    <row r="230" spans="1:24">
      <c r="A230" s="60" t="s">
        <v>946</v>
      </c>
      <c r="B230" s="60" t="s">
        <v>747</v>
      </c>
      <c r="C230" s="60" t="s">
        <v>748</v>
      </c>
      <c r="D230" s="60" t="s">
        <v>749</v>
      </c>
      <c r="E230" s="61" t="s">
        <v>46</v>
      </c>
      <c r="F230" s="62" t="s">
        <v>46</v>
      </c>
      <c r="G230" s="63" t="s">
        <v>46</v>
      </c>
      <c r="H230" s="64"/>
      <c r="I230" s="64" t="s">
        <v>47</v>
      </c>
      <c r="J230" s="65">
        <v>10</v>
      </c>
      <c r="K230" s="66">
        <v>1703</v>
      </c>
      <c r="L230" s="67" t="s">
        <v>853</v>
      </c>
      <c r="M230" s="66">
        <v>1725</v>
      </c>
      <c r="N230" s="67" t="s">
        <v>132</v>
      </c>
      <c r="O230" s="66">
        <v>1663</v>
      </c>
      <c r="P230" s="67" t="s">
        <v>77</v>
      </c>
      <c r="Q230" s="66">
        <v>1718</v>
      </c>
      <c r="R230" s="67" t="s">
        <v>50</v>
      </c>
      <c r="S230" s="68">
        <v>1702.11</v>
      </c>
      <c r="T230" s="65">
        <v>5220</v>
      </c>
      <c r="U230" s="65" t="s">
        <v>955</v>
      </c>
      <c r="V230" s="65">
        <v>8868290</v>
      </c>
      <c r="W230" s="65" t="s">
        <v>955</v>
      </c>
      <c r="X230" s="69">
        <v>19</v>
      </c>
    </row>
    <row r="231" spans="1:24">
      <c r="A231" s="60" t="s">
        <v>946</v>
      </c>
      <c r="B231" s="60" t="s">
        <v>750</v>
      </c>
      <c r="C231" s="60" t="s">
        <v>751</v>
      </c>
      <c r="D231" s="60" t="s">
        <v>752</v>
      </c>
      <c r="E231" s="61" t="s">
        <v>46</v>
      </c>
      <c r="F231" s="62" t="s">
        <v>46</v>
      </c>
      <c r="G231" s="63" t="s">
        <v>46</v>
      </c>
      <c r="H231" s="64"/>
      <c r="I231" s="64" t="s">
        <v>47</v>
      </c>
      <c r="J231" s="65">
        <v>10</v>
      </c>
      <c r="K231" s="66">
        <v>2052</v>
      </c>
      <c r="L231" s="67" t="s">
        <v>853</v>
      </c>
      <c r="M231" s="66">
        <v>2081</v>
      </c>
      <c r="N231" s="67" t="s">
        <v>371</v>
      </c>
      <c r="O231" s="66">
        <v>1970</v>
      </c>
      <c r="P231" s="67" t="s">
        <v>84</v>
      </c>
      <c r="Q231" s="66">
        <v>2030</v>
      </c>
      <c r="R231" s="67" t="s">
        <v>50</v>
      </c>
      <c r="S231" s="68">
        <v>2036.08</v>
      </c>
      <c r="T231" s="65">
        <v>122980</v>
      </c>
      <c r="U231" s="65" t="s">
        <v>955</v>
      </c>
      <c r="V231" s="65">
        <v>251398590</v>
      </c>
      <c r="W231" s="65" t="s">
        <v>955</v>
      </c>
      <c r="X231" s="69">
        <v>12</v>
      </c>
    </row>
    <row r="232" spans="1:24">
      <c r="A232" s="60" t="s">
        <v>946</v>
      </c>
      <c r="B232" s="60" t="s">
        <v>753</v>
      </c>
      <c r="C232" s="60" t="s">
        <v>754</v>
      </c>
      <c r="D232" s="60" t="s">
        <v>755</v>
      </c>
      <c r="E232" s="61" t="s">
        <v>46</v>
      </c>
      <c r="F232" s="62" t="s">
        <v>46</v>
      </c>
      <c r="G232" s="63" t="s">
        <v>46</v>
      </c>
      <c r="H232" s="64"/>
      <c r="I232" s="64" t="s">
        <v>47</v>
      </c>
      <c r="J232" s="65">
        <v>1</v>
      </c>
      <c r="K232" s="66">
        <v>29660</v>
      </c>
      <c r="L232" s="67" t="s">
        <v>853</v>
      </c>
      <c r="M232" s="66">
        <v>29870</v>
      </c>
      <c r="N232" s="67" t="s">
        <v>371</v>
      </c>
      <c r="O232" s="66">
        <v>27760</v>
      </c>
      <c r="P232" s="67" t="s">
        <v>77</v>
      </c>
      <c r="Q232" s="66">
        <v>29230</v>
      </c>
      <c r="R232" s="67" t="s">
        <v>50</v>
      </c>
      <c r="S232" s="68">
        <v>28930.67</v>
      </c>
      <c r="T232" s="65">
        <v>6043</v>
      </c>
      <c r="U232" s="65" t="s">
        <v>955</v>
      </c>
      <c r="V232" s="65">
        <v>172174990</v>
      </c>
      <c r="W232" s="65" t="s">
        <v>955</v>
      </c>
      <c r="X232" s="69">
        <v>15</v>
      </c>
    </row>
    <row r="233" spans="1:24">
      <c r="A233" s="60" t="s">
        <v>946</v>
      </c>
      <c r="B233" s="60" t="s">
        <v>756</v>
      </c>
      <c r="C233" s="60" t="s">
        <v>757</v>
      </c>
      <c r="D233" s="60" t="s">
        <v>758</v>
      </c>
      <c r="E233" s="61" t="s">
        <v>46</v>
      </c>
      <c r="F233" s="62" t="s">
        <v>46</v>
      </c>
      <c r="G233" s="63" t="s">
        <v>46</v>
      </c>
      <c r="H233" s="64"/>
      <c r="I233" s="64" t="s">
        <v>47</v>
      </c>
      <c r="J233" s="65">
        <v>1</v>
      </c>
      <c r="K233" s="66">
        <v>18440</v>
      </c>
      <c r="L233" s="67" t="s">
        <v>853</v>
      </c>
      <c r="M233" s="66">
        <v>18710</v>
      </c>
      <c r="N233" s="67" t="s">
        <v>371</v>
      </c>
      <c r="O233" s="66">
        <v>17710</v>
      </c>
      <c r="P233" s="67" t="s">
        <v>84</v>
      </c>
      <c r="Q233" s="66">
        <v>18380</v>
      </c>
      <c r="R233" s="67" t="s">
        <v>50</v>
      </c>
      <c r="S233" s="68">
        <v>18295.79</v>
      </c>
      <c r="T233" s="65">
        <v>46720</v>
      </c>
      <c r="U233" s="65" t="s">
        <v>955</v>
      </c>
      <c r="V233" s="65">
        <v>854026340</v>
      </c>
      <c r="W233" s="65" t="s">
        <v>955</v>
      </c>
      <c r="X233" s="69">
        <v>19</v>
      </c>
    </row>
    <row r="234" spans="1:24">
      <c r="A234" s="60" t="s">
        <v>946</v>
      </c>
      <c r="B234" s="60" t="s">
        <v>759</v>
      </c>
      <c r="C234" s="60" t="s">
        <v>760</v>
      </c>
      <c r="D234" s="60" t="s">
        <v>761</v>
      </c>
      <c r="E234" s="61" t="s">
        <v>46</v>
      </c>
      <c r="F234" s="62" t="s">
        <v>46</v>
      </c>
      <c r="G234" s="63" t="s">
        <v>46</v>
      </c>
      <c r="H234" s="64"/>
      <c r="I234" s="64" t="s">
        <v>47</v>
      </c>
      <c r="J234" s="65">
        <v>10</v>
      </c>
      <c r="K234" s="66">
        <v>1204</v>
      </c>
      <c r="L234" s="67" t="s">
        <v>853</v>
      </c>
      <c r="M234" s="66">
        <v>1232</v>
      </c>
      <c r="N234" s="67" t="s">
        <v>100</v>
      </c>
      <c r="O234" s="66">
        <v>1180</v>
      </c>
      <c r="P234" s="67" t="s">
        <v>84</v>
      </c>
      <c r="Q234" s="66">
        <v>1232</v>
      </c>
      <c r="R234" s="67" t="s">
        <v>100</v>
      </c>
      <c r="S234" s="68">
        <v>1203.8</v>
      </c>
      <c r="T234" s="65">
        <v>22610</v>
      </c>
      <c r="U234" s="65" t="s">
        <v>955</v>
      </c>
      <c r="V234" s="65">
        <v>26914030</v>
      </c>
      <c r="W234" s="65" t="s">
        <v>955</v>
      </c>
      <c r="X234" s="69">
        <v>10</v>
      </c>
    </row>
    <row r="235" spans="1:24">
      <c r="A235" s="60" t="s">
        <v>946</v>
      </c>
      <c r="B235" s="60" t="s">
        <v>762</v>
      </c>
      <c r="C235" s="60" t="s">
        <v>763</v>
      </c>
      <c r="D235" s="60" t="s">
        <v>764</v>
      </c>
      <c r="E235" s="61" t="s">
        <v>46</v>
      </c>
      <c r="F235" s="62" t="s">
        <v>46</v>
      </c>
      <c r="G235" s="63" t="s">
        <v>46</v>
      </c>
      <c r="H235" s="64"/>
      <c r="I235" s="64" t="s">
        <v>47</v>
      </c>
      <c r="J235" s="65">
        <v>10</v>
      </c>
      <c r="K235" s="66">
        <v>1219</v>
      </c>
      <c r="L235" s="67" t="s">
        <v>853</v>
      </c>
      <c r="M235" s="66">
        <v>1266</v>
      </c>
      <c r="N235" s="67" t="s">
        <v>77</v>
      </c>
      <c r="O235" s="66">
        <v>1168</v>
      </c>
      <c r="P235" s="67" t="s">
        <v>875</v>
      </c>
      <c r="Q235" s="66">
        <v>1216</v>
      </c>
      <c r="R235" s="67" t="s">
        <v>50</v>
      </c>
      <c r="S235" s="68">
        <v>1209</v>
      </c>
      <c r="T235" s="65">
        <v>199170</v>
      </c>
      <c r="U235" s="65">
        <v>183000</v>
      </c>
      <c r="V235" s="65">
        <v>240610719</v>
      </c>
      <c r="W235" s="65">
        <v>221111679</v>
      </c>
      <c r="X235" s="69">
        <v>21</v>
      </c>
    </row>
    <row r="236" spans="1:24">
      <c r="A236" s="60" t="s">
        <v>946</v>
      </c>
      <c r="B236" s="60" t="s">
        <v>765</v>
      </c>
      <c r="C236" s="60" t="s">
        <v>766</v>
      </c>
      <c r="D236" s="60" t="s">
        <v>767</v>
      </c>
      <c r="E236" s="61" t="s">
        <v>46</v>
      </c>
      <c r="F236" s="62" t="s">
        <v>46</v>
      </c>
      <c r="G236" s="63" t="s">
        <v>46</v>
      </c>
      <c r="H236" s="64"/>
      <c r="I236" s="64" t="s">
        <v>47</v>
      </c>
      <c r="J236" s="65">
        <v>1</v>
      </c>
      <c r="K236" s="66">
        <v>1174</v>
      </c>
      <c r="L236" s="67" t="s">
        <v>853</v>
      </c>
      <c r="M236" s="66">
        <v>1174</v>
      </c>
      <c r="N236" s="67" t="s">
        <v>853</v>
      </c>
      <c r="O236" s="66">
        <v>1108</v>
      </c>
      <c r="P236" s="67" t="s">
        <v>77</v>
      </c>
      <c r="Q236" s="66">
        <v>1133</v>
      </c>
      <c r="R236" s="67" t="s">
        <v>50</v>
      </c>
      <c r="S236" s="68">
        <v>1139.0999999999999</v>
      </c>
      <c r="T236" s="65">
        <v>35517</v>
      </c>
      <c r="U236" s="65">
        <v>2</v>
      </c>
      <c r="V236" s="65">
        <v>40512868</v>
      </c>
      <c r="W236" s="65">
        <v>2273</v>
      </c>
      <c r="X236" s="69">
        <v>21</v>
      </c>
    </row>
    <row r="237" spans="1:24">
      <c r="A237" s="60" t="s">
        <v>946</v>
      </c>
      <c r="B237" s="60" t="s">
        <v>768</v>
      </c>
      <c r="C237" s="60" t="s">
        <v>769</v>
      </c>
      <c r="D237" s="60" t="s">
        <v>770</v>
      </c>
      <c r="E237" s="61" t="s">
        <v>46</v>
      </c>
      <c r="F237" s="62" t="s">
        <v>46</v>
      </c>
      <c r="G237" s="63" t="s">
        <v>46</v>
      </c>
      <c r="H237" s="64"/>
      <c r="I237" s="64" t="s">
        <v>47</v>
      </c>
      <c r="J237" s="65">
        <v>1</v>
      </c>
      <c r="K237" s="66">
        <v>13320</v>
      </c>
      <c r="L237" s="67" t="s">
        <v>853</v>
      </c>
      <c r="M237" s="66">
        <v>14150</v>
      </c>
      <c r="N237" s="67" t="s">
        <v>240</v>
      </c>
      <c r="O237" s="66">
        <v>12700</v>
      </c>
      <c r="P237" s="67" t="s">
        <v>84</v>
      </c>
      <c r="Q237" s="66">
        <v>13880</v>
      </c>
      <c r="R237" s="67" t="s">
        <v>50</v>
      </c>
      <c r="S237" s="68">
        <v>13600.95</v>
      </c>
      <c r="T237" s="65">
        <v>3346</v>
      </c>
      <c r="U237" s="65" t="s">
        <v>955</v>
      </c>
      <c r="V237" s="65">
        <v>45669820</v>
      </c>
      <c r="W237" s="65" t="s">
        <v>955</v>
      </c>
      <c r="X237" s="69">
        <v>21</v>
      </c>
    </row>
    <row r="238" spans="1:24">
      <c r="A238" s="60" t="s">
        <v>946</v>
      </c>
      <c r="B238" s="60" t="s">
        <v>771</v>
      </c>
      <c r="C238" s="60" t="s">
        <v>772</v>
      </c>
      <c r="D238" s="60" t="s">
        <v>773</v>
      </c>
      <c r="E238" s="61" t="s">
        <v>46</v>
      </c>
      <c r="F238" s="62" t="s">
        <v>46</v>
      </c>
      <c r="G238" s="63" t="s">
        <v>46</v>
      </c>
      <c r="H238" s="64"/>
      <c r="I238" s="64" t="s">
        <v>47</v>
      </c>
      <c r="J238" s="65">
        <v>1</v>
      </c>
      <c r="K238" s="66">
        <v>2233</v>
      </c>
      <c r="L238" s="67" t="s">
        <v>853</v>
      </c>
      <c r="M238" s="66">
        <v>2248</v>
      </c>
      <c r="N238" s="67" t="s">
        <v>613</v>
      </c>
      <c r="O238" s="66">
        <v>2127</v>
      </c>
      <c r="P238" s="67" t="s">
        <v>84</v>
      </c>
      <c r="Q238" s="66">
        <v>2231</v>
      </c>
      <c r="R238" s="67" t="s">
        <v>50</v>
      </c>
      <c r="S238" s="68">
        <v>2204.4299999999998</v>
      </c>
      <c r="T238" s="65">
        <v>10793</v>
      </c>
      <c r="U238" s="65" t="s">
        <v>955</v>
      </c>
      <c r="V238" s="65">
        <v>23682919</v>
      </c>
      <c r="W238" s="65" t="s">
        <v>955</v>
      </c>
      <c r="X238" s="69">
        <v>21</v>
      </c>
    </row>
    <row r="239" spans="1:24">
      <c r="A239" s="60" t="s">
        <v>946</v>
      </c>
      <c r="B239" s="60" t="s">
        <v>774</v>
      </c>
      <c r="C239" s="60" t="s">
        <v>775</v>
      </c>
      <c r="D239" s="60" t="s">
        <v>776</v>
      </c>
      <c r="E239" s="61" t="s">
        <v>46</v>
      </c>
      <c r="F239" s="62" t="s">
        <v>46</v>
      </c>
      <c r="G239" s="63" t="s">
        <v>46</v>
      </c>
      <c r="H239" s="64"/>
      <c r="I239" s="64" t="s">
        <v>47</v>
      </c>
      <c r="J239" s="65">
        <v>10</v>
      </c>
      <c r="K239" s="66">
        <v>1591</v>
      </c>
      <c r="L239" s="67" t="s">
        <v>853</v>
      </c>
      <c r="M239" s="66">
        <v>1750</v>
      </c>
      <c r="N239" s="67" t="s">
        <v>100</v>
      </c>
      <c r="O239" s="66">
        <v>1591</v>
      </c>
      <c r="P239" s="67" t="s">
        <v>853</v>
      </c>
      <c r="Q239" s="66">
        <v>1665</v>
      </c>
      <c r="R239" s="67" t="s">
        <v>50</v>
      </c>
      <c r="S239" s="68">
        <v>1648.81</v>
      </c>
      <c r="T239" s="65">
        <v>4730</v>
      </c>
      <c r="U239" s="65" t="s">
        <v>955</v>
      </c>
      <c r="V239" s="65">
        <v>7923220</v>
      </c>
      <c r="W239" s="65" t="s">
        <v>955</v>
      </c>
      <c r="X239" s="69">
        <v>21</v>
      </c>
    </row>
    <row r="240" spans="1:24">
      <c r="A240" s="60" t="s">
        <v>946</v>
      </c>
      <c r="B240" s="60" t="s">
        <v>777</v>
      </c>
      <c r="C240" s="60" t="s">
        <v>932</v>
      </c>
      <c r="D240" s="60" t="s">
        <v>933</v>
      </c>
      <c r="E240" s="61" t="s">
        <v>46</v>
      </c>
      <c r="F240" s="62" t="s">
        <v>46</v>
      </c>
      <c r="G240" s="63" t="s">
        <v>46</v>
      </c>
      <c r="H240" s="64"/>
      <c r="I240" s="64" t="s">
        <v>47</v>
      </c>
      <c r="J240" s="65">
        <v>10</v>
      </c>
      <c r="K240" s="66">
        <v>1007</v>
      </c>
      <c r="L240" s="67" t="s">
        <v>853</v>
      </c>
      <c r="M240" s="66">
        <v>1009</v>
      </c>
      <c r="N240" s="67" t="s">
        <v>48</v>
      </c>
      <c r="O240" s="66">
        <v>995</v>
      </c>
      <c r="P240" s="67" t="s">
        <v>132</v>
      </c>
      <c r="Q240" s="66">
        <v>1000</v>
      </c>
      <c r="R240" s="67" t="s">
        <v>50</v>
      </c>
      <c r="S240" s="68">
        <v>1001.33</v>
      </c>
      <c r="T240" s="65">
        <v>922460</v>
      </c>
      <c r="U240" s="65">
        <v>693760</v>
      </c>
      <c r="V240" s="65">
        <v>923257996</v>
      </c>
      <c r="W240" s="65">
        <v>694517776</v>
      </c>
      <c r="X240" s="69">
        <v>21</v>
      </c>
    </row>
    <row r="241" spans="1:24">
      <c r="A241" s="60" t="s">
        <v>946</v>
      </c>
      <c r="B241" s="60" t="s">
        <v>780</v>
      </c>
      <c r="C241" s="60" t="s">
        <v>781</v>
      </c>
      <c r="D241" s="60" t="s">
        <v>782</v>
      </c>
      <c r="E241" s="61" t="s">
        <v>46</v>
      </c>
      <c r="F241" s="62" t="s">
        <v>46</v>
      </c>
      <c r="G241" s="63" t="s">
        <v>46</v>
      </c>
      <c r="H241" s="64"/>
      <c r="I241" s="64" t="s">
        <v>47</v>
      </c>
      <c r="J241" s="65">
        <v>10</v>
      </c>
      <c r="K241" s="66">
        <v>2126</v>
      </c>
      <c r="L241" s="67" t="s">
        <v>853</v>
      </c>
      <c r="M241" s="66">
        <v>2153</v>
      </c>
      <c r="N241" s="67" t="s">
        <v>613</v>
      </c>
      <c r="O241" s="66">
        <v>2038</v>
      </c>
      <c r="P241" s="67" t="s">
        <v>84</v>
      </c>
      <c r="Q241" s="66">
        <v>2133</v>
      </c>
      <c r="R241" s="67" t="s">
        <v>50</v>
      </c>
      <c r="S241" s="68">
        <v>2106.52</v>
      </c>
      <c r="T241" s="65">
        <v>29850</v>
      </c>
      <c r="U241" s="65" t="s">
        <v>955</v>
      </c>
      <c r="V241" s="65">
        <v>62833160</v>
      </c>
      <c r="W241" s="65" t="s">
        <v>955</v>
      </c>
      <c r="X241" s="69">
        <v>21</v>
      </c>
    </row>
    <row r="242" spans="1:24">
      <c r="A242" s="60" t="s">
        <v>946</v>
      </c>
      <c r="B242" s="60" t="s">
        <v>783</v>
      </c>
      <c r="C242" s="60" t="s">
        <v>784</v>
      </c>
      <c r="D242" s="60" t="s">
        <v>785</v>
      </c>
      <c r="E242" s="61" t="s">
        <v>46</v>
      </c>
      <c r="F242" s="62" t="s">
        <v>46</v>
      </c>
      <c r="G242" s="63" t="s">
        <v>46</v>
      </c>
      <c r="H242" s="64"/>
      <c r="I242" s="64" t="s">
        <v>47</v>
      </c>
      <c r="J242" s="65">
        <v>10</v>
      </c>
      <c r="K242" s="66">
        <v>2138</v>
      </c>
      <c r="L242" s="67" t="s">
        <v>853</v>
      </c>
      <c r="M242" s="66">
        <v>2145</v>
      </c>
      <c r="N242" s="67" t="s">
        <v>613</v>
      </c>
      <c r="O242" s="66">
        <v>2035</v>
      </c>
      <c r="P242" s="67" t="s">
        <v>84</v>
      </c>
      <c r="Q242" s="66">
        <v>2124</v>
      </c>
      <c r="R242" s="67" t="s">
        <v>50</v>
      </c>
      <c r="S242" s="68">
        <v>2103.19</v>
      </c>
      <c r="T242" s="65">
        <v>459040</v>
      </c>
      <c r="U242" s="65">
        <v>200000</v>
      </c>
      <c r="V242" s="65">
        <v>956891770</v>
      </c>
      <c r="W242" s="65">
        <v>416267400</v>
      </c>
      <c r="X242" s="69">
        <v>21</v>
      </c>
    </row>
    <row r="243" spans="1:24">
      <c r="A243" s="60" t="s">
        <v>946</v>
      </c>
      <c r="B243" s="60" t="s">
        <v>786</v>
      </c>
      <c r="C243" s="60" t="s">
        <v>787</v>
      </c>
      <c r="D243" s="60" t="s">
        <v>788</v>
      </c>
      <c r="E243" s="61" t="s">
        <v>46</v>
      </c>
      <c r="F243" s="62" t="s">
        <v>46</v>
      </c>
      <c r="G243" s="63" t="s">
        <v>46</v>
      </c>
      <c r="H243" s="64"/>
      <c r="I243" s="64" t="s">
        <v>47</v>
      </c>
      <c r="J243" s="65">
        <v>10</v>
      </c>
      <c r="K243" s="66">
        <v>2038</v>
      </c>
      <c r="L243" s="67" t="s">
        <v>853</v>
      </c>
      <c r="M243" s="66">
        <v>2040</v>
      </c>
      <c r="N243" s="67" t="s">
        <v>371</v>
      </c>
      <c r="O243" s="66">
        <v>1950</v>
      </c>
      <c r="P243" s="67" t="s">
        <v>172</v>
      </c>
      <c r="Q243" s="66">
        <v>2003</v>
      </c>
      <c r="R243" s="67" t="s">
        <v>50</v>
      </c>
      <c r="S243" s="68">
        <v>1999.57</v>
      </c>
      <c r="T243" s="65">
        <v>152830</v>
      </c>
      <c r="U243" s="65" t="s">
        <v>955</v>
      </c>
      <c r="V243" s="65">
        <v>302577150</v>
      </c>
      <c r="W243" s="65" t="s">
        <v>955</v>
      </c>
      <c r="X243" s="69">
        <v>14</v>
      </c>
    </row>
    <row r="244" spans="1:24">
      <c r="A244" s="60" t="s">
        <v>946</v>
      </c>
      <c r="B244" s="60" t="s">
        <v>789</v>
      </c>
      <c r="C244" s="60" t="s">
        <v>790</v>
      </c>
      <c r="D244" s="60" t="s">
        <v>791</v>
      </c>
      <c r="E244" s="61" t="s">
        <v>46</v>
      </c>
      <c r="F244" s="62" t="s">
        <v>46</v>
      </c>
      <c r="G244" s="63" t="s">
        <v>46</v>
      </c>
      <c r="H244" s="64"/>
      <c r="I244" s="64" t="s">
        <v>47</v>
      </c>
      <c r="J244" s="65">
        <v>1</v>
      </c>
      <c r="K244" s="66">
        <v>13810</v>
      </c>
      <c r="L244" s="67" t="s">
        <v>853</v>
      </c>
      <c r="M244" s="66">
        <v>15020</v>
      </c>
      <c r="N244" s="67" t="s">
        <v>73</v>
      </c>
      <c r="O244" s="66">
        <v>13630</v>
      </c>
      <c r="P244" s="67" t="s">
        <v>84</v>
      </c>
      <c r="Q244" s="66">
        <v>14920</v>
      </c>
      <c r="R244" s="67" t="s">
        <v>50</v>
      </c>
      <c r="S244" s="68">
        <v>14440.48</v>
      </c>
      <c r="T244" s="65">
        <v>636036</v>
      </c>
      <c r="U244" s="65">
        <v>6711</v>
      </c>
      <c r="V244" s="65">
        <v>9174056757</v>
      </c>
      <c r="W244" s="65">
        <v>100112577</v>
      </c>
      <c r="X244" s="69">
        <v>21</v>
      </c>
    </row>
    <row r="245" spans="1:24">
      <c r="A245" s="60" t="s">
        <v>946</v>
      </c>
      <c r="B245" s="60" t="s">
        <v>792</v>
      </c>
      <c r="C245" s="60" t="s">
        <v>793</v>
      </c>
      <c r="D245" s="60" t="s">
        <v>794</v>
      </c>
      <c r="E245" s="61" t="s">
        <v>46</v>
      </c>
      <c r="F245" s="62" t="s">
        <v>46</v>
      </c>
      <c r="G245" s="63" t="s">
        <v>46</v>
      </c>
      <c r="H245" s="64"/>
      <c r="I245" s="64" t="s">
        <v>47</v>
      </c>
      <c r="J245" s="65">
        <v>1</v>
      </c>
      <c r="K245" s="66">
        <v>13070</v>
      </c>
      <c r="L245" s="67" t="s">
        <v>853</v>
      </c>
      <c r="M245" s="66">
        <v>14000</v>
      </c>
      <c r="N245" s="67" t="s">
        <v>73</v>
      </c>
      <c r="O245" s="66">
        <v>12850</v>
      </c>
      <c r="P245" s="67" t="s">
        <v>84</v>
      </c>
      <c r="Q245" s="66">
        <v>13920</v>
      </c>
      <c r="R245" s="67" t="s">
        <v>50</v>
      </c>
      <c r="S245" s="68">
        <v>13533.33</v>
      </c>
      <c r="T245" s="65">
        <v>128942</v>
      </c>
      <c r="U245" s="65">
        <v>63</v>
      </c>
      <c r="V245" s="65">
        <v>1740687030</v>
      </c>
      <c r="W245" s="65">
        <v>821650</v>
      </c>
      <c r="X245" s="69">
        <v>21</v>
      </c>
    </row>
    <row r="246" spans="1:24">
      <c r="A246" s="60" t="s">
        <v>946</v>
      </c>
      <c r="B246" s="60" t="s">
        <v>795</v>
      </c>
      <c r="C246" s="60" t="s">
        <v>796</v>
      </c>
      <c r="D246" s="60" t="s">
        <v>797</v>
      </c>
      <c r="E246" s="61" t="s">
        <v>46</v>
      </c>
      <c r="F246" s="62" t="s">
        <v>46</v>
      </c>
      <c r="G246" s="63" t="s">
        <v>46</v>
      </c>
      <c r="H246" s="64"/>
      <c r="I246" s="64" t="s">
        <v>47</v>
      </c>
      <c r="J246" s="65">
        <v>1</v>
      </c>
      <c r="K246" s="66">
        <v>26890</v>
      </c>
      <c r="L246" s="67" t="s">
        <v>853</v>
      </c>
      <c r="M246" s="66">
        <v>27240</v>
      </c>
      <c r="N246" s="67" t="s">
        <v>371</v>
      </c>
      <c r="O246" s="66">
        <v>25920</v>
      </c>
      <c r="P246" s="67" t="s">
        <v>172</v>
      </c>
      <c r="Q246" s="66">
        <v>26780</v>
      </c>
      <c r="R246" s="67" t="s">
        <v>50</v>
      </c>
      <c r="S246" s="68">
        <v>26640.63</v>
      </c>
      <c r="T246" s="65">
        <v>145</v>
      </c>
      <c r="U246" s="65" t="s">
        <v>955</v>
      </c>
      <c r="V246" s="65">
        <v>3866280</v>
      </c>
      <c r="W246" s="65" t="s">
        <v>955</v>
      </c>
      <c r="X246" s="69">
        <v>16</v>
      </c>
    </row>
    <row r="247" spans="1:24">
      <c r="A247" s="60" t="s">
        <v>946</v>
      </c>
      <c r="B247" s="60" t="s">
        <v>798</v>
      </c>
      <c r="C247" s="60" t="s">
        <v>799</v>
      </c>
      <c r="D247" s="60" t="s">
        <v>800</v>
      </c>
      <c r="E247" s="61" t="s">
        <v>46</v>
      </c>
      <c r="F247" s="62" t="s">
        <v>46</v>
      </c>
      <c r="G247" s="63" t="s">
        <v>46</v>
      </c>
      <c r="H247" s="64"/>
      <c r="I247" s="64" t="s">
        <v>47</v>
      </c>
      <c r="J247" s="65">
        <v>1</v>
      </c>
      <c r="K247" s="66">
        <v>2713</v>
      </c>
      <c r="L247" s="67" t="s">
        <v>853</v>
      </c>
      <c r="M247" s="66">
        <v>2721</v>
      </c>
      <c r="N247" s="67" t="s">
        <v>48</v>
      </c>
      <c r="O247" s="66">
        <v>2697</v>
      </c>
      <c r="P247" s="67" t="s">
        <v>240</v>
      </c>
      <c r="Q247" s="66">
        <v>2704</v>
      </c>
      <c r="R247" s="67" t="s">
        <v>50</v>
      </c>
      <c r="S247" s="68">
        <v>2706.19</v>
      </c>
      <c r="T247" s="65">
        <v>2641587</v>
      </c>
      <c r="U247" s="65">
        <v>1669864</v>
      </c>
      <c r="V247" s="65">
        <v>7149691785</v>
      </c>
      <c r="W247" s="65">
        <v>4519779808</v>
      </c>
      <c r="X247" s="69">
        <v>21</v>
      </c>
    </row>
    <row r="248" spans="1:24">
      <c r="A248" s="60" t="s">
        <v>946</v>
      </c>
      <c r="B248" s="60" t="s">
        <v>801</v>
      </c>
      <c r="C248" s="60" t="s">
        <v>802</v>
      </c>
      <c r="D248" s="60" t="s">
        <v>803</v>
      </c>
      <c r="E248" s="61" t="s">
        <v>46</v>
      </c>
      <c r="F248" s="62" t="s">
        <v>46</v>
      </c>
      <c r="G248" s="63" t="s">
        <v>46</v>
      </c>
      <c r="H248" s="64"/>
      <c r="I248" s="64" t="s">
        <v>47</v>
      </c>
      <c r="J248" s="65">
        <v>10</v>
      </c>
      <c r="K248" s="66">
        <v>2926</v>
      </c>
      <c r="L248" s="67" t="s">
        <v>853</v>
      </c>
      <c r="M248" s="66">
        <v>3100</v>
      </c>
      <c r="N248" s="67" t="s">
        <v>240</v>
      </c>
      <c r="O248" s="66">
        <v>2903</v>
      </c>
      <c r="P248" s="67" t="s">
        <v>853</v>
      </c>
      <c r="Q248" s="66">
        <v>3085</v>
      </c>
      <c r="R248" s="67" t="s">
        <v>50</v>
      </c>
      <c r="S248" s="68">
        <v>3022.67</v>
      </c>
      <c r="T248" s="65">
        <v>4105180</v>
      </c>
      <c r="U248" s="65">
        <v>2724000</v>
      </c>
      <c r="V248" s="65">
        <v>12336077626</v>
      </c>
      <c r="W248" s="65">
        <v>8199971446</v>
      </c>
      <c r="X248" s="69">
        <v>21</v>
      </c>
    </row>
    <row r="249" spans="1:24">
      <c r="A249" s="60" t="s">
        <v>946</v>
      </c>
      <c r="B249" s="60" t="s">
        <v>804</v>
      </c>
      <c r="C249" s="60" t="s">
        <v>805</v>
      </c>
      <c r="D249" s="60" t="s">
        <v>806</v>
      </c>
      <c r="E249" s="61" t="s">
        <v>46</v>
      </c>
      <c r="F249" s="62" t="s">
        <v>46</v>
      </c>
      <c r="G249" s="63" t="s">
        <v>46</v>
      </c>
      <c r="H249" s="64"/>
      <c r="I249" s="64" t="s">
        <v>47</v>
      </c>
      <c r="J249" s="65">
        <v>1</v>
      </c>
      <c r="K249" s="66">
        <v>2801</v>
      </c>
      <c r="L249" s="67" t="s">
        <v>853</v>
      </c>
      <c r="M249" s="66">
        <v>2980</v>
      </c>
      <c r="N249" s="67" t="s">
        <v>50</v>
      </c>
      <c r="O249" s="66">
        <v>2779</v>
      </c>
      <c r="P249" s="67" t="s">
        <v>853</v>
      </c>
      <c r="Q249" s="66">
        <v>2973</v>
      </c>
      <c r="R249" s="67" t="s">
        <v>50</v>
      </c>
      <c r="S249" s="68">
        <v>2888.1</v>
      </c>
      <c r="T249" s="65">
        <v>3043489</v>
      </c>
      <c r="U249" s="65">
        <v>1414200</v>
      </c>
      <c r="V249" s="65">
        <v>8818137685</v>
      </c>
      <c r="W249" s="65">
        <v>4147545540</v>
      </c>
      <c r="X249" s="69">
        <v>21</v>
      </c>
    </row>
    <row r="250" spans="1:24">
      <c r="A250" s="60" t="s">
        <v>946</v>
      </c>
      <c r="B250" s="60" t="s">
        <v>807</v>
      </c>
      <c r="C250" s="60" t="s">
        <v>808</v>
      </c>
      <c r="D250" s="60" t="s">
        <v>809</v>
      </c>
      <c r="E250" s="61" t="s">
        <v>46</v>
      </c>
      <c r="F250" s="62" t="s">
        <v>46</v>
      </c>
      <c r="G250" s="63" t="s">
        <v>46</v>
      </c>
      <c r="H250" s="64"/>
      <c r="I250" s="64" t="s">
        <v>47</v>
      </c>
      <c r="J250" s="65">
        <v>1</v>
      </c>
      <c r="K250" s="66">
        <v>1941</v>
      </c>
      <c r="L250" s="67" t="s">
        <v>853</v>
      </c>
      <c r="M250" s="66">
        <v>1966</v>
      </c>
      <c r="N250" s="67" t="s">
        <v>371</v>
      </c>
      <c r="O250" s="66">
        <v>1887</v>
      </c>
      <c r="P250" s="67" t="s">
        <v>88</v>
      </c>
      <c r="Q250" s="66">
        <v>1900</v>
      </c>
      <c r="R250" s="67" t="s">
        <v>50</v>
      </c>
      <c r="S250" s="68">
        <v>1931.9</v>
      </c>
      <c r="T250" s="65">
        <v>100519</v>
      </c>
      <c r="U250" s="65">
        <v>6</v>
      </c>
      <c r="V250" s="65">
        <v>194308294</v>
      </c>
      <c r="W250" s="65">
        <v>11364</v>
      </c>
      <c r="X250" s="69">
        <v>21</v>
      </c>
    </row>
    <row r="251" spans="1:24">
      <c r="A251" s="60" t="s">
        <v>946</v>
      </c>
      <c r="B251" s="60" t="s">
        <v>810</v>
      </c>
      <c r="C251" s="60" t="s">
        <v>811</v>
      </c>
      <c r="D251" s="60" t="s">
        <v>812</v>
      </c>
      <c r="E251" s="61" t="s">
        <v>46</v>
      </c>
      <c r="F251" s="62" t="s">
        <v>46</v>
      </c>
      <c r="G251" s="63" t="s">
        <v>46</v>
      </c>
      <c r="H251" s="64"/>
      <c r="I251" s="64" t="s">
        <v>47</v>
      </c>
      <c r="J251" s="65">
        <v>1</v>
      </c>
      <c r="K251" s="66">
        <v>1198</v>
      </c>
      <c r="L251" s="67" t="s">
        <v>853</v>
      </c>
      <c r="M251" s="66">
        <v>1223</v>
      </c>
      <c r="N251" s="67" t="s">
        <v>371</v>
      </c>
      <c r="O251" s="66">
        <v>1140</v>
      </c>
      <c r="P251" s="67" t="s">
        <v>84</v>
      </c>
      <c r="Q251" s="66">
        <v>1203</v>
      </c>
      <c r="R251" s="67" t="s">
        <v>50</v>
      </c>
      <c r="S251" s="68">
        <v>1188.48</v>
      </c>
      <c r="T251" s="65">
        <v>205435</v>
      </c>
      <c r="U251" s="65" t="s">
        <v>955</v>
      </c>
      <c r="V251" s="65">
        <v>242781868</v>
      </c>
      <c r="W251" s="65" t="s">
        <v>955</v>
      </c>
      <c r="X251" s="69">
        <v>21</v>
      </c>
    </row>
    <row r="252" spans="1:24">
      <c r="A252" s="60" t="s">
        <v>946</v>
      </c>
      <c r="B252" s="60" t="s">
        <v>813</v>
      </c>
      <c r="C252" s="60" t="s">
        <v>814</v>
      </c>
      <c r="D252" s="60" t="s">
        <v>815</v>
      </c>
      <c r="E252" s="61" t="s">
        <v>46</v>
      </c>
      <c r="F252" s="62" t="s">
        <v>46</v>
      </c>
      <c r="G252" s="63" t="s">
        <v>46</v>
      </c>
      <c r="H252" s="64"/>
      <c r="I252" s="64" t="s">
        <v>47</v>
      </c>
      <c r="J252" s="65">
        <v>10</v>
      </c>
      <c r="K252" s="66">
        <v>1180</v>
      </c>
      <c r="L252" s="67" t="s">
        <v>853</v>
      </c>
      <c r="M252" s="66">
        <v>1184</v>
      </c>
      <c r="N252" s="67" t="s">
        <v>613</v>
      </c>
      <c r="O252" s="66">
        <v>1123</v>
      </c>
      <c r="P252" s="67" t="s">
        <v>84</v>
      </c>
      <c r="Q252" s="66">
        <v>1176</v>
      </c>
      <c r="R252" s="67" t="s">
        <v>50</v>
      </c>
      <c r="S252" s="68">
        <v>1163.0999999999999</v>
      </c>
      <c r="T252" s="65">
        <v>42130</v>
      </c>
      <c r="U252" s="65" t="s">
        <v>955</v>
      </c>
      <c r="V252" s="65">
        <v>49030920</v>
      </c>
      <c r="W252" s="65" t="s">
        <v>955</v>
      </c>
      <c r="X252" s="69">
        <v>21</v>
      </c>
    </row>
    <row r="253" spans="1:24">
      <c r="A253" s="60" t="s">
        <v>946</v>
      </c>
      <c r="B253" s="60" t="s">
        <v>816</v>
      </c>
      <c r="C253" s="60" t="s">
        <v>817</v>
      </c>
      <c r="D253" s="60" t="s">
        <v>818</v>
      </c>
      <c r="E253" s="61" t="s">
        <v>46</v>
      </c>
      <c r="F253" s="62" t="s">
        <v>46</v>
      </c>
      <c r="G253" s="63" t="s">
        <v>46</v>
      </c>
      <c r="H253" s="64"/>
      <c r="I253" s="64" t="s">
        <v>47</v>
      </c>
      <c r="J253" s="65">
        <v>10</v>
      </c>
      <c r="K253" s="66">
        <v>258</v>
      </c>
      <c r="L253" s="67" t="s">
        <v>853</v>
      </c>
      <c r="M253" s="66">
        <v>260</v>
      </c>
      <c r="N253" s="67" t="s">
        <v>853</v>
      </c>
      <c r="O253" s="66">
        <v>248</v>
      </c>
      <c r="P253" s="67" t="s">
        <v>77</v>
      </c>
      <c r="Q253" s="66">
        <v>256</v>
      </c>
      <c r="R253" s="67" t="s">
        <v>50</v>
      </c>
      <c r="S253" s="68">
        <v>253.57</v>
      </c>
      <c r="T253" s="65">
        <v>12080</v>
      </c>
      <c r="U253" s="65" t="s">
        <v>955</v>
      </c>
      <c r="V253" s="65">
        <v>3052520</v>
      </c>
      <c r="W253" s="65" t="s">
        <v>955</v>
      </c>
      <c r="X253" s="69">
        <v>21</v>
      </c>
    </row>
    <row r="254" spans="1:24">
      <c r="A254" s="60" t="s">
        <v>946</v>
      </c>
      <c r="B254" s="60" t="s">
        <v>819</v>
      </c>
      <c r="C254" s="60" t="s">
        <v>820</v>
      </c>
      <c r="D254" s="60" t="s">
        <v>821</v>
      </c>
      <c r="E254" s="61" t="s">
        <v>46</v>
      </c>
      <c r="F254" s="62" t="s">
        <v>46</v>
      </c>
      <c r="G254" s="63" t="s">
        <v>46</v>
      </c>
      <c r="H254" s="64"/>
      <c r="I254" s="64" t="s">
        <v>47</v>
      </c>
      <c r="J254" s="65">
        <v>10</v>
      </c>
      <c r="K254" s="66">
        <v>2827</v>
      </c>
      <c r="L254" s="67" t="s">
        <v>853</v>
      </c>
      <c r="M254" s="66">
        <v>3070</v>
      </c>
      <c r="N254" s="67" t="s">
        <v>50</v>
      </c>
      <c r="O254" s="66">
        <v>2757</v>
      </c>
      <c r="P254" s="67" t="s">
        <v>84</v>
      </c>
      <c r="Q254" s="66">
        <v>3060</v>
      </c>
      <c r="R254" s="67" t="s">
        <v>50</v>
      </c>
      <c r="S254" s="68">
        <v>2936.76</v>
      </c>
      <c r="T254" s="65">
        <v>1461980</v>
      </c>
      <c r="U254" s="65">
        <v>139000</v>
      </c>
      <c r="V254" s="65">
        <v>4224100275</v>
      </c>
      <c r="W254" s="65">
        <v>406066585</v>
      </c>
      <c r="X254" s="69">
        <v>21</v>
      </c>
    </row>
    <row r="255" spans="1:24">
      <c r="A255" s="60" t="s">
        <v>946</v>
      </c>
      <c r="B255" s="60" t="s">
        <v>822</v>
      </c>
      <c r="C255" s="60" t="s">
        <v>823</v>
      </c>
      <c r="D255" s="60" t="s">
        <v>824</v>
      </c>
      <c r="E255" s="61" t="s">
        <v>46</v>
      </c>
      <c r="F255" s="62" t="s">
        <v>46</v>
      </c>
      <c r="G255" s="63" t="s">
        <v>46</v>
      </c>
      <c r="H255" s="64"/>
      <c r="I255" s="64" t="s">
        <v>47</v>
      </c>
      <c r="J255" s="65">
        <v>10</v>
      </c>
      <c r="K255" s="66">
        <v>2644</v>
      </c>
      <c r="L255" s="67" t="s">
        <v>853</v>
      </c>
      <c r="M255" s="66">
        <v>2820</v>
      </c>
      <c r="N255" s="67" t="s">
        <v>50</v>
      </c>
      <c r="O255" s="66">
        <v>2590</v>
      </c>
      <c r="P255" s="67" t="s">
        <v>84</v>
      </c>
      <c r="Q255" s="66">
        <v>2813</v>
      </c>
      <c r="R255" s="67" t="s">
        <v>50</v>
      </c>
      <c r="S255" s="68">
        <v>2708.33</v>
      </c>
      <c r="T255" s="65">
        <v>3310520</v>
      </c>
      <c r="U255" s="65">
        <v>927030</v>
      </c>
      <c r="V255" s="65">
        <v>8908722388</v>
      </c>
      <c r="W255" s="65">
        <v>2506919248</v>
      </c>
      <c r="X255" s="69">
        <v>21</v>
      </c>
    </row>
    <row r="256" spans="1:24">
      <c r="A256" s="60" t="s">
        <v>946</v>
      </c>
      <c r="B256" s="60" t="s">
        <v>825</v>
      </c>
      <c r="C256" s="60" t="s">
        <v>826</v>
      </c>
      <c r="D256" s="60" t="s">
        <v>827</v>
      </c>
      <c r="E256" s="61" t="s">
        <v>46</v>
      </c>
      <c r="F256" s="62" t="s">
        <v>46</v>
      </c>
      <c r="G256" s="63" t="s">
        <v>46</v>
      </c>
      <c r="H256" s="64"/>
      <c r="I256" s="64" t="s">
        <v>47</v>
      </c>
      <c r="J256" s="65">
        <v>1</v>
      </c>
      <c r="K256" s="66">
        <v>2627</v>
      </c>
      <c r="L256" s="67" t="s">
        <v>853</v>
      </c>
      <c r="M256" s="66">
        <v>2689</v>
      </c>
      <c r="N256" s="67" t="s">
        <v>100</v>
      </c>
      <c r="O256" s="66">
        <v>2613</v>
      </c>
      <c r="P256" s="67" t="s">
        <v>84</v>
      </c>
      <c r="Q256" s="66">
        <v>2655</v>
      </c>
      <c r="R256" s="67" t="s">
        <v>50</v>
      </c>
      <c r="S256" s="68">
        <v>2650.14</v>
      </c>
      <c r="T256" s="65">
        <v>2209099</v>
      </c>
      <c r="U256" s="65">
        <v>1183000</v>
      </c>
      <c r="V256" s="65">
        <v>5827749780</v>
      </c>
      <c r="W256" s="65">
        <v>3103997333</v>
      </c>
      <c r="X256" s="69">
        <v>21</v>
      </c>
    </row>
    <row r="257" spans="1:24">
      <c r="A257" s="60" t="s">
        <v>946</v>
      </c>
      <c r="B257" s="60" t="s">
        <v>828</v>
      </c>
      <c r="C257" s="60" t="s">
        <v>829</v>
      </c>
      <c r="D257" s="60" t="s">
        <v>830</v>
      </c>
      <c r="E257" s="61" t="s">
        <v>46</v>
      </c>
      <c r="F257" s="62" t="s">
        <v>46</v>
      </c>
      <c r="G257" s="63" t="s">
        <v>46</v>
      </c>
      <c r="H257" s="64"/>
      <c r="I257" s="64" t="s">
        <v>47</v>
      </c>
      <c r="J257" s="65">
        <v>1</v>
      </c>
      <c r="K257" s="66">
        <v>2227</v>
      </c>
      <c r="L257" s="67" t="s">
        <v>853</v>
      </c>
      <c r="M257" s="66">
        <v>2260</v>
      </c>
      <c r="N257" s="67" t="s">
        <v>88</v>
      </c>
      <c r="O257" s="66">
        <v>2156</v>
      </c>
      <c r="P257" s="67" t="s">
        <v>875</v>
      </c>
      <c r="Q257" s="66">
        <v>2228</v>
      </c>
      <c r="R257" s="67" t="s">
        <v>50</v>
      </c>
      <c r="S257" s="68">
        <v>2204.52</v>
      </c>
      <c r="T257" s="65">
        <v>1794120</v>
      </c>
      <c r="U257" s="65">
        <v>570010</v>
      </c>
      <c r="V257" s="65">
        <v>3970724023</v>
      </c>
      <c r="W257" s="65">
        <v>1271981971</v>
      </c>
      <c r="X257" s="69">
        <v>21</v>
      </c>
    </row>
    <row r="258" spans="1:24">
      <c r="A258" s="60" t="s">
        <v>946</v>
      </c>
      <c r="B258" s="60" t="s">
        <v>831</v>
      </c>
      <c r="C258" s="60" t="s">
        <v>832</v>
      </c>
      <c r="D258" s="60" t="s">
        <v>833</v>
      </c>
      <c r="E258" s="61" t="s">
        <v>46</v>
      </c>
      <c r="F258" s="62" t="s">
        <v>46</v>
      </c>
      <c r="G258" s="63" t="s">
        <v>46</v>
      </c>
      <c r="H258" s="64"/>
      <c r="I258" s="64" t="s">
        <v>47</v>
      </c>
      <c r="J258" s="65">
        <v>1</v>
      </c>
      <c r="K258" s="66">
        <v>2497</v>
      </c>
      <c r="L258" s="67" t="s">
        <v>853</v>
      </c>
      <c r="M258" s="66">
        <v>2498</v>
      </c>
      <c r="N258" s="67" t="s">
        <v>84</v>
      </c>
      <c r="O258" s="66">
        <v>2438</v>
      </c>
      <c r="P258" s="67" t="s">
        <v>131</v>
      </c>
      <c r="Q258" s="66">
        <v>2465</v>
      </c>
      <c r="R258" s="67" t="s">
        <v>50</v>
      </c>
      <c r="S258" s="68">
        <v>2460.4299999999998</v>
      </c>
      <c r="T258" s="65">
        <v>13485</v>
      </c>
      <c r="U258" s="65" t="s">
        <v>955</v>
      </c>
      <c r="V258" s="65">
        <v>33258481</v>
      </c>
      <c r="W258" s="65" t="s">
        <v>955</v>
      </c>
      <c r="X258" s="69">
        <v>21</v>
      </c>
    </row>
    <row r="259" spans="1:24">
      <c r="A259" s="60" t="s">
        <v>946</v>
      </c>
      <c r="B259" s="60" t="s">
        <v>834</v>
      </c>
      <c r="C259" s="60" t="s">
        <v>835</v>
      </c>
      <c r="D259" s="60" t="s">
        <v>836</v>
      </c>
      <c r="E259" s="61" t="s">
        <v>46</v>
      </c>
      <c r="F259" s="62" t="s">
        <v>46</v>
      </c>
      <c r="G259" s="63" t="s">
        <v>46</v>
      </c>
      <c r="H259" s="64"/>
      <c r="I259" s="64" t="s">
        <v>47</v>
      </c>
      <c r="J259" s="65">
        <v>1</v>
      </c>
      <c r="K259" s="66">
        <v>2528</v>
      </c>
      <c r="L259" s="67" t="s">
        <v>853</v>
      </c>
      <c r="M259" s="66">
        <v>2528</v>
      </c>
      <c r="N259" s="67" t="s">
        <v>853</v>
      </c>
      <c r="O259" s="66">
        <v>2478</v>
      </c>
      <c r="P259" s="67" t="s">
        <v>92</v>
      </c>
      <c r="Q259" s="66">
        <v>2488</v>
      </c>
      <c r="R259" s="67" t="s">
        <v>50</v>
      </c>
      <c r="S259" s="68">
        <v>2497.86</v>
      </c>
      <c r="T259" s="65">
        <v>7646</v>
      </c>
      <c r="U259" s="65" t="s">
        <v>955</v>
      </c>
      <c r="V259" s="65">
        <v>19036598</v>
      </c>
      <c r="W259" s="65" t="s">
        <v>955</v>
      </c>
      <c r="X259" s="69">
        <v>21</v>
      </c>
    </row>
    <row r="260" spans="1:24">
      <c r="A260" s="60" t="s">
        <v>946</v>
      </c>
      <c r="B260" s="60" t="s">
        <v>837</v>
      </c>
      <c r="C260" s="60" t="s">
        <v>838</v>
      </c>
      <c r="D260" s="60" t="s">
        <v>839</v>
      </c>
      <c r="E260" s="61" t="s">
        <v>46</v>
      </c>
      <c r="F260" s="62" t="s">
        <v>46</v>
      </c>
      <c r="G260" s="63" t="s">
        <v>46</v>
      </c>
      <c r="H260" s="64"/>
      <c r="I260" s="64" t="s">
        <v>47</v>
      </c>
      <c r="J260" s="65">
        <v>1</v>
      </c>
      <c r="K260" s="66">
        <v>2953</v>
      </c>
      <c r="L260" s="67" t="s">
        <v>853</v>
      </c>
      <c r="M260" s="66">
        <v>2956</v>
      </c>
      <c r="N260" s="67" t="s">
        <v>853</v>
      </c>
      <c r="O260" s="66">
        <v>2749</v>
      </c>
      <c r="P260" s="67" t="s">
        <v>77</v>
      </c>
      <c r="Q260" s="66">
        <v>2894</v>
      </c>
      <c r="R260" s="67" t="s">
        <v>50</v>
      </c>
      <c r="S260" s="68">
        <v>2868.19</v>
      </c>
      <c r="T260" s="65">
        <v>778852</v>
      </c>
      <c r="U260" s="65">
        <v>60000</v>
      </c>
      <c r="V260" s="65">
        <v>2208868789</v>
      </c>
      <c r="W260" s="65">
        <v>166632000</v>
      </c>
      <c r="X260" s="69">
        <v>21</v>
      </c>
    </row>
    <row r="261" spans="1:24">
      <c r="A261" s="60" t="s">
        <v>946</v>
      </c>
      <c r="B261" s="60" t="s">
        <v>840</v>
      </c>
      <c r="C261" s="60" t="s">
        <v>841</v>
      </c>
      <c r="D261" s="60" t="s">
        <v>842</v>
      </c>
      <c r="E261" s="61" t="s">
        <v>46</v>
      </c>
      <c r="F261" s="62" t="s">
        <v>46</v>
      </c>
      <c r="G261" s="63" t="s">
        <v>46</v>
      </c>
      <c r="H261" s="64"/>
      <c r="I261" s="64" t="s">
        <v>47</v>
      </c>
      <c r="J261" s="65">
        <v>1</v>
      </c>
      <c r="K261" s="66">
        <v>2030</v>
      </c>
      <c r="L261" s="67" t="s">
        <v>853</v>
      </c>
      <c r="M261" s="66">
        <v>2041</v>
      </c>
      <c r="N261" s="67" t="s">
        <v>371</v>
      </c>
      <c r="O261" s="66">
        <v>1939</v>
      </c>
      <c r="P261" s="67" t="s">
        <v>172</v>
      </c>
      <c r="Q261" s="66">
        <v>2002</v>
      </c>
      <c r="R261" s="67" t="s">
        <v>50</v>
      </c>
      <c r="S261" s="68">
        <v>1995.48</v>
      </c>
      <c r="T261" s="65">
        <v>846401</v>
      </c>
      <c r="U261" s="65" t="s">
        <v>955</v>
      </c>
      <c r="V261" s="65">
        <v>1682153131</v>
      </c>
      <c r="W261" s="65" t="s">
        <v>955</v>
      </c>
      <c r="X261" s="69">
        <v>21</v>
      </c>
    </row>
    <row r="262" spans="1:24">
      <c r="A262" s="60" t="s">
        <v>946</v>
      </c>
      <c r="B262" s="60" t="s">
        <v>843</v>
      </c>
      <c r="C262" s="60" t="s">
        <v>844</v>
      </c>
      <c r="D262" s="60" t="s">
        <v>845</v>
      </c>
      <c r="E262" s="61" t="s">
        <v>46</v>
      </c>
      <c r="F262" s="62" t="s">
        <v>46</v>
      </c>
      <c r="G262" s="63" t="s">
        <v>46</v>
      </c>
      <c r="H262" s="64"/>
      <c r="I262" s="64" t="s">
        <v>47</v>
      </c>
      <c r="J262" s="65">
        <v>1</v>
      </c>
      <c r="K262" s="66">
        <v>2106</v>
      </c>
      <c r="L262" s="67" t="s">
        <v>853</v>
      </c>
      <c r="M262" s="66">
        <v>2144</v>
      </c>
      <c r="N262" s="67" t="s">
        <v>371</v>
      </c>
      <c r="O262" s="66">
        <v>1986</v>
      </c>
      <c r="P262" s="67" t="s">
        <v>84</v>
      </c>
      <c r="Q262" s="66">
        <v>2083</v>
      </c>
      <c r="R262" s="67" t="s">
        <v>50</v>
      </c>
      <c r="S262" s="68">
        <v>2081.71</v>
      </c>
      <c r="T262" s="65">
        <v>227775</v>
      </c>
      <c r="U262" s="65" t="s">
        <v>955</v>
      </c>
      <c r="V262" s="65">
        <v>470626706</v>
      </c>
      <c r="W262" s="65" t="s">
        <v>955</v>
      </c>
      <c r="X262" s="69">
        <v>21</v>
      </c>
    </row>
    <row r="263" spans="1:24">
      <c r="A263" s="60" t="s">
        <v>946</v>
      </c>
      <c r="B263" s="60" t="s">
        <v>849</v>
      </c>
      <c r="C263" s="60" t="s">
        <v>850</v>
      </c>
      <c r="D263" s="60" t="s">
        <v>851</v>
      </c>
      <c r="E263" s="61" t="s">
        <v>46</v>
      </c>
      <c r="F263" s="62" t="s">
        <v>46</v>
      </c>
      <c r="G263" s="63" t="s">
        <v>46</v>
      </c>
      <c r="H263" s="64"/>
      <c r="I263" s="64" t="s">
        <v>47</v>
      </c>
      <c r="J263" s="65">
        <v>1</v>
      </c>
      <c r="K263" s="66">
        <v>2322</v>
      </c>
      <c r="L263" s="67" t="s">
        <v>853</v>
      </c>
      <c r="M263" s="66">
        <v>2389</v>
      </c>
      <c r="N263" s="67" t="s">
        <v>371</v>
      </c>
      <c r="O263" s="66">
        <v>2233</v>
      </c>
      <c r="P263" s="67" t="s">
        <v>84</v>
      </c>
      <c r="Q263" s="66">
        <v>2265</v>
      </c>
      <c r="R263" s="67" t="s">
        <v>50</v>
      </c>
      <c r="S263" s="68">
        <v>2308.0500000000002</v>
      </c>
      <c r="T263" s="65">
        <v>567025</v>
      </c>
      <c r="U263" s="65" t="s">
        <v>955</v>
      </c>
      <c r="V263" s="65">
        <v>1302835724</v>
      </c>
      <c r="W263" s="65" t="s">
        <v>955</v>
      </c>
      <c r="X263" s="69">
        <v>21</v>
      </c>
    </row>
    <row r="264" spans="1:24">
      <c r="A264" s="60" t="s">
        <v>946</v>
      </c>
      <c r="B264" s="60" t="s">
        <v>899</v>
      </c>
      <c r="C264" s="60" t="s">
        <v>900</v>
      </c>
      <c r="D264" s="60" t="s">
        <v>901</v>
      </c>
      <c r="E264" s="61" t="s">
        <v>46</v>
      </c>
      <c r="F264" s="62" t="s">
        <v>46</v>
      </c>
      <c r="G264" s="63" t="s">
        <v>46</v>
      </c>
      <c r="H264" s="64"/>
      <c r="I264" s="64" t="s">
        <v>47</v>
      </c>
      <c r="J264" s="65">
        <v>1</v>
      </c>
      <c r="K264" s="66">
        <v>2391</v>
      </c>
      <c r="L264" s="67" t="s">
        <v>853</v>
      </c>
      <c r="M264" s="66">
        <v>2524</v>
      </c>
      <c r="N264" s="67" t="s">
        <v>73</v>
      </c>
      <c r="O264" s="66">
        <v>2320</v>
      </c>
      <c r="P264" s="67" t="s">
        <v>84</v>
      </c>
      <c r="Q264" s="66">
        <v>2513</v>
      </c>
      <c r="R264" s="67" t="s">
        <v>50</v>
      </c>
      <c r="S264" s="68">
        <v>2422.5700000000002</v>
      </c>
      <c r="T264" s="65">
        <v>37115</v>
      </c>
      <c r="U264" s="65" t="s">
        <v>955</v>
      </c>
      <c r="V264" s="65">
        <v>89788074</v>
      </c>
      <c r="W264" s="65" t="s">
        <v>955</v>
      </c>
      <c r="X264" s="69">
        <v>21</v>
      </c>
    </row>
    <row r="265" spans="1:24">
      <c r="A265" s="60" t="s">
        <v>946</v>
      </c>
      <c r="B265" s="60" t="s">
        <v>903</v>
      </c>
      <c r="C265" s="60" t="s">
        <v>904</v>
      </c>
      <c r="D265" s="60" t="s">
        <v>905</v>
      </c>
      <c r="E265" s="61" t="s">
        <v>46</v>
      </c>
      <c r="F265" s="62" t="s">
        <v>46</v>
      </c>
      <c r="G265" s="63" t="s">
        <v>46</v>
      </c>
      <c r="H265" s="64"/>
      <c r="I265" s="64" t="s">
        <v>47</v>
      </c>
      <c r="J265" s="65">
        <v>1</v>
      </c>
      <c r="K265" s="66">
        <v>2627</v>
      </c>
      <c r="L265" s="67" t="s">
        <v>853</v>
      </c>
      <c r="M265" s="66">
        <v>2825</v>
      </c>
      <c r="N265" s="67" t="s">
        <v>132</v>
      </c>
      <c r="O265" s="66">
        <v>2538</v>
      </c>
      <c r="P265" s="67" t="s">
        <v>84</v>
      </c>
      <c r="Q265" s="66">
        <v>2748</v>
      </c>
      <c r="R265" s="67" t="s">
        <v>50</v>
      </c>
      <c r="S265" s="68">
        <v>2693.38</v>
      </c>
      <c r="T265" s="65">
        <v>13213</v>
      </c>
      <c r="U265" s="65" t="s">
        <v>955</v>
      </c>
      <c r="V265" s="65">
        <v>35604800</v>
      </c>
      <c r="W265" s="65" t="s">
        <v>955</v>
      </c>
      <c r="X265" s="69">
        <v>21</v>
      </c>
    </row>
    <row r="266" spans="1:24">
      <c r="A266" s="60" t="s">
        <v>946</v>
      </c>
      <c r="B266" s="60" t="s">
        <v>861</v>
      </c>
      <c r="C266" s="60" t="s">
        <v>862</v>
      </c>
      <c r="D266" s="60" t="s">
        <v>863</v>
      </c>
      <c r="E266" s="61" t="s">
        <v>46</v>
      </c>
      <c r="F266" s="62" t="s">
        <v>46</v>
      </c>
      <c r="G266" s="63" t="s">
        <v>46</v>
      </c>
      <c r="H266" s="64"/>
      <c r="I266" s="64" t="s">
        <v>47</v>
      </c>
      <c r="J266" s="65">
        <v>1</v>
      </c>
      <c r="K266" s="66">
        <v>11160</v>
      </c>
      <c r="L266" s="67" t="s">
        <v>853</v>
      </c>
      <c r="M266" s="66">
        <v>11850</v>
      </c>
      <c r="N266" s="67" t="s">
        <v>240</v>
      </c>
      <c r="O266" s="66">
        <v>11050</v>
      </c>
      <c r="P266" s="67" t="s">
        <v>853</v>
      </c>
      <c r="Q266" s="66">
        <v>11820</v>
      </c>
      <c r="R266" s="67" t="s">
        <v>50</v>
      </c>
      <c r="S266" s="68">
        <v>11484.76</v>
      </c>
      <c r="T266" s="65">
        <v>519188</v>
      </c>
      <c r="U266" s="65">
        <v>64804</v>
      </c>
      <c r="V266" s="65">
        <v>5885406907</v>
      </c>
      <c r="W266" s="65">
        <v>757513507</v>
      </c>
      <c r="X266" s="69">
        <v>21</v>
      </c>
    </row>
    <row r="267" spans="1:24">
      <c r="A267" s="60" t="s">
        <v>946</v>
      </c>
      <c r="B267" s="60" t="s">
        <v>865</v>
      </c>
      <c r="C267" s="60" t="s">
        <v>866</v>
      </c>
      <c r="D267" s="60" t="s">
        <v>867</v>
      </c>
      <c r="E267" s="61" t="s">
        <v>46</v>
      </c>
      <c r="F267" s="62" t="s">
        <v>46</v>
      </c>
      <c r="G267" s="63" t="s">
        <v>46</v>
      </c>
      <c r="H267" s="64"/>
      <c r="I267" s="64" t="s">
        <v>47</v>
      </c>
      <c r="J267" s="65">
        <v>1</v>
      </c>
      <c r="K267" s="66">
        <v>11810</v>
      </c>
      <c r="L267" s="67" t="s">
        <v>853</v>
      </c>
      <c r="M267" s="66">
        <v>12830</v>
      </c>
      <c r="N267" s="67" t="s">
        <v>50</v>
      </c>
      <c r="O267" s="66">
        <v>11510</v>
      </c>
      <c r="P267" s="67" t="s">
        <v>84</v>
      </c>
      <c r="Q267" s="66">
        <v>12790</v>
      </c>
      <c r="R267" s="67" t="s">
        <v>50</v>
      </c>
      <c r="S267" s="68">
        <v>12271.43</v>
      </c>
      <c r="T267" s="65">
        <v>663560</v>
      </c>
      <c r="U267" s="65">
        <v>1</v>
      </c>
      <c r="V267" s="65">
        <v>8093745830</v>
      </c>
      <c r="W267" s="65">
        <v>12780</v>
      </c>
      <c r="X267" s="69">
        <v>21</v>
      </c>
    </row>
    <row r="268" spans="1:24">
      <c r="A268" s="60" t="s">
        <v>946</v>
      </c>
      <c r="B268" s="60" t="s">
        <v>868</v>
      </c>
      <c r="C268" s="60" t="s">
        <v>869</v>
      </c>
      <c r="D268" s="60" t="s">
        <v>870</v>
      </c>
      <c r="E268" s="61" t="s">
        <v>46</v>
      </c>
      <c r="F268" s="62" t="s">
        <v>46</v>
      </c>
      <c r="G268" s="63" t="s">
        <v>46</v>
      </c>
      <c r="H268" s="64"/>
      <c r="I268" s="64" t="s">
        <v>47</v>
      </c>
      <c r="J268" s="65">
        <v>1</v>
      </c>
      <c r="K268" s="66">
        <v>11140</v>
      </c>
      <c r="L268" s="67" t="s">
        <v>853</v>
      </c>
      <c r="M268" s="66">
        <v>11880</v>
      </c>
      <c r="N268" s="67" t="s">
        <v>50</v>
      </c>
      <c r="O268" s="66">
        <v>10900</v>
      </c>
      <c r="P268" s="67" t="s">
        <v>84</v>
      </c>
      <c r="Q268" s="66">
        <v>11830</v>
      </c>
      <c r="R268" s="67" t="s">
        <v>50</v>
      </c>
      <c r="S268" s="68">
        <v>11401.43</v>
      </c>
      <c r="T268" s="65">
        <v>152340</v>
      </c>
      <c r="U268" s="65">
        <v>13500</v>
      </c>
      <c r="V268" s="65">
        <v>1733783939</v>
      </c>
      <c r="W268" s="65">
        <v>151746189</v>
      </c>
      <c r="X268" s="69">
        <v>21</v>
      </c>
    </row>
    <row r="269" spans="1:24">
      <c r="A269" s="60" t="s">
        <v>946</v>
      </c>
      <c r="B269" s="60" t="s">
        <v>879</v>
      </c>
      <c r="C269" s="60" t="s">
        <v>880</v>
      </c>
      <c r="D269" s="60" t="s">
        <v>881</v>
      </c>
      <c r="E269" s="61" t="s">
        <v>46</v>
      </c>
      <c r="F269" s="62" t="s">
        <v>46</v>
      </c>
      <c r="G269" s="63" t="s">
        <v>46</v>
      </c>
      <c r="H269" s="64"/>
      <c r="I269" s="64" t="s">
        <v>47</v>
      </c>
      <c r="J269" s="65">
        <v>10</v>
      </c>
      <c r="K269" s="66">
        <v>2224</v>
      </c>
      <c r="L269" s="67" t="s">
        <v>853</v>
      </c>
      <c r="M269" s="66">
        <v>2420</v>
      </c>
      <c r="N269" s="67" t="s">
        <v>73</v>
      </c>
      <c r="O269" s="66">
        <v>2195</v>
      </c>
      <c r="P269" s="67" t="s">
        <v>84</v>
      </c>
      <c r="Q269" s="66">
        <v>2404</v>
      </c>
      <c r="R269" s="67" t="s">
        <v>50</v>
      </c>
      <c r="S269" s="68">
        <v>2324.4299999999998</v>
      </c>
      <c r="T269" s="65">
        <v>738680</v>
      </c>
      <c r="U269" s="65">
        <v>20</v>
      </c>
      <c r="V269" s="65">
        <v>1710317520</v>
      </c>
      <c r="W269" s="65">
        <v>47440</v>
      </c>
      <c r="X269" s="69">
        <v>21</v>
      </c>
    </row>
    <row r="270" spans="1:24">
      <c r="A270" s="60" t="s">
        <v>946</v>
      </c>
      <c r="B270" s="60" t="s">
        <v>883</v>
      </c>
      <c r="C270" s="60" t="s">
        <v>884</v>
      </c>
      <c r="D270" s="60" t="s">
        <v>885</v>
      </c>
      <c r="E270" s="61" t="s">
        <v>46</v>
      </c>
      <c r="F270" s="62" t="s">
        <v>46</v>
      </c>
      <c r="G270" s="63" t="s">
        <v>46</v>
      </c>
      <c r="H270" s="64"/>
      <c r="I270" s="64" t="s">
        <v>47</v>
      </c>
      <c r="J270" s="65">
        <v>10</v>
      </c>
      <c r="K270" s="66">
        <v>2179</v>
      </c>
      <c r="L270" s="67" t="s">
        <v>853</v>
      </c>
      <c r="M270" s="66">
        <v>2315</v>
      </c>
      <c r="N270" s="67" t="s">
        <v>240</v>
      </c>
      <c r="O270" s="66">
        <v>2159</v>
      </c>
      <c r="P270" s="67" t="s">
        <v>853</v>
      </c>
      <c r="Q270" s="66">
        <v>2312</v>
      </c>
      <c r="R270" s="67" t="s">
        <v>50</v>
      </c>
      <c r="S270" s="68">
        <v>2243.9</v>
      </c>
      <c r="T270" s="65">
        <v>2707780</v>
      </c>
      <c r="U270" s="65">
        <v>1146040</v>
      </c>
      <c r="V270" s="65">
        <v>6179416312</v>
      </c>
      <c r="W270" s="65">
        <v>2626134622</v>
      </c>
      <c r="X270" s="69">
        <v>21</v>
      </c>
    </row>
    <row r="271" spans="1:24">
      <c r="A271" s="60" t="s">
        <v>946</v>
      </c>
      <c r="B271" s="60" t="s">
        <v>886</v>
      </c>
      <c r="C271" s="60" t="s">
        <v>887</v>
      </c>
      <c r="D271" s="60" t="s">
        <v>888</v>
      </c>
      <c r="E271" s="61" t="s">
        <v>46</v>
      </c>
      <c r="F271" s="62" t="s">
        <v>46</v>
      </c>
      <c r="G271" s="63" t="s">
        <v>46</v>
      </c>
      <c r="H271" s="64"/>
      <c r="I271" s="64" t="s">
        <v>47</v>
      </c>
      <c r="J271" s="65">
        <v>10</v>
      </c>
      <c r="K271" s="66">
        <v>2237</v>
      </c>
      <c r="L271" s="67" t="s">
        <v>853</v>
      </c>
      <c r="M271" s="66">
        <v>2467</v>
      </c>
      <c r="N271" s="67" t="s">
        <v>73</v>
      </c>
      <c r="O271" s="66">
        <v>2211</v>
      </c>
      <c r="P271" s="67" t="s">
        <v>853</v>
      </c>
      <c r="Q271" s="66">
        <v>2443</v>
      </c>
      <c r="R271" s="67" t="s">
        <v>50</v>
      </c>
      <c r="S271" s="68">
        <v>2346.5700000000002</v>
      </c>
      <c r="T271" s="65">
        <v>39040</v>
      </c>
      <c r="U271" s="65" t="s">
        <v>955</v>
      </c>
      <c r="V271" s="65">
        <v>92238920</v>
      </c>
      <c r="W271" s="65" t="s">
        <v>955</v>
      </c>
      <c r="X271" s="69">
        <v>21</v>
      </c>
    </row>
    <row r="272" spans="1:24">
      <c r="A272" s="60" t="s">
        <v>946</v>
      </c>
      <c r="B272" s="60" t="s">
        <v>889</v>
      </c>
      <c r="C272" s="60" t="s">
        <v>890</v>
      </c>
      <c r="D272" s="60" t="s">
        <v>891</v>
      </c>
      <c r="E272" s="61" t="s">
        <v>46</v>
      </c>
      <c r="F272" s="62" t="s">
        <v>46</v>
      </c>
      <c r="G272" s="63" t="s">
        <v>46</v>
      </c>
      <c r="H272" s="64"/>
      <c r="I272" s="64" t="s">
        <v>47</v>
      </c>
      <c r="J272" s="65">
        <v>1</v>
      </c>
      <c r="K272" s="66">
        <v>2825</v>
      </c>
      <c r="L272" s="67" t="s">
        <v>853</v>
      </c>
      <c r="M272" s="66">
        <v>2865</v>
      </c>
      <c r="N272" s="67" t="s">
        <v>371</v>
      </c>
      <c r="O272" s="66">
        <v>2687</v>
      </c>
      <c r="P272" s="67" t="s">
        <v>84</v>
      </c>
      <c r="Q272" s="66">
        <v>2805</v>
      </c>
      <c r="R272" s="67" t="s">
        <v>50</v>
      </c>
      <c r="S272" s="68">
        <v>2786.1</v>
      </c>
      <c r="T272" s="65">
        <v>63245</v>
      </c>
      <c r="U272" s="65" t="s">
        <v>955</v>
      </c>
      <c r="V272" s="65">
        <v>174736786</v>
      </c>
      <c r="W272" s="65" t="s">
        <v>955</v>
      </c>
      <c r="X272" s="69">
        <v>21</v>
      </c>
    </row>
    <row r="273" spans="1:24">
      <c r="A273" s="60" t="s">
        <v>946</v>
      </c>
      <c r="B273" s="60" t="s">
        <v>892</v>
      </c>
      <c r="C273" s="60" t="s">
        <v>893</v>
      </c>
      <c r="D273" s="60" t="s">
        <v>894</v>
      </c>
      <c r="E273" s="61" t="s">
        <v>46</v>
      </c>
      <c r="F273" s="62" t="s">
        <v>46</v>
      </c>
      <c r="G273" s="63" t="s">
        <v>46</v>
      </c>
      <c r="H273" s="64"/>
      <c r="I273" s="64" t="s">
        <v>47</v>
      </c>
      <c r="J273" s="65">
        <v>1</v>
      </c>
      <c r="K273" s="66">
        <v>1737</v>
      </c>
      <c r="L273" s="67" t="s">
        <v>853</v>
      </c>
      <c r="M273" s="66">
        <v>1827</v>
      </c>
      <c r="N273" s="67" t="s">
        <v>371</v>
      </c>
      <c r="O273" s="66">
        <v>1625</v>
      </c>
      <c r="P273" s="67" t="s">
        <v>84</v>
      </c>
      <c r="Q273" s="66">
        <v>1787</v>
      </c>
      <c r="R273" s="67" t="s">
        <v>50</v>
      </c>
      <c r="S273" s="68">
        <v>1741.43</v>
      </c>
      <c r="T273" s="65">
        <v>170995</v>
      </c>
      <c r="U273" s="65" t="s">
        <v>955</v>
      </c>
      <c r="V273" s="65">
        <v>294993110</v>
      </c>
      <c r="W273" s="65" t="s">
        <v>955</v>
      </c>
      <c r="X273" s="69">
        <v>21</v>
      </c>
    </row>
    <row r="274" spans="1:24">
      <c r="A274" s="60" t="s">
        <v>946</v>
      </c>
      <c r="B274" s="60" t="s">
        <v>910</v>
      </c>
      <c r="C274" s="60" t="s">
        <v>911</v>
      </c>
      <c r="D274" s="60" t="s">
        <v>912</v>
      </c>
      <c r="E274" s="61" t="s">
        <v>46</v>
      </c>
      <c r="F274" s="62" t="s">
        <v>46</v>
      </c>
      <c r="G274" s="63" t="s">
        <v>46</v>
      </c>
      <c r="H274" s="64"/>
      <c r="I274" s="64" t="s">
        <v>47</v>
      </c>
      <c r="J274" s="65">
        <v>1</v>
      </c>
      <c r="K274" s="66">
        <v>2337</v>
      </c>
      <c r="L274" s="67" t="s">
        <v>853</v>
      </c>
      <c r="M274" s="66">
        <v>2373</v>
      </c>
      <c r="N274" s="67" t="s">
        <v>371</v>
      </c>
      <c r="O274" s="66">
        <v>2195</v>
      </c>
      <c r="P274" s="67" t="s">
        <v>77</v>
      </c>
      <c r="Q274" s="66">
        <v>2268</v>
      </c>
      <c r="R274" s="67" t="s">
        <v>50</v>
      </c>
      <c r="S274" s="68">
        <v>2277.67</v>
      </c>
      <c r="T274" s="65">
        <v>97779</v>
      </c>
      <c r="U274" s="65" t="s">
        <v>955</v>
      </c>
      <c r="V274" s="65">
        <v>222475084</v>
      </c>
      <c r="W274" s="65" t="s">
        <v>955</v>
      </c>
      <c r="X274" s="69">
        <v>21</v>
      </c>
    </row>
    <row r="275" spans="1:24">
      <c r="A275" s="60" t="s">
        <v>946</v>
      </c>
      <c r="B275" s="60" t="s">
        <v>914</v>
      </c>
      <c r="C275" s="60" t="s">
        <v>915</v>
      </c>
      <c r="D275" s="60" t="s">
        <v>916</v>
      </c>
      <c r="E275" s="61" t="s">
        <v>46</v>
      </c>
      <c r="F275" s="62" t="s">
        <v>46</v>
      </c>
      <c r="G275" s="63" t="s">
        <v>46</v>
      </c>
      <c r="H275" s="64"/>
      <c r="I275" s="64" t="s">
        <v>47</v>
      </c>
      <c r="J275" s="65">
        <v>1</v>
      </c>
      <c r="K275" s="66">
        <v>1946</v>
      </c>
      <c r="L275" s="67" t="s">
        <v>853</v>
      </c>
      <c r="M275" s="66">
        <v>1955</v>
      </c>
      <c r="N275" s="67" t="s">
        <v>853</v>
      </c>
      <c r="O275" s="66">
        <v>1825</v>
      </c>
      <c r="P275" s="67" t="s">
        <v>77</v>
      </c>
      <c r="Q275" s="66">
        <v>1857</v>
      </c>
      <c r="R275" s="67" t="s">
        <v>50</v>
      </c>
      <c r="S275" s="68">
        <v>1868.67</v>
      </c>
      <c r="T275" s="65">
        <v>101123</v>
      </c>
      <c r="U275" s="65" t="s">
        <v>955</v>
      </c>
      <c r="V275" s="65">
        <v>189303454</v>
      </c>
      <c r="W275" s="65" t="s">
        <v>955</v>
      </c>
      <c r="X275" s="69">
        <v>21</v>
      </c>
    </row>
    <row r="276" spans="1:24">
      <c r="A276" s="60" t="s">
        <v>946</v>
      </c>
      <c r="B276" s="60" t="s">
        <v>917</v>
      </c>
      <c r="C276" s="60" t="s">
        <v>918</v>
      </c>
      <c r="D276" s="60" t="s">
        <v>919</v>
      </c>
      <c r="E276" s="61" t="s">
        <v>46</v>
      </c>
      <c r="F276" s="62" t="s">
        <v>46</v>
      </c>
      <c r="G276" s="63" t="s">
        <v>46</v>
      </c>
      <c r="H276" s="64"/>
      <c r="I276" s="64" t="s">
        <v>47</v>
      </c>
      <c r="J276" s="65">
        <v>1</v>
      </c>
      <c r="K276" s="66">
        <v>2549</v>
      </c>
      <c r="L276" s="67" t="s">
        <v>853</v>
      </c>
      <c r="M276" s="66">
        <v>2641</v>
      </c>
      <c r="N276" s="67" t="s">
        <v>371</v>
      </c>
      <c r="O276" s="66">
        <v>2385</v>
      </c>
      <c r="P276" s="67" t="s">
        <v>84</v>
      </c>
      <c r="Q276" s="66">
        <v>2542</v>
      </c>
      <c r="R276" s="67" t="s">
        <v>50</v>
      </c>
      <c r="S276" s="68">
        <v>2538.33</v>
      </c>
      <c r="T276" s="65">
        <v>129632</v>
      </c>
      <c r="U276" s="65">
        <v>53</v>
      </c>
      <c r="V276" s="65">
        <v>326602337</v>
      </c>
      <c r="W276" s="65">
        <v>138383</v>
      </c>
      <c r="X276" s="69">
        <v>21</v>
      </c>
    </row>
    <row r="277" spans="1:24">
      <c r="A277" s="60" t="s">
        <v>946</v>
      </c>
      <c r="B277" s="60" t="s">
        <v>920</v>
      </c>
      <c r="C277" s="60" t="s">
        <v>921</v>
      </c>
      <c r="D277" s="60" t="s">
        <v>922</v>
      </c>
      <c r="E277" s="61" t="s">
        <v>46</v>
      </c>
      <c r="F277" s="62" t="s">
        <v>46</v>
      </c>
      <c r="G277" s="63" t="s">
        <v>46</v>
      </c>
      <c r="H277" s="64"/>
      <c r="I277" s="64" t="s">
        <v>47</v>
      </c>
      <c r="J277" s="65">
        <v>1</v>
      </c>
      <c r="K277" s="66">
        <v>2048</v>
      </c>
      <c r="L277" s="67" t="s">
        <v>853</v>
      </c>
      <c r="M277" s="66">
        <v>2091</v>
      </c>
      <c r="N277" s="67" t="s">
        <v>371</v>
      </c>
      <c r="O277" s="66">
        <v>1939</v>
      </c>
      <c r="P277" s="67" t="s">
        <v>77</v>
      </c>
      <c r="Q277" s="66">
        <v>2081</v>
      </c>
      <c r="R277" s="67" t="s">
        <v>50</v>
      </c>
      <c r="S277" s="68">
        <v>2033</v>
      </c>
      <c r="T277" s="65">
        <v>87591</v>
      </c>
      <c r="U277" s="65" t="s">
        <v>955</v>
      </c>
      <c r="V277" s="65">
        <v>179721703</v>
      </c>
      <c r="W277" s="65" t="s">
        <v>955</v>
      </c>
      <c r="X277" s="69">
        <v>21</v>
      </c>
    </row>
    <row r="278" spans="1:24">
      <c r="A278" s="60" t="s">
        <v>946</v>
      </c>
      <c r="B278" s="60" t="s">
        <v>923</v>
      </c>
      <c r="C278" s="60" t="s">
        <v>924</v>
      </c>
      <c r="D278" s="60" t="s">
        <v>925</v>
      </c>
      <c r="E278" s="61" t="s">
        <v>46</v>
      </c>
      <c r="F278" s="62" t="s">
        <v>46</v>
      </c>
      <c r="G278" s="63" t="s">
        <v>46</v>
      </c>
      <c r="H278" s="64"/>
      <c r="I278" s="64" t="s">
        <v>47</v>
      </c>
      <c r="J278" s="65">
        <v>1</v>
      </c>
      <c r="K278" s="66">
        <v>26320</v>
      </c>
      <c r="L278" s="67" t="s">
        <v>48</v>
      </c>
      <c r="M278" s="66">
        <v>26910</v>
      </c>
      <c r="N278" s="67" t="s">
        <v>613</v>
      </c>
      <c r="O278" s="66">
        <v>25660</v>
      </c>
      <c r="P278" s="67" t="s">
        <v>84</v>
      </c>
      <c r="Q278" s="66">
        <v>26500</v>
      </c>
      <c r="R278" s="67" t="s">
        <v>88</v>
      </c>
      <c r="S278" s="68">
        <v>26458.57</v>
      </c>
      <c r="T278" s="65">
        <v>25</v>
      </c>
      <c r="U278" s="65" t="s">
        <v>955</v>
      </c>
      <c r="V278" s="65">
        <v>656330</v>
      </c>
      <c r="W278" s="65" t="s">
        <v>955</v>
      </c>
      <c r="X278" s="69">
        <v>7</v>
      </c>
    </row>
    <row r="279" spans="1:24">
      <c r="A279" s="60" t="s">
        <v>946</v>
      </c>
      <c r="B279" s="60" t="s">
        <v>927</v>
      </c>
      <c r="C279" s="60" t="s">
        <v>928</v>
      </c>
      <c r="D279" s="60" t="s">
        <v>929</v>
      </c>
      <c r="E279" s="61" t="s">
        <v>46</v>
      </c>
      <c r="F279" s="62" t="s">
        <v>46</v>
      </c>
      <c r="G279" s="63" t="s">
        <v>46</v>
      </c>
      <c r="H279" s="64"/>
      <c r="I279" s="64" t="s">
        <v>47</v>
      </c>
      <c r="J279" s="65">
        <v>1</v>
      </c>
      <c r="K279" s="66">
        <v>2100</v>
      </c>
      <c r="L279" s="67" t="s">
        <v>853</v>
      </c>
      <c r="M279" s="66">
        <v>2110</v>
      </c>
      <c r="N279" s="67" t="s">
        <v>100</v>
      </c>
      <c r="O279" s="66">
        <v>1993</v>
      </c>
      <c r="P279" s="67" t="s">
        <v>77</v>
      </c>
      <c r="Q279" s="66">
        <v>2083</v>
      </c>
      <c r="R279" s="67" t="s">
        <v>50</v>
      </c>
      <c r="S279" s="68">
        <v>2064.1999999999998</v>
      </c>
      <c r="T279" s="65">
        <v>73107</v>
      </c>
      <c r="U279" s="65" t="s">
        <v>955</v>
      </c>
      <c r="V279" s="65">
        <v>150315076</v>
      </c>
      <c r="W279" s="65" t="s">
        <v>955</v>
      </c>
      <c r="X279" s="69">
        <v>20</v>
      </c>
    </row>
    <row r="280" spans="1:24">
      <c r="A280" s="60" t="s">
        <v>946</v>
      </c>
      <c r="B280" s="60" t="s">
        <v>936</v>
      </c>
      <c r="C280" s="60" t="s">
        <v>937</v>
      </c>
      <c r="D280" s="60" t="s">
        <v>938</v>
      </c>
      <c r="E280" s="61" t="s">
        <v>46</v>
      </c>
      <c r="F280" s="62" t="s">
        <v>46</v>
      </c>
      <c r="G280" s="63" t="s">
        <v>46</v>
      </c>
      <c r="H280" s="64"/>
      <c r="I280" s="64" t="s">
        <v>47</v>
      </c>
      <c r="J280" s="65">
        <v>1</v>
      </c>
      <c r="K280" s="66">
        <v>2325</v>
      </c>
      <c r="L280" s="67" t="s">
        <v>853</v>
      </c>
      <c r="M280" s="66">
        <v>2369</v>
      </c>
      <c r="N280" s="67" t="s">
        <v>371</v>
      </c>
      <c r="O280" s="66">
        <v>2109</v>
      </c>
      <c r="P280" s="67" t="s">
        <v>84</v>
      </c>
      <c r="Q280" s="66">
        <v>2324</v>
      </c>
      <c r="R280" s="67" t="s">
        <v>50</v>
      </c>
      <c r="S280" s="68">
        <v>2252.1</v>
      </c>
      <c r="T280" s="65">
        <v>654506</v>
      </c>
      <c r="U280" s="65" t="s">
        <v>955</v>
      </c>
      <c r="V280" s="65">
        <v>1468115179</v>
      </c>
      <c r="W280" s="65" t="s">
        <v>955</v>
      </c>
      <c r="X280" s="69">
        <v>21</v>
      </c>
    </row>
    <row r="281" spans="1:24">
      <c r="A281" s="60" t="s">
        <v>946</v>
      </c>
      <c r="B281" s="60" t="s">
        <v>940</v>
      </c>
      <c r="C281" s="60" t="s">
        <v>941</v>
      </c>
      <c r="D281" s="60" t="s">
        <v>942</v>
      </c>
      <c r="E281" s="61" t="s">
        <v>46</v>
      </c>
      <c r="F281" s="62" t="s">
        <v>46</v>
      </c>
      <c r="G281" s="63" t="s">
        <v>46</v>
      </c>
      <c r="H281" s="64"/>
      <c r="I281" s="64" t="s">
        <v>47</v>
      </c>
      <c r="J281" s="65">
        <v>1</v>
      </c>
      <c r="K281" s="66">
        <v>2097</v>
      </c>
      <c r="L281" s="67" t="s">
        <v>853</v>
      </c>
      <c r="M281" s="66">
        <v>2119</v>
      </c>
      <c r="N281" s="67" t="s">
        <v>48</v>
      </c>
      <c r="O281" s="66">
        <v>1996</v>
      </c>
      <c r="P281" s="67" t="s">
        <v>77</v>
      </c>
      <c r="Q281" s="66">
        <v>2066</v>
      </c>
      <c r="R281" s="67" t="s">
        <v>50</v>
      </c>
      <c r="S281" s="68">
        <v>2067.29</v>
      </c>
      <c r="T281" s="65">
        <v>150146</v>
      </c>
      <c r="U281" s="65" t="s">
        <v>955</v>
      </c>
      <c r="V281" s="65">
        <v>310953273</v>
      </c>
      <c r="W281" s="65" t="s">
        <v>955</v>
      </c>
      <c r="X281" s="69">
        <v>21</v>
      </c>
    </row>
    <row r="282" spans="1:24">
      <c r="A282" s="60" t="s">
        <v>946</v>
      </c>
      <c r="B282" s="60" t="s">
        <v>943</v>
      </c>
      <c r="C282" s="60" t="s">
        <v>944</v>
      </c>
      <c r="D282" s="60" t="s">
        <v>945</v>
      </c>
      <c r="E282" s="61" t="s">
        <v>46</v>
      </c>
      <c r="F282" s="62" t="s">
        <v>46</v>
      </c>
      <c r="G282" s="63" t="s">
        <v>46</v>
      </c>
      <c r="H282" s="64"/>
      <c r="I282" s="64" t="s">
        <v>47</v>
      </c>
      <c r="J282" s="65">
        <v>1</v>
      </c>
      <c r="K282" s="66">
        <v>1376</v>
      </c>
      <c r="L282" s="67" t="s">
        <v>853</v>
      </c>
      <c r="M282" s="66">
        <v>1468</v>
      </c>
      <c r="N282" s="67" t="s">
        <v>371</v>
      </c>
      <c r="O282" s="66">
        <v>1322</v>
      </c>
      <c r="P282" s="67" t="s">
        <v>84</v>
      </c>
      <c r="Q282" s="66">
        <v>1428</v>
      </c>
      <c r="R282" s="67" t="s">
        <v>50</v>
      </c>
      <c r="S282" s="68">
        <v>1405.95</v>
      </c>
      <c r="T282" s="65">
        <v>121630</v>
      </c>
      <c r="U282" s="65" t="s">
        <v>955</v>
      </c>
      <c r="V282" s="65">
        <v>166023390</v>
      </c>
      <c r="W282" s="65" t="s">
        <v>955</v>
      </c>
      <c r="X282" s="69">
        <v>21</v>
      </c>
    </row>
    <row r="283" spans="1:24">
      <c r="A283" s="60" t="s">
        <v>946</v>
      </c>
      <c r="B283" s="60" t="s">
        <v>948</v>
      </c>
      <c r="C283" s="60" t="s">
        <v>949</v>
      </c>
      <c r="D283" s="60" t="s">
        <v>950</v>
      </c>
      <c r="E283" s="61" t="s">
        <v>846</v>
      </c>
      <c r="F283" s="62" t="s">
        <v>847</v>
      </c>
      <c r="G283" s="63" t="s">
        <v>951</v>
      </c>
      <c r="H283" s="64"/>
      <c r="I283" s="64" t="s">
        <v>47</v>
      </c>
      <c r="J283" s="65">
        <v>10</v>
      </c>
      <c r="K283" s="66">
        <v>5030</v>
      </c>
      <c r="L283" s="67" t="s">
        <v>50</v>
      </c>
      <c r="M283" s="66">
        <v>5040</v>
      </c>
      <c r="N283" s="67" t="s">
        <v>50</v>
      </c>
      <c r="O283" s="66">
        <v>5010</v>
      </c>
      <c r="P283" s="67" t="s">
        <v>50</v>
      </c>
      <c r="Q283" s="66">
        <v>5010</v>
      </c>
      <c r="R283" s="67" t="s">
        <v>50</v>
      </c>
      <c r="S283" s="68">
        <v>5010</v>
      </c>
      <c r="T283" s="65">
        <v>180</v>
      </c>
      <c r="U283" s="65" t="s">
        <v>955</v>
      </c>
      <c r="V283" s="65">
        <v>904800</v>
      </c>
      <c r="W283" s="65" t="s">
        <v>955</v>
      </c>
      <c r="X283" s="69">
        <v>1</v>
      </c>
    </row>
    <row r="284" spans="1:24">
      <c r="A284" s="60" t="s">
        <v>946</v>
      </c>
      <c r="B284" s="60" t="s">
        <v>952</v>
      </c>
      <c r="C284" s="60" t="s">
        <v>953</v>
      </c>
      <c r="D284" s="60" t="s">
        <v>954</v>
      </c>
      <c r="E284" s="61" t="s">
        <v>846</v>
      </c>
      <c r="F284" s="62" t="s">
        <v>847</v>
      </c>
      <c r="G284" s="63" t="s">
        <v>951</v>
      </c>
      <c r="H284" s="64"/>
      <c r="I284" s="64" t="s">
        <v>47</v>
      </c>
      <c r="J284" s="65">
        <v>10</v>
      </c>
      <c r="K284" s="66">
        <v>5020</v>
      </c>
      <c r="L284" s="67" t="s">
        <v>50</v>
      </c>
      <c r="M284" s="66">
        <v>5030</v>
      </c>
      <c r="N284" s="67" t="s">
        <v>50</v>
      </c>
      <c r="O284" s="66">
        <v>5020</v>
      </c>
      <c r="P284" s="67" t="s">
        <v>50</v>
      </c>
      <c r="Q284" s="66">
        <v>5030</v>
      </c>
      <c r="R284" s="67" t="s">
        <v>50</v>
      </c>
      <c r="S284" s="68">
        <v>5030</v>
      </c>
      <c r="T284" s="65">
        <v>70</v>
      </c>
      <c r="U284" s="65" t="s">
        <v>955</v>
      </c>
      <c r="V284" s="65">
        <v>352000</v>
      </c>
      <c r="W284" s="65" t="s">
        <v>955</v>
      </c>
      <c r="X284" s="69">
        <v>1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E79D4-05F4-442C-81FD-29FFED5FA744}">
  <sheetPr>
    <pageSetUpPr fitToPage="1"/>
  </sheetPr>
  <dimension ref="A1:X283"/>
  <sheetViews>
    <sheetView showGridLines="0" view="pageBreakPreview" zoomScaleNormal="70" zoomScaleSheetLayoutView="100" workbookViewId="0">
      <pane ySplit="6" topLeftCell="A7" activePane="bottomLeft" state="frozen"/>
      <selection pane="bottomLeft"/>
    </sheetView>
  </sheetViews>
  <sheetFormatPr defaultColWidth="9" defaultRowHeight="13.2"/>
  <cols>
    <col min="1" max="1" width="13.109375" style="1" bestFit="1" customWidth="1"/>
    <col min="2" max="2" width="10.77734375" style="1" bestFit="1" customWidth="1"/>
    <col min="3" max="4" width="27.6640625" style="1" customWidth="1"/>
    <col min="5" max="5" width="13.77734375" style="1" bestFit="1" customWidth="1"/>
    <col min="6" max="6" width="20.77734375" style="1" bestFit="1" customWidth="1"/>
    <col min="7" max="7" width="11.21875" style="1" customWidth="1"/>
    <col min="8" max="8" width="8.77734375" style="1" bestFit="1" customWidth="1"/>
    <col min="9" max="9" width="11.77734375" style="1" bestFit="1" customWidth="1"/>
    <col min="10" max="10" width="12.6640625" style="1" bestFit="1" customWidth="1"/>
    <col min="11" max="11" width="16.21875" style="1" customWidth="1"/>
    <col min="12" max="12" width="5.6640625" style="1" bestFit="1" customWidth="1"/>
    <col min="13" max="13" width="16.21875" style="1" customWidth="1"/>
    <col min="14" max="14" width="5.6640625" style="1" bestFit="1" customWidth="1"/>
    <col min="15" max="15" width="16.21875" style="1" customWidth="1"/>
    <col min="16" max="16" width="5.6640625" style="1" bestFit="1" customWidth="1"/>
    <col min="17" max="17" width="16.21875" style="1" customWidth="1"/>
    <col min="18" max="18" width="5.6640625" style="1" bestFit="1" customWidth="1"/>
    <col min="19" max="19" width="23.88671875" style="1" bestFit="1" customWidth="1"/>
    <col min="20" max="20" width="16.21875" style="1" customWidth="1"/>
    <col min="21" max="21" width="24.109375" style="1" customWidth="1"/>
    <col min="22" max="22" width="19.88671875" style="1" bestFit="1" customWidth="1"/>
    <col min="23" max="23" width="25" style="1" bestFit="1" customWidth="1"/>
    <col min="24" max="24" width="13.109375" style="1" bestFit="1" customWidth="1"/>
    <col min="25" max="16384" width="9" style="1"/>
  </cols>
  <sheetData>
    <row r="1" spans="1:24" ht="13.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70" t="s">
        <v>22</v>
      </c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4" ht="99" customHeight="1">
      <c r="A2" s="76" t="s">
        <v>23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2"/>
      <c r="O2" s="72"/>
      <c r="P2" s="72"/>
      <c r="Q2" s="72"/>
      <c r="R2" s="72"/>
      <c r="S2" s="72"/>
      <c r="T2" s="72"/>
      <c r="U2" s="72"/>
      <c r="V2" s="72"/>
      <c r="W2" s="72"/>
      <c r="X2" s="73"/>
    </row>
    <row r="3" spans="1:24" ht="39" customHeight="1">
      <c r="A3" s="78" t="s">
        <v>24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</row>
    <row r="4" spans="1:24" s="2" customFormat="1" ht="13.5" customHeight="1">
      <c r="A4" s="40" t="s">
        <v>25</v>
      </c>
      <c r="B4" s="40" t="s">
        <v>0</v>
      </c>
      <c r="C4" s="40"/>
      <c r="D4" s="40"/>
      <c r="E4" s="41"/>
      <c r="F4" s="42"/>
      <c r="G4" s="43" t="s">
        <v>2</v>
      </c>
      <c r="H4" s="40" t="s">
        <v>26</v>
      </c>
      <c r="I4" s="40" t="s">
        <v>3</v>
      </c>
      <c r="J4" s="40" t="s">
        <v>4</v>
      </c>
      <c r="K4" s="44" t="s">
        <v>5</v>
      </c>
      <c r="L4" s="43" t="s">
        <v>2</v>
      </c>
      <c r="M4" s="44" t="s">
        <v>6</v>
      </c>
      <c r="N4" s="43" t="s">
        <v>2</v>
      </c>
      <c r="O4" s="44" t="s">
        <v>7</v>
      </c>
      <c r="P4" s="43" t="s">
        <v>2</v>
      </c>
      <c r="Q4" s="44" t="s">
        <v>8</v>
      </c>
      <c r="R4" s="43" t="s">
        <v>2</v>
      </c>
      <c r="S4" s="40" t="s">
        <v>9</v>
      </c>
      <c r="T4" s="40" t="s">
        <v>10</v>
      </c>
      <c r="U4" s="45" t="s">
        <v>11</v>
      </c>
      <c r="V4" s="40" t="s">
        <v>12</v>
      </c>
      <c r="W4" s="40" t="s">
        <v>13</v>
      </c>
      <c r="X4" s="40" t="s">
        <v>14</v>
      </c>
    </row>
    <row r="5" spans="1:24">
      <c r="A5" s="46" t="s">
        <v>27</v>
      </c>
      <c r="B5" s="46" t="s">
        <v>28</v>
      </c>
      <c r="C5" s="46" t="s">
        <v>29</v>
      </c>
      <c r="D5" s="46" t="s">
        <v>1</v>
      </c>
      <c r="E5" s="47" t="s">
        <v>30</v>
      </c>
      <c r="F5" s="48" t="s">
        <v>31</v>
      </c>
      <c r="G5" s="49" t="s">
        <v>32</v>
      </c>
      <c r="H5" s="50" t="s">
        <v>33</v>
      </c>
      <c r="I5" s="50" t="s">
        <v>15</v>
      </c>
      <c r="J5" s="50" t="s">
        <v>34</v>
      </c>
      <c r="K5" s="51" t="s">
        <v>16</v>
      </c>
      <c r="L5" s="49" t="s">
        <v>32</v>
      </c>
      <c r="M5" s="51" t="s">
        <v>35</v>
      </c>
      <c r="N5" s="49" t="s">
        <v>32</v>
      </c>
      <c r="O5" s="51" t="s">
        <v>17</v>
      </c>
      <c r="P5" s="49" t="s">
        <v>32</v>
      </c>
      <c r="Q5" s="51" t="s">
        <v>18</v>
      </c>
      <c r="R5" s="49" t="s">
        <v>32</v>
      </c>
      <c r="S5" s="52" t="s">
        <v>36</v>
      </c>
      <c r="T5" s="52" t="s">
        <v>19</v>
      </c>
      <c r="U5" s="46" t="s">
        <v>37</v>
      </c>
      <c r="V5" s="52" t="s">
        <v>20</v>
      </c>
      <c r="W5" s="52" t="s">
        <v>38</v>
      </c>
      <c r="X5" s="52" t="s">
        <v>39</v>
      </c>
    </row>
    <row r="6" spans="1:24">
      <c r="A6" s="53"/>
      <c r="B6" s="53"/>
      <c r="C6" s="53"/>
      <c r="D6" s="53"/>
      <c r="E6" s="54"/>
      <c r="F6" s="55"/>
      <c r="G6" s="56"/>
      <c r="H6" s="57"/>
      <c r="I6" s="57"/>
      <c r="J6" s="57" t="s">
        <v>40</v>
      </c>
      <c r="K6" s="58" t="s">
        <v>41</v>
      </c>
      <c r="L6" s="59"/>
      <c r="M6" s="58" t="s">
        <v>41</v>
      </c>
      <c r="N6" s="59"/>
      <c r="O6" s="58" t="s">
        <v>41</v>
      </c>
      <c r="P6" s="59"/>
      <c r="Q6" s="58" t="s">
        <v>41</v>
      </c>
      <c r="R6" s="59"/>
      <c r="S6" s="58" t="s">
        <v>41</v>
      </c>
      <c r="T6" s="57" t="s">
        <v>21</v>
      </c>
      <c r="U6" s="57" t="s">
        <v>21</v>
      </c>
      <c r="V6" s="58" t="s">
        <v>41</v>
      </c>
      <c r="W6" s="58" t="s">
        <v>41</v>
      </c>
      <c r="X6" s="57"/>
    </row>
    <row r="7" spans="1:24" s="28" customFormat="1" ht="13.5" customHeight="1">
      <c r="A7" s="60" t="s">
        <v>934</v>
      </c>
      <c r="B7" s="60" t="s">
        <v>43</v>
      </c>
      <c r="C7" s="60" t="s">
        <v>44</v>
      </c>
      <c r="D7" s="60" t="s">
        <v>45</v>
      </c>
      <c r="E7" s="61" t="s">
        <v>46</v>
      </c>
      <c r="F7" s="62" t="s">
        <v>46</v>
      </c>
      <c r="G7" s="63" t="s">
        <v>46</v>
      </c>
      <c r="H7" s="64"/>
      <c r="I7" s="64" t="s">
        <v>47</v>
      </c>
      <c r="J7" s="65">
        <v>10</v>
      </c>
      <c r="K7" s="66">
        <f>2051</f>
        <v>2051</v>
      </c>
      <c r="L7" s="67" t="s">
        <v>853</v>
      </c>
      <c r="M7" s="66">
        <f>2212</f>
        <v>2212</v>
      </c>
      <c r="N7" s="67" t="s">
        <v>49</v>
      </c>
      <c r="O7" s="66">
        <f>2051</f>
        <v>2051</v>
      </c>
      <c r="P7" s="67" t="s">
        <v>853</v>
      </c>
      <c r="Q7" s="66">
        <f>2137</f>
        <v>2137</v>
      </c>
      <c r="R7" s="67" t="s">
        <v>873</v>
      </c>
      <c r="S7" s="68">
        <f>2153.95</f>
        <v>2153.9499999999998</v>
      </c>
      <c r="T7" s="65">
        <f>32754490</f>
        <v>32754490</v>
      </c>
      <c r="U7" s="65">
        <f>24686810</f>
        <v>24686810</v>
      </c>
      <c r="V7" s="65">
        <f>70272169647</f>
        <v>70272169647</v>
      </c>
      <c r="W7" s="65">
        <f>53084034987</f>
        <v>53084034987</v>
      </c>
      <c r="X7" s="69">
        <f>20</f>
        <v>20</v>
      </c>
    </row>
    <row r="8" spans="1:24">
      <c r="A8" s="60" t="s">
        <v>934</v>
      </c>
      <c r="B8" s="60" t="s">
        <v>51</v>
      </c>
      <c r="C8" s="60" t="s">
        <v>52</v>
      </c>
      <c r="D8" s="60" t="s">
        <v>53</v>
      </c>
      <c r="E8" s="61" t="s">
        <v>46</v>
      </c>
      <c r="F8" s="62" t="s">
        <v>46</v>
      </c>
      <c r="G8" s="63" t="s">
        <v>46</v>
      </c>
      <c r="H8" s="64"/>
      <c r="I8" s="64" t="s">
        <v>47</v>
      </c>
      <c r="J8" s="65">
        <v>10</v>
      </c>
      <c r="K8" s="66">
        <f>2028</f>
        <v>2028</v>
      </c>
      <c r="L8" s="67" t="s">
        <v>853</v>
      </c>
      <c r="M8" s="66">
        <f>2188</f>
        <v>2188</v>
      </c>
      <c r="N8" s="67" t="s">
        <v>49</v>
      </c>
      <c r="O8" s="66">
        <f>2028</f>
        <v>2028</v>
      </c>
      <c r="P8" s="67" t="s">
        <v>853</v>
      </c>
      <c r="Q8" s="66">
        <f>2115</f>
        <v>2115</v>
      </c>
      <c r="R8" s="67" t="s">
        <v>873</v>
      </c>
      <c r="S8" s="68">
        <f>2129.9</f>
        <v>2129.9</v>
      </c>
      <c r="T8" s="65">
        <f>70871680</f>
        <v>70871680</v>
      </c>
      <c r="U8" s="65">
        <f>26748640</f>
        <v>26748640</v>
      </c>
      <c r="V8" s="65">
        <f>150368887260</f>
        <v>150368887260</v>
      </c>
      <c r="W8" s="65">
        <f>56500824440</f>
        <v>56500824440</v>
      </c>
      <c r="X8" s="69">
        <f>20</f>
        <v>20</v>
      </c>
    </row>
    <row r="9" spans="1:24">
      <c r="A9" s="60" t="s">
        <v>934</v>
      </c>
      <c r="B9" s="60" t="s">
        <v>54</v>
      </c>
      <c r="C9" s="60" t="s">
        <v>55</v>
      </c>
      <c r="D9" s="60" t="s">
        <v>56</v>
      </c>
      <c r="E9" s="61" t="s">
        <v>46</v>
      </c>
      <c r="F9" s="62" t="s">
        <v>46</v>
      </c>
      <c r="G9" s="63" t="s">
        <v>46</v>
      </c>
      <c r="H9" s="64"/>
      <c r="I9" s="64" t="s">
        <v>47</v>
      </c>
      <c r="J9" s="65">
        <v>100</v>
      </c>
      <c r="K9" s="66">
        <f>2004</f>
        <v>2004</v>
      </c>
      <c r="L9" s="67" t="s">
        <v>853</v>
      </c>
      <c r="M9" s="66">
        <f>2164</f>
        <v>2164</v>
      </c>
      <c r="N9" s="67" t="s">
        <v>49</v>
      </c>
      <c r="O9" s="66">
        <f>2004</f>
        <v>2004</v>
      </c>
      <c r="P9" s="67" t="s">
        <v>853</v>
      </c>
      <c r="Q9" s="66">
        <f>2087</f>
        <v>2087</v>
      </c>
      <c r="R9" s="67" t="s">
        <v>873</v>
      </c>
      <c r="S9" s="68">
        <f>2106.8</f>
        <v>2106.8000000000002</v>
      </c>
      <c r="T9" s="65">
        <f>29460700</f>
        <v>29460700</v>
      </c>
      <c r="U9" s="65">
        <f>18810800</f>
        <v>18810800</v>
      </c>
      <c r="V9" s="65">
        <f>62076681240</f>
        <v>62076681240</v>
      </c>
      <c r="W9" s="65">
        <f>39615404440</f>
        <v>39615404440</v>
      </c>
      <c r="X9" s="69">
        <f>20</f>
        <v>20</v>
      </c>
    </row>
    <row r="10" spans="1:24">
      <c r="A10" s="60" t="s">
        <v>934</v>
      </c>
      <c r="B10" s="60" t="s">
        <v>57</v>
      </c>
      <c r="C10" s="60" t="s">
        <v>58</v>
      </c>
      <c r="D10" s="60" t="s">
        <v>59</v>
      </c>
      <c r="E10" s="61" t="s">
        <v>46</v>
      </c>
      <c r="F10" s="62" t="s">
        <v>46</v>
      </c>
      <c r="G10" s="63" t="s">
        <v>46</v>
      </c>
      <c r="H10" s="64"/>
      <c r="I10" s="64" t="s">
        <v>47</v>
      </c>
      <c r="J10" s="65">
        <v>1</v>
      </c>
      <c r="K10" s="66">
        <f>40050</f>
        <v>40050</v>
      </c>
      <c r="L10" s="67" t="s">
        <v>853</v>
      </c>
      <c r="M10" s="66">
        <f>42450</f>
        <v>42450</v>
      </c>
      <c r="N10" s="67" t="s">
        <v>860</v>
      </c>
      <c r="O10" s="66">
        <f>38750</f>
        <v>38750</v>
      </c>
      <c r="P10" s="67" t="s">
        <v>268</v>
      </c>
      <c r="Q10" s="66">
        <f>41950</f>
        <v>41950</v>
      </c>
      <c r="R10" s="67" t="s">
        <v>873</v>
      </c>
      <c r="S10" s="68">
        <f>41230</f>
        <v>41230</v>
      </c>
      <c r="T10" s="65">
        <f>15897</f>
        <v>15897</v>
      </c>
      <c r="U10" s="65">
        <f>2</f>
        <v>2</v>
      </c>
      <c r="V10" s="65">
        <f>647324050</f>
        <v>647324050</v>
      </c>
      <c r="W10" s="65">
        <f>83300</f>
        <v>83300</v>
      </c>
      <c r="X10" s="69">
        <f>20</f>
        <v>20</v>
      </c>
    </row>
    <row r="11" spans="1:24">
      <c r="A11" s="60" t="s">
        <v>934</v>
      </c>
      <c r="B11" s="60" t="s">
        <v>60</v>
      </c>
      <c r="C11" s="60" t="s">
        <v>61</v>
      </c>
      <c r="D11" s="60" t="s">
        <v>62</v>
      </c>
      <c r="E11" s="61" t="s">
        <v>46</v>
      </c>
      <c r="F11" s="62" t="s">
        <v>46</v>
      </c>
      <c r="G11" s="63" t="s">
        <v>46</v>
      </c>
      <c r="H11" s="64"/>
      <c r="I11" s="64" t="s">
        <v>47</v>
      </c>
      <c r="J11" s="65">
        <v>10</v>
      </c>
      <c r="K11" s="66">
        <f>912</f>
        <v>912</v>
      </c>
      <c r="L11" s="67" t="s">
        <v>853</v>
      </c>
      <c r="M11" s="66">
        <f>987</f>
        <v>987</v>
      </c>
      <c r="N11" s="67" t="s">
        <v>49</v>
      </c>
      <c r="O11" s="66">
        <f>911</f>
        <v>911</v>
      </c>
      <c r="P11" s="67" t="s">
        <v>858</v>
      </c>
      <c r="Q11" s="66">
        <f>957</f>
        <v>957</v>
      </c>
      <c r="R11" s="67" t="s">
        <v>873</v>
      </c>
      <c r="S11" s="68">
        <f>961.1</f>
        <v>961.1</v>
      </c>
      <c r="T11" s="65">
        <f>148490</f>
        <v>148490</v>
      </c>
      <c r="U11" s="65">
        <f>70</f>
        <v>70</v>
      </c>
      <c r="V11" s="65">
        <f>142544890</f>
        <v>142544890</v>
      </c>
      <c r="W11" s="65">
        <f>67830</f>
        <v>67830</v>
      </c>
      <c r="X11" s="69">
        <f>20</f>
        <v>20</v>
      </c>
    </row>
    <row r="12" spans="1:24">
      <c r="A12" s="60" t="s">
        <v>934</v>
      </c>
      <c r="B12" s="60" t="s">
        <v>63</v>
      </c>
      <c r="C12" s="60" t="s">
        <v>64</v>
      </c>
      <c r="D12" s="60" t="s">
        <v>65</v>
      </c>
      <c r="E12" s="61" t="s">
        <v>46</v>
      </c>
      <c r="F12" s="62" t="s">
        <v>46</v>
      </c>
      <c r="G12" s="63" t="s">
        <v>46</v>
      </c>
      <c r="H12" s="64"/>
      <c r="I12" s="64" t="s">
        <v>47</v>
      </c>
      <c r="J12" s="65">
        <v>1</v>
      </c>
      <c r="K12" s="66">
        <f>20890</f>
        <v>20890</v>
      </c>
      <c r="L12" s="67" t="s">
        <v>853</v>
      </c>
      <c r="M12" s="66">
        <f>21550</f>
        <v>21550</v>
      </c>
      <c r="N12" s="67" t="s">
        <v>172</v>
      </c>
      <c r="O12" s="66">
        <f>20620</f>
        <v>20620</v>
      </c>
      <c r="P12" s="67" t="s">
        <v>873</v>
      </c>
      <c r="Q12" s="66">
        <f>20850</f>
        <v>20850</v>
      </c>
      <c r="R12" s="67" t="s">
        <v>873</v>
      </c>
      <c r="S12" s="68">
        <f>21218</f>
        <v>21218</v>
      </c>
      <c r="T12" s="65">
        <f>998</f>
        <v>998</v>
      </c>
      <c r="U12" s="65">
        <f>2</f>
        <v>2</v>
      </c>
      <c r="V12" s="65">
        <f>21107850</f>
        <v>21107850</v>
      </c>
      <c r="W12" s="65">
        <f>42230</f>
        <v>42230</v>
      </c>
      <c r="X12" s="69">
        <f>20</f>
        <v>20</v>
      </c>
    </row>
    <row r="13" spans="1:24">
      <c r="A13" s="60" t="s">
        <v>934</v>
      </c>
      <c r="B13" s="60" t="s">
        <v>66</v>
      </c>
      <c r="C13" s="60" t="s">
        <v>67</v>
      </c>
      <c r="D13" s="60" t="s">
        <v>68</v>
      </c>
      <c r="E13" s="61" t="s">
        <v>46</v>
      </c>
      <c r="F13" s="62" t="s">
        <v>46</v>
      </c>
      <c r="G13" s="63" t="s">
        <v>46</v>
      </c>
      <c r="H13" s="64"/>
      <c r="I13" s="64" t="s">
        <v>47</v>
      </c>
      <c r="J13" s="65">
        <v>10</v>
      </c>
      <c r="K13" s="66">
        <f>3980</f>
        <v>3980</v>
      </c>
      <c r="L13" s="67" t="s">
        <v>853</v>
      </c>
      <c r="M13" s="66">
        <f>4070</f>
        <v>4070</v>
      </c>
      <c r="N13" s="67" t="s">
        <v>858</v>
      </c>
      <c r="O13" s="66">
        <f>3850</f>
        <v>3850</v>
      </c>
      <c r="P13" s="67" t="s">
        <v>50</v>
      </c>
      <c r="Q13" s="66">
        <f>3905</f>
        <v>3905</v>
      </c>
      <c r="R13" s="67" t="s">
        <v>50</v>
      </c>
      <c r="S13" s="68">
        <f>3980</f>
        <v>3980</v>
      </c>
      <c r="T13" s="65">
        <f>1260</f>
        <v>1260</v>
      </c>
      <c r="U13" s="65" t="str">
        <f>"－"</f>
        <v>－</v>
      </c>
      <c r="V13" s="65">
        <f>4962100</f>
        <v>4962100</v>
      </c>
      <c r="W13" s="65" t="str">
        <f>"－"</f>
        <v>－</v>
      </c>
      <c r="X13" s="69">
        <f>12</f>
        <v>12</v>
      </c>
    </row>
    <row r="14" spans="1:24">
      <c r="A14" s="60" t="s">
        <v>934</v>
      </c>
      <c r="B14" s="60" t="s">
        <v>70</v>
      </c>
      <c r="C14" s="60" t="s">
        <v>71</v>
      </c>
      <c r="D14" s="60" t="s">
        <v>72</v>
      </c>
      <c r="E14" s="61" t="s">
        <v>46</v>
      </c>
      <c r="F14" s="62" t="s">
        <v>46</v>
      </c>
      <c r="G14" s="63" t="s">
        <v>46</v>
      </c>
      <c r="H14" s="64"/>
      <c r="I14" s="64" t="s">
        <v>47</v>
      </c>
      <c r="J14" s="65">
        <v>1000</v>
      </c>
      <c r="K14" s="66">
        <f>376</f>
        <v>376</v>
      </c>
      <c r="L14" s="67" t="s">
        <v>853</v>
      </c>
      <c r="M14" s="66">
        <f>396</f>
        <v>396</v>
      </c>
      <c r="N14" s="67" t="s">
        <v>73</v>
      </c>
      <c r="O14" s="66">
        <f>373</f>
        <v>373</v>
      </c>
      <c r="P14" s="67" t="s">
        <v>857</v>
      </c>
      <c r="Q14" s="66">
        <f>389</f>
        <v>389</v>
      </c>
      <c r="R14" s="67" t="s">
        <v>873</v>
      </c>
      <c r="S14" s="68">
        <f>387.94</f>
        <v>387.94</v>
      </c>
      <c r="T14" s="65">
        <f>149000</f>
        <v>149000</v>
      </c>
      <c r="U14" s="65">
        <f>1000</f>
        <v>1000</v>
      </c>
      <c r="V14" s="65">
        <f>57550000</f>
        <v>57550000</v>
      </c>
      <c r="W14" s="65">
        <f>383000</f>
        <v>383000</v>
      </c>
      <c r="X14" s="69">
        <f>18</f>
        <v>18</v>
      </c>
    </row>
    <row r="15" spans="1:24">
      <c r="A15" s="60" t="s">
        <v>934</v>
      </c>
      <c r="B15" s="60" t="s">
        <v>74</v>
      </c>
      <c r="C15" s="60" t="s">
        <v>75</v>
      </c>
      <c r="D15" s="60" t="s">
        <v>76</v>
      </c>
      <c r="E15" s="61" t="s">
        <v>46</v>
      </c>
      <c r="F15" s="62" t="s">
        <v>46</v>
      </c>
      <c r="G15" s="63" t="s">
        <v>46</v>
      </c>
      <c r="H15" s="64"/>
      <c r="I15" s="64" t="s">
        <v>47</v>
      </c>
      <c r="J15" s="65">
        <v>1</v>
      </c>
      <c r="K15" s="66">
        <f>28810</f>
        <v>28810</v>
      </c>
      <c r="L15" s="67" t="s">
        <v>853</v>
      </c>
      <c r="M15" s="66">
        <f>31500</f>
        <v>31500</v>
      </c>
      <c r="N15" s="67" t="s">
        <v>49</v>
      </c>
      <c r="O15" s="66">
        <f>28810</f>
        <v>28810</v>
      </c>
      <c r="P15" s="67" t="s">
        <v>853</v>
      </c>
      <c r="Q15" s="66">
        <f>30350</f>
        <v>30350</v>
      </c>
      <c r="R15" s="67" t="s">
        <v>873</v>
      </c>
      <c r="S15" s="68">
        <f>30596.5</f>
        <v>30596.5</v>
      </c>
      <c r="T15" s="65">
        <f>2420326</f>
        <v>2420326</v>
      </c>
      <c r="U15" s="65">
        <f>199966</f>
        <v>199966</v>
      </c>
      <c r="V15" s="65">
        <f>73883160505</f>
        <v>73883160505</v>
      </c>
      <c r="W15" s="65">
        <f>6107125515</f>
        <v>6107125515</v>
      </c>
      <c r="X15" s="69">
        <f>20</f>
        <v>20</v>
      </c>
    </row>
    <row r="16" spans="1:24">
      <c r="A16" s="60" t="s">
        <v>934</v>
      </c>
      <c r="B16" s="60" t="s">
        <v>78</v>
      </c>
      <c r="C16" s="60" t="s">
        <v>79</v>
      </c>
      <c r="D16" s="60" t="s">
        <v>80</v>
      </c>
      <c r="E16" s="61" t="s">
        <v>46</v>
      </c>
      <c r="F16" s="62" t="s">
        <v>46</v>
      </c>
      <c r="G16" s="63" t="s">
        <v>46</v>
      </c>
      <c r="H16" s="64"/>
      <c r="I16" s="64" t="s">
        <v>47</v>
      </c>
      <c r="J16" s="65">
        <v>1</v>
      </c>
      <c r="K16" s="66">
        <f>28880</f>
        <v>28880</v>
      </c>
      <c r="L16" s="67" t="s">
        <v>853</v>
      </c>
      <c r="M16" s="66">
        <f>31600</f>
        <v>31600</v>
      </c>
      <c r="N16" s="67" t="s">
        <v>49</v>
      </c>
      <c r="O16" s="66">
        <f>28870</f>
        <v>28870</v>
      </c>
      <c r="P16" s="67" t="s">
        <v>853</v>
      </c>
      <c r="Q16" s="66">
        <f>30450</f>
        <v>30450</v>
      </c>
      <c r="R16" s="67" t="s">
        <v>873</v>
      </c>
      <c r="S16" s="68">
        <f>30676</f>
        <v>30676</v>
      </c>
      <c r="T16" s="65">
        <f>6256998</f>
        <v>6256998</v>
      </c>
      <c r="U16" s="65">
        <f>666516</f>
        <v>666516</v>
      </c>
      <c r="V16" s="65">
        <f>190733310991</f>
        <v>190733310991</v>
      </c>
      <c r="W16" s="65">
        <f>20269609961</f>
        <v>20269609961</v>
      </c>
      <c r="X16" s="69">
        <f>20</f>
        <v>20</v>
      </c>
    </row>
    <row r="17" spans="1:24">
      <c r="A17" s="60" t="s">
        <v>934</v>
      </c>
      <c r="B17" s="60" t="s">
        <v>81</v>
      </c>
      <c r="C17" s="60" t="s">
        <v>82</v>
      </c>
      <c r="D17" s="60" t="s">
        <v>83</v>
      </c>
      <c r="E17" s="61" t="s">
        <v>46</v>
      </c>
      <c r="F17" s="62" t="s">
        <v>46</v>
      </c>
      <c r="G17" s="63" t="s">
        <v>46</v>
      </c>
      <c r="H17" s="64"/>
      <c r="I17" s="64" t="s">
        <v>47</v>
      </c>
      <c r="J17" s="65">
        <v>10</v>
      </c>
      <c r="K17" s="66">
        <f>7900</f>
        <v>7900</v>
      </c>
      <c r="L17" s="67" t="s">
        <v>853</v>
      </c>
      <c r="M17" s="66">
        <f>8280</f>
        <v>8280</v>
      </c>
      <c r="N17" s="67" t="s">
        <v>96</v>
      </c>
      <c r="O17" s="66">
        <f>7510</f>
        <v>7510</v>
      </c>
      <c r="P17" s="67" t="s">
        <v>132</v>
      </c>
      <c r="Q17" s="66">
        <f>7930</f>
        <v>7930</v>
      </c>
      <c r="R17" s="67" t="s">
        <v>873</v>
      </c>
      <c r="S17" s="68">
        <f>8015.5</f>
        <v>8015.5</v>
      </c>
      <c r="T17" s="65">
        <f>21430</f>
        <v>21430</v>
      </c>
      <c r="U17" s="65" t="str">
        <f>"－"</f>
        <v>－</v>
      </c>
      <c r="V17" s="65">
        <f>169784300</f>
        <v>169784300</v>
      </c>
      <c r="W17" s="65" t="str">
        <f>"－"</f>
        <v>－</v>
      </c>
      <c r="X17" s="69">
        <f>20</f>
        <v>20</v>
      </c>
    </row>
    <row r="18" spans="1:24">
      <c r="A18" s="60" t="s">
        <v>934</v>
      </c>
      <c r="B18" s="60" t="s">
        <v>85</v>
      </c>
      <c r="C18" s="60" t="s">
        <v>86</v>
      </c>
      <c r="D18" s="60" t="s">
        <v>87</v>
      </c>
      <c r="E18" s="61" t="s">
        <v>46</v>
      </c>
      <c r="F18" s="62" t="s">
        <v>46</v>
      </c>
      <c r="G18" s="63" t="s">
        <v>46</v>
      </c>
      <c r="H18" s="64"/>
      <c r="I18" s="64" t="s">
        <v>47</v>
      </c>
      <c r="J18" s="65">
        <v>100</v>
      </c>
      <c r="K18" s="66">
        <f>497</f>
        <v>497</v>
      </c>
      <c r="L18" s="67" t="s">
        <v>853</v>
      </c>
      <c r="M18" s="66">
        <f>500</f>
        <v>500</v>
      </c>
      <c r="N18" s="67" t="s">
        <v>858</v>
      </c>
      <c r="O18" s="66">
        <f>453</f>
        <v>453</v>
      </c>
      <c r="P18" s="67" t="s">
        <v>268</v>
      </c>
      <c r="Q18" s="66">
        <f>470</f>
        <v>470</v>
      </c>
      <c r="R18" s="67" t="s">
        <v>873</v>
      </c>
      <c r="S18" s="68">
        <f>481.3</f>
        <v>481.3</v>
      </c>
      <c r="T18" s="65">
        <f>118300</f>
        <v>118300</v>
      </c>
      <c r="U18" s="65" t="str">
        <f>"－"</f>
        <v>－</v>
      </c>
      <c r="V18" s="65">
        <f>56266700</f>
        <v>56266700</v>
      </c>
      <c r="W18" s="65" t="str">
        <f>"－"</f>
        <v>－</v>
      </c>
      <c r="X18" s="69">
        <f>20</f>
        <v>20</v>
      </c>
    </row>
    <row r="19" spans="1:24">
      <c r="A19" s="60" t="s">
        <v>934</v>
      </c>
      <c r="B19" s="60" t="s">
        <v>89</v>
      </c>
      <c r="C19" s="60" t="s">
        <v>90</v>
      </c>
      <c r="D19" s="60" t="s">
        <v>91</v>
      </c>
      <c r="E19" s="61" t="s">
        <v>46</v>
      </c>
      <c r="F19" s="62" t="s">
        <v>46</v>
      </c>
      <c r="G19" s="63" t="s">
        <v>46</v>
      </c>
      <c r="H19" s="64"/>
      <c r="I19" s="64" t="s">
        <v>47</v>
      </c>
      <c r="J19" s="65">
        <v>100</v>
      </c>
      <c r="K19" s="66">
        <f>161</f>
        <v>161</v>
      </c>
      <c r="L19" s="67" t="s">
        <v>853</v>
      </c>
      <c r="M19" s="66">
        <f>172</f>
        <v>172</v>
      </c>
      <c r="N19" s="67" t="s">
        <v>88</v>
      </c>
      <c r="O19" s="66">
        <f>160</f>
        <v>160</v>
      </c>
      <c r="P19" s="67" t="s">
        <v>268</v>
      </c>
      <c r="Q19" s="66">
        <f>171</f>
        <v>171</v>
      </c>
      <c r="R19" s="67" t="s">
        <v>873</v>
      </c>
      <c r="S19" s="68">
        <f>165.1</f>
        <v>165.1</v>
      </c>
      <c r="T19" s="65">
        <f>344900</f>
        <v>344900</v>
      </c>
      <c r="U19" s="65" t="str">
        <f>"－"</f>
        <v>－</v>
      </c>
      <c r="V19" s="65">
        <f>57067500</f>
        <v>57067500</v>
      </c>
      <c r="W19" s="65" t="str">
        <f>"－"</f>
        <v>－</v>
      </c>
      <c r="X19" s="69">
        <f>20</f>
        <v>20</v>
      </c>
    </row>
    <row r="20" spans="1:24">
      <c r="A20" s="60" t="s">
        <v>934</v>
      </c>
      <c r="B20" s="60" t="s">
        <v>93</v>
      </c>
      <c r="C20" s="60" t="s">
        <v>94</v>
      </c>
      <c r="D20" s="60" t="s">
        <v>95</v>
      </c>
      <c r="E20" s="61" t="s">
        <v>46</v>
      </c>
      <c r="F20" s="62" t="s">
        <v>46</v>
      </c>
      <c r="G20" s="63" t="s">
        <v>46</v>
      </c>
      <c r="H20" s="64"/>
      <c r="I20" s="64" t="s">
        <v>47</v>
      </c>
      <c r="J20" s="65">
        <v>100</v>
      </c>
      <c r="K20" s="66">
        <f>181</f>
        <v>181</v>
      </c>
      <c r="L20" s="67" t="s">
        <v>853</v>
      </c>
      <c r="M20" s="66">
        <f>190</f>
        <v>190</v>
      </c>
      <c r="N20" s="67" t="s">
        <v>96</v>
      </c>
      <c r="O20" s="66">
        <f>176</f>
        <v>176</v>
      </c>
      <c r="P20" s="67" t="s">
        <v>268</v>
      </c>
      <c r="Q20" s="66">
        <f>182</f>
        <v>182</v>
      </c>
      <c r="R20" s="67" t="s">
        <v>873</v>
      </c>
      <c r="S20" s="68">
        <f>183.8</f>
        <v>183.8</v>
      </c>
      <c r="T20" s="65">
        <f>285600</f>
        <v>285600</v>
      </c>
      <c r="U20" s="65">
        <f>700</f>
        <v>700</v>
      </c>
      <c r="V20" s="65">
        <f>52096800</f>
        <v>52096800</v>
      </c>
      <c r="W20" s="65">
        <f>129200</f>
        <v>129200</v>
      </c>
      <c r="X20" s="69">
        <f>20</f>
        <v>20</v>
      </c>
    </row>
    <row r="21" spans="1:24">
      <c r="A21" s="60" t="s">
        <v>934</v>
      </c>
      <c r="B21" s="60" t="s">
        <v>97</v>
      </c>
      <c r="C21" s="60" t="s">
        <v>98</v>
      </c>
      <c r="D21" s="60" t="s">
        <v>99</v>
      </c>
      <c r="E21" s="61" t="s">
        <v>46</v>
      </c>
      <c r="F21" s="62" t="s">
        <v>46</v>
      </c>
      <c r="G21" s="63" t="s">
        <v>46</v>
      </c>
      <c r="H21" s="64"/>
      <c r="I21" s="64" t="s">
        <v>47</v>
      </c>
      <c r="J21" s="65">
        <v>1</v>
      </c>
      <c r="K21" s="66">
        <f>18670</f>
        <v>18670</v>
      </c>
      <c r="L21" s="67" t="s">
        <v>853</v>
      </c>
      <c r="M21" s="66">
        <f>18790</f>
        <v>18790</v>
      </c>
      <c r="N21" s="67" t="s">
        <v>77</v>
      </c>
      <c r="O21" s="66">
        <f>17980</f>
        <v>17980</v>
      </c>
      <c r="P21" s="67" t="s">
        <v>855</v>
      </c>
      <c r="Q21" s="66">
        <f>18120</f>
        <v>18120</v>
      </c>
      <c r="R21" s="67" t="s">
        <v>873</v>
      </c>
      <c r="S21" s="68">
        <f>18389.5</f>
        <v>18389.5</v>
      </c>
      <c r="T21" s="65">
        <f>138183</f>
        <v>138183</v>
      </c>
      <c r="U21" s="65" t="str">
        <f>"－"</f>
        <v>－</v>
      </c>
      <c r="V21" s="65">
        <f>2528799340</f>
        <v>2528799340</v>
      </c>
      <c r="W21" s="65" t="str">
        <f>"－"</f>
        <v>－</v>
      </c>
      <c r="X21" s="69">
        <f>20</f>
        <v>20</v>
      </c>
    </row>
    <row r="22" spans="1:24">
      <c r="A22" s="60" t="s">
        <v>934</v>
      </c>
      <c r="B22" s="60" t="s">
        <v>101</v>
      </c>
      <c r="C22" s="60" t="s">
        <v>102</v>
      </c>
      <c r="D22" s="60" t="s">
        <v>103</v>
      </c>
      <c r="E22" s="61" t="s">
        <v>46</v>
      </c>
      <c r="F22" s="62" t="s">
        <v>46</v>
      </c>
      <c r="G22" s="63" t="s">
        <v>46</v>
      </c>
      <c r="H22" s="64" t="s">
        <v>878</v>
      </c>
      <c r="I22" s="64"/>
      <c r="J22" s="65">
        <v>1</v>
      </c>
      <c r="K22" s="66">
        <f>4000</f>
        <v>4000</v>
      </c>
      <c r="L22" s="67" t="s">
        <v>853</v>
      </c>
      <c r="M22" s="66">
        <f>4645</f>
        <v>4645</v>
      </c>
      <c r="N22" s="67" t="s">
        <v>855</v>
      </c>
      <c r="O22" s="66">
        <f>3860</f>
        <v>3860</v>
      </c>
      <c r="P22" s="67" t="s">
        <v>858</v>
      </c>
      <c r="Q22" s="66">
        <f>4375</f>
        <v>4375</v>
      </c>
      <c r="R22" s="67" t="s">
        <v>873</v>
      </c>
      <c r="S22" s="68">
        <f>4142</f>
        <v>4142</v>
      </c>
      <c r="T22" s="65">
        <f>22032</f>
        <v>22032</v>
      </c>
      <c r="U22" s="65" t="str">
        <f>"－"</f>
        <v>－</v>
      </c>
      <c r="V22" s="65">
        <f>89789015</f>
        <v>89789015</v>
      </c>
      <c r="W22" s="65" t="str">
        <f>"－"</f>
        <v>－</v>
      </c>
      <c r="X22" s="69">
        <f>20</f>
        <v>20</v>
      </c>
    </row>
    <row r="23" spans="1:24">
      <c r="A23" s="60" t="s">
        <v>934</v>
      </c>
      <c r="B23" s="60" t="s">
        <v>104</v>
      </c>
      <c r="C23" s="60" t="s">
        <v>105</v>
      </c>
      <c r="D23" s="60" t="s">
        <v>106</v>
      </c>
      <c r="E23" s="61" t="s">
        <v>46</v>
      </c>
      <c r="F23" s="62" t="s">
        <v>46</v>
      </c>
      <c r="G23" s="63" t="s">
        <v>46</v>
      </c>
      <c r="H23" s="64"/>
      <c r="I23" s="64" t="s">
        <v>47</v>
      </c>
      <c r="J23" s="65">
        <v>10</v>
      </c>
      <c r="K23" s="66">
        <f>5060</f>
        <v>5060</v>
      </c>
      <c r="L23" s="67" t="s">
        <v>853</v>
      </c>
      <c r="M23" s="66">
        <f>5090</f>
        <v>5090</v>
      </c>
      <c r="N23" s="67" t="s">
        <v>77</v>
      </c>
      <c r="O23" s="66">
        <f>4870</f>
        <v>4870</v>
      </c>
      <c r="P23" s="67" t="s">
        <v>855</v>
      </c>
      <c r="Q23" s="66">
        <f>4900</f>
        <v>4900</v>
      </c>
      <c r="R23" s="67" t="s">
        <v>873</v>
      </c>
      <c r="S23" s="68">
        <f>4975.75</f>
        <v>4975.75</v>
      </c>
      <c r="T23" s="65">
        <f>205270</f>
        <v>205270</v>
      </c>
      <c r="U23" s="65" t="str">
        <f>"－"</f>
        <v>－</v>
      </c>
      <c r="V23" s="65">
        <f>1020859250</f>
        <v>1020859250</v>
      </c>
      <c r="W23" s="65" t="str">
        <f>"－"</f>
        <v>－</v>
      </c>
      <c r="X23" s="69">
        <f>20</f>
        <v>20</v>
      </c>
    </row>
    <row r="24" spans="1:24">
      <c r="A24" s="60" t="s">
        <v>934</v>
      </c>
      <c r="B24" s="60" t="s">
        <v>107</v>
      </c>
      <c r="C24" s="60" t="s">
        <v>108</v>
      </c>
      <c r="D24" s="60" t="s">
        <v>109</v>
      </c>
      <c r="E24" s="61" t="s">
        <v>46</v>
      </c>
      <c r="F24" s="62" t="s">
        <v>46</v>
      </c>
      <c r="G24" s="63" t="s">
        <v>46</v>
      </c>
      <c r="H24" s="64"/>
      <c r="I24" s="64" t="s">
        <v>47</v>
      </c>
      <c r="J24" s="65">
        <v>1</v>
      </c>
      <c r="K24" s="66">
        <f>29020</f>
        <v>29020</v>
      </c>
      <c r="L24" s="67" t="s">
        <v>853</v>
      </c>
      <c r="M24" s="66">
        <f>31700</f>
        <v>31700</v>
      </c>
      <c r="N24" s="67" t="s">
        <v>49</v>
      </c>
      <c r="O24" s="66">
        <f>29020</f>
        <v>29020</v>
      </c>
      <c r="P24" s="67" t="s">
        <v>853</v>
      </c>
      <c r="Q24" s="66">
        <f>30600</f>
        <v>30600</v>
      </c>
      <c r="R24" s="67" t="s">
        <v>873</v>
      </c>
      <c r="S24" s="68">
        <f>30809.5</f>
        <v>30809.5</v>
      </c>
      <c r="T24" s="65">
        <f>663590</f>
        <v>663590</v>
      </c>
      <c r="U24" s="65">
        <f>117865</f>
        <v>117865</v>
      </c>
      <c r="V24" s="65">
        <f>20264662326</f>
        <v>20264662326</v>
      </c>
      <c r="W24" s="65">
        <f>3606889876</f>
        <v>3606889876</v>
      </c>
      <c r="X24" s="69">
        <f>20</f>
        <v>20</v>
      </c>
    </row>
    <row r="25" spans="1:24">
      <c r="A25" s="60" t="s">
        <v>934</v>
      </c>
      <c r="B25" s="60" t="s">
        <v>110</v>
      </c>
      <c r="C25" s="60" t="s">
        <v>111</v>
      </c>
      <c r="D25" s="60" t="s">
        <v>112</v>
      </c>
      <c r="E25" s="61" t="s">
        <v>46</v>
      </c>
      <c r="F25" s="62" t="s">
        <v>46</v>
      </c>
      <c r="G25" s="63" t="s">
        <v>46</v>
      </c>
      <c r="H25" s="64"/>
      <c r="I25" s="64" t="s">
        <v>47</v>
      </c>
      <c r="J25" s="65">
        <v>10</v>
      </c>
      <c r="K25" s="66">
        <f>28920</f>
        <v>28920</v>
      </c>
      <c r="L25" s="67" t="s">
        <v>853</v>
      </c>
      <c r="M25" s="66">
        <f>31600</f>
        <v>31600</v>
      </c>
      <c r="N25" s="67" t="s">
        <v>49</v>
      </c>
      <c r="O25" s="66">
        <f>28920</f>
        <v>28920</v>
      </c>
      <c r="P25" s="67" t="s">
        <v>853</v>
      </c>
      <c r="Q25" s="66">
        <f>30500</f>
        <v>30500</v>
      </c>
      <c r="R25" s="67" t="s">
        <v>873</v>
      </c>
      <c r="S25" s="68">
        <f>30729</f>
        <v>30729</v>
      </c>
      <c r="T25" s="65">
        <f>1269180</f>
        <v>1269180</v>
      </c>
      <c r="U25" s="65">
        <f>332660</f>
        <v>332660</v>
      </c>
      <c r="V25" s="65">
        <f>38724536160</f>
        <v>38724536160</v>
      </c>
      <c r="W25" s="65">
        <f>10150235460</f>
        <v>10150235460</v>
      </c>
      <c r="X25" s="69">
        <f>20</f>
        <v>20</v>
      </c>
    </row>
    <row r="26" spans="1:24">
      <c r="A26" s="60" t="s">
        <v>934</v>
      </c>
      <c r="B26" s="60" t="s">
        <v>113</v>
      </c>
      <c r="C26" s="60" t="s">
        <v>114</v>
      </c>
      <c r="D26" s="60" t="s">
        <v>115</v>
      </c>
      <c r="E26" s="61" t="s">
        <v>46</v>
      </c>
      <c r="F26" s="62" t="s">
        <v>46</v>
      </c>
      <c r="G26" s="63" t="s">
        <v>46</v>
      </c>
      <c r="H26" s="64"/>
      <c r="I26" s="64" t="s">
        <v>47</v>
      </c>
      <c r="J26" s="65">
        <v>10</v>
      </c>
      <c r="K26" s="66">
        <f>2295</f>
        <v>2295</v>
      </c>
      <c r="L26" s="67" t="s">
        <v>853</v>
      </c>
      <c r="M26" s="66">
        <f>2325</f>
        <v>2325</v>
      </c>
      <c r="N26" s="67" t="s">
        <v>77</v>
      </c>
      <c r="O26" s="66">
        <f>2230</f>
        <v>2230</v>
      </c>
      <c r="P26" s="67" t="s">
        <v>132</v>
      </c>
      <c r="Q26" s="66">
        <f>2231</f>
        <v>2231</v>
      </c>
      <c r="R26" s="67" t="s">
        <v>873</v>
      </c>
      <c r="S26" s="68">
        <f>2279.25</f>
        <v>2279.25</v>
      </c>
      <c r="T26" s="65">
        <f>6892840</f>
        <v>6892840</v>
      </c>
      <c r="U26" s="65">
        <f>370060</f>
        <v>370060</v>
      </c>
      <c r="V26" s="65">
        <f>15743610449</f>
        <v>15743610449</v>
      </c>
      <c r="W26" s="65">
        <f>843274169</f>
        <v>843274169</v>
      </c>
      <c r="X26" s="69">
        <f>20</f>
        <v>20</v>
      </c>
    </row>
    <row r="27" spans="1:24">
      <c r="A27" s="60" t="s">
        <v>934</v>
      </c>
      <c r="B27" s="60" t="s">
        <v>116</v>
      </c>
      <c r="C27" s="60" t="s">
        <v>117</v>
      </c>
      <c r="D27" s="60" t="s">
        <v>118</v>
      </c>
      <c r="E27" s="61" t="s">
        <v>46</v>
      </c>
      <c r="F27" s="62" t="s">
        <v>46</v>
      </c>
      <c r="G27" s="63" t="s">
        <v>46</v>
      </c>
      <c r="H27" s="64" t="s">
        <v>878</v>
      </c>
      <c r="I27" s="64"/>
      <c r="J27" s="65">
        <v>10</v>
      </c>
      <c r="K27" s="66">
        <f>888</f>
        <v>888</v>
      </c>
      <c r="L27" s="67" t="s">
        <v>853</v>
      </c>
      <c r="M27" s="66">
        <f>962</f>
        <v>962</v>
      </c>
      <c r="N27" s="67" t="s">
        <v>49</v>
      </c>
      <c r="O27" s="66">
        <f>888</f>
        <v>888</v>
      </c>
      <c r="P27" s="67" t="s">
        <v>853</v>
      </c>
      <c r="Q27" s="66">
        <f>932</f>
        <v>932</v>
      </c>
      <c r="R27" s="67" t="s">
        <v>873</v>
      </c>
      <c r="S27" s="68">
        <f>936.75</f>
        <v>936.75</v>
      </c>
      <c r="T27" s="65">
        <f>94570</f>
        <v>94570</v>
      </c>
      <c r="U27" s="65" t="str">
        <f>"－"</f>
        <v>－</v>
      </c>
      <c r="V27" s="65">
        <f>87937820</f>
        <v>87937820</v>
      </c>
      <c r="W27" s="65" t="str">
        <f>"－"</f>
        <v>－</v>
      </c>
      <c r="X27" s="69">
        <f>20</f>
        <v>20</v>
      </c>
    </row>
    <row r="28" spans="1:24">
      <c r="A28" s="60" t="s">
        <v>934</v>
      </c>
      <c r="B28" s="60" t="s">
        <v>119</v>
      </c>
      <c r="C28" s="60" t="s">
        <v>120</v>
      </c>
      <c r="D28" s="60" t="s">
        <v>121</v>
      </c>
      <c r="E28" s="61" t="s">
        <v>46</v>
      </c>
      <c r="F28" s="62" t="s">
        <v>46</v>
      </c>
      <c r="G28" s="63" t="s">
        <v>46</v>
      </c>
      <c r="H28" s="64"/>
      <c r="I28" s="64" t="s">
        <v>47</v>
      </c>
      <c r="J28" s="65">
        <v>100</v>
      </c>
      <c r="K28" s="66">
        <f>2175</f>
        <v>2175</v>
      </c>
      <c r="L28" s="67" t="s">
        <v>853</v>
      </c>
      <c r="M28" s="66">
        <f>2203</f>
        <v>2203</v>
      </c>
      <c r="N28" s="67" t="s">
        <v>77</v>
      </c>
      <c r="O28" s="66">
        <f>2096</f>
        <v>2096</v>
      </c>
      <c r="P28" s="67" t="s">
        <v>873</v>
      </c>
      <c r="Q28" s="66">
        <f>2096</f>
        <v>2096</v>
      </c>
      <c r="R28" s="67" t="s">
        <v>873</v>
      </c>
      <c r="S28" s="68">
        <f>2145.95</f>
        <v>2145.9499999999998</v>
      </c>
      <c r="T28" s="65">
        <f>1583600</f>
        <v>1583600</v>
      </c>
      <c r="U28" s="65">
        <f>27100</f>
        <v>27100</v>
      </c>
      <c r="V28" s="65">
        <f>3409497675</f>
        <v>3409497675</v>
      </c>
      <c r="W28" s="65">
        <f>58887075</f>
        <v>58887075</v>
      </c>
      <c r="X28" s="69">
        <f>20</f>
        <v>20</v>
      </c>
    </row>
    <row r="29" spans="1:24">
      <c r="A29" s="60" t="s">
        <v>934</v>
      </c>
      <c r="B29" s="60" t="s">
        <v>122</v>
      </c>
      <c r="C29" s="60" t="s">
        <v>123</v>
      </c>
      <c r="D29" s="60" t="s">
        <v>124</v>
      </c>
      <c r="E29" s="61" t="s">
        <v>46</v>
      </c>
      <c r="F29" s="62" t="s">
        <v>46</v>
      </c>
      <c r="G29" s="63" t="s">
        <v>46</v>
      </c>
      <c r="H29" s="64"/>
      <c r="I29" s="64" t="s">
        <v>47</v>
      </c>
      <c r="J29" s="65">
        <v>1</v>
      </c>
      <c r="K29" s="66">
        <f>29010</f>
        <v>29010</v>
      </c>
      <c r="L29" s="67" t="s">
        <v>853</v>
      </c>
      <c r="M29" s="66">
        <f>31750</f>
        <v>31750</v>
      </c>
      <c r="N29" s="67" t="s">
        <v>49</v>
      </c>
      <c r="O29" s="66">
        <f>29010</f>
        <v>29010</v>
      </c>
      <c r="P29" s="67" t="s">
        <v>853</v>
      </c>
      <c r="Q29" s="66">
        <f>30600</f>
        <v>30600</v>
      </c>
      <c r="R29" s="67" t="s">
        <v>873</v>
      </c>
      <c r="S29" s="68">
        <f>30823</f>
        <v>30823</v>
      </c>
      <c r="T29" s="65">
        <f>1185657</f>
        <v>1185657</v>
      </c>
      <c r="U29" s="65">
        <f>690039</f>
        <v>690039</v>
      </c>
      <c r="V29" s="65">
        <f>36920224250</f>
        <v>36920224250</v>
      </c>
      <c r="W29" s="65">
        <f>21714649400</f>
        <v>21714649400</v>
      </c>
      <c r="X29" s="69">
        <f>20</f>
        <v>20</v>
      </c>
    </row>
    <row r="30" spans="1:24">
      <c r="A30" s="60" t="s">
        <v>934</v>
      </c>
      <c r="B30" s="60" t="s">
        <v>125</v>
      </c>
      <c r="C30" s="60" t="s">
        <v>126</v>
      </c>
      <c r="D30" s="60" t="s">
        <v>127</v>
      </c>
      <c r="E30" s="61" t="s">
        <v>46</v>
      </c>
      <c r="F30" s="62" t="s">
        <v>46</v>
      </c>
      <c r="G30" s="63" t="s">
        <v>46</v>
      </c>
      <c r="H30" s="64"/>
      <c r="I30" s="64" t="s">
        <v>47</v>
      </c>
      <c r="J30" s="65">
        <v>10</v>
      </c>
      <c r="K30" s="66">
        <f>2027</f>
        <v>2027</v>
      </c>
      <c r="L30" s="67" t="s">
        <v>853</v>
      </c>
      <c r="M30" s="66">
        <f>2189</f>
        <v>2189</v>
      </c>
      <c r="N30" s="67" t="s">
        <v>49</v>
      </c>
      <c r="O30" s="66">
        <f>2027</f>
        <v>2027</v>
      </c>
      <c r="P30" s="67" t="s">
        <v>853</v>
      </c>
      <c r="Q30" s="66">
        <f>2116</f>
        <v>2116</v>
      </c>
      <c r="R30" s="67" t="s">
        <v>873</v>
      </c>
      <c r="S30" s="68">
        <f>2130.7</f>
        <v>2130.6999999999998</v>
      </c>
      <c r="T30" s="65">
        <f>24397590</f>
        <v>24397590</v>
      </c>
      <c r="U30" s="65">
        <f>21505370</f>
        <v>21505370</v>
      </c>
      <c r="V30" s="65">
        <f>51946089824</f>
        <v>51946089824</v>
      </c>
      <c r="W30" s="65">
        <f>45807730064</f>
        <v>45807730064</v>
      </c>
      <c r="X30" s="69">
        <f>20</f>
        <v>20</v>
      </c>
    </row>
    <row r="31" spans="1:24">
      <c r="A31" s="60" t="s">
        <v>934</v>
      </c>
      <c r="B31" s="60" t="s">
        <v>128</v>
      </c>
      <c r="C31" s="60" t="s">
        <v>129</v>
      </c>
      <c r="D31" s="60" t="s">
        <v>130</v>
      </c>
      <c r="E31" s="61" t="s">
        <v>46</v>
      </c>
      <c r="F31" s="62" t="s">
        <v>46</v>
      </c>
      <c r="G31" s="63" t="s">
        <v>46</v>
      </c>
      <c r="H31" s="64"/>
      <c r="I31" s="64" t="s">
        <v>47</v>
      </c>
      <c r="J31" s="65">
        <v>1</v>
      </c>
      <c r="K31" s="66">
        <f>13300</f>
        <v>13300</v>
      </c>
      <c r="L31" s="67" t="s">
        <v>853</v>
      </c>
      <c r="M31" s="66">
        <f>13430</f>
        <v>13430</v>
      </c>
      <c r="N31" s="67" t="s">
        <v>853</v>
      </c>
      <c r="O31" s="66">
        <f>12970</f>
        <v>12970</v>
      </c>
      <c r="P31" s="67" t="s">
        <v>132</v>
      </c>
      <c r="Q31" s="66">
        <f>13330</f>
        <v>13330</v>
      </c>
      <c r="R31" s="67" t="s">
        <v>873</v>
      </c>
      <c r="S31" s="68">
        <f>13291.5</f>
        <v>13291.5</v>
      </c>
      <c r="T31" s="65">
        <f>8860</f>
        <v>8860</v>
      </c>
      <c r="U31" s="65">
        <f>7500</f>
        <v>7500</v>
      </c>
      <c r="V31" s="65">
        <f>116822481</f>
        <v>116822481</v>
      </c>
      <c r="W31" s="65">
        <f>98856521</f>
        <v>98856521</v>
      </c>
      <c r="X31" s="69">
        <f>20</f>
        <v>20</v>
      </c>
    </row>
    <row r="32" spans="1:24">
      <c r="A32" s="60" t="s">
        <v>934</v>
      </c>
      <c r="B32" s="60" t="s">
        <v>133</v>
      </c>
      <c r="C32" s="60" t="s">
        <v>134</v>
      </c>
      <c r="D32" s="60" t="s">
        <v>135</v>
      </c>
      <c r="E32" s="61" t="s">
        <v>46</v>
      </c>
      <c r="F32" s="62" t="s">
        <v>46</v>
      </c>
      <c r="G32" s="63" t="s">
        <v>46</v>
      </c>
      <c r="H32" s="64"/>
      <c r="I32" s="64" t="s">
        <v>47</v>
      </c>
      <c r="J32" s="65">
        <v>10</v>
      </c>
      <c r="K32" s="66">
        <f>1113</f>
        <v>1113</v>
      </c>
      <c r="L32" s="67" t="s">
        <v>853</v>
      </c>
      <c r="M32" s="66">
        <f>1113</f>
        <v>1113</v>
      </c>
      <c r="N32" s="67" t="s">
        <v>853</v>
      </c>
      <c r="O32" s="66">
        <f>950</f>
        <v>950</v>
      </c>
      <c r="P32" s="67" t="s">
        <v>49</v>
      </c>
      <c r="Q32" s="66">
        <f>1014</f>
        <v>1014</v>
      </c>
      <c r="R32" s="67" t="s">
        <v>873</v>
      </c>
      <c r="S32" s="68">
        <f>1002.6</f>
        <v>1002.6</v>
      </c>
      <c r="T32" s="65">
        <f>12203210</f>
        <v>12203210</v>
      </c>
      <c r="U32" s="65" t="str">
        <f>"－"</f>
        <v>－</v>
      </c>
      <c r="V32" s="65">
        <f>12261547540</f>
        <v>12261547540</v>
      </c>
      <c r="W32" s="65" t="str">
        <f>"－"</f>
        <v>－</v>
      </c>
      <c r="X32" s="69">
        <f>20</f>
        <v>20</v>
      </c>
    </row>
    <row r="33" spans="1:24">
      <c r="A33" s="60" t="s">
        <v>934</v>
      </c>
      <c r="B33" s="60" t="s">
        <v>136</v>
      </c>
      <c r="C33" s="60" t="s">
        <v>137</v>
      </c>
      <c r="D33" s="60" t="s">
        <v>138</v>
      </c>
      <c r="E33" s="61" t="s">
        <v>46</v>
      </c>
      <c r="F33" s="62" t="s">
        <v>46</v>
      </c>
      <c r="G33" s="63" t="s">
        <v>46</v>
      </c>
      <c r="H33" s="64"/>
      <c r="I33" s="64" t="s">
        <v>47</v>
      </c>
      <c r="J33" s="65">
        <v>1</v>
      </c>
      <c r="K33" s="66">
        <f>429</f>
        <v>429</v>
      </c>
      <c r="L33" s="67" t="s">
        <v>853</v>
      </c>
      <c r="M33" s="66">
        <f>429</f>
        <v>429</v>
      </c>
      <c r="N33" s="67" t="s">
        <v>853</v>
      </c>
      <c r="O33" s="66">
        <f>356</f>
        <v>356</v>
      </c>
      <c r="P33" s="67" t="s">
        <v>49</v>
      </c>
      <c r="Q33" s="66">
        <f>383</f>
        <v>383</v>
      </c>
      <c r="R33" s="67" t="s">
        <v>873</v>
      </c>
      <c r="S33" s="68">
        <f>377.75</f>
        <v>377.75</v>
      </c>
      <c r="T33" s="65">
        <f>1269374716</f>
        <v>1269374716</v>
      </c>
      <c r="U33" s="65">
        <f>318689</f>
        <v>318689</v>
      </c>
      <c r="V33" s="65">
        <f>483435652460</f>
        <v>483435652460</v>
      </c>
      <c r="W33" s="65">
        <f>123142364</f>
        <v>123142364</v>
      </c>
      <c r="X33" s="69">
        <f>20</f>
        <v>20</v>
      </c>
    </row>
    <row r="34" spans="1:24">
      <c r="A34" s="60" t="s">
        <v>934</v>
      </c>
      <c r="B34" s="60" t="s">
        <v>139</v>
      </c>
      <c r="C34" s="60" t="s">
        <v>140</v>
      </c>
      <c r="D34" s="60" t="s">
        <v>141</v>
      </c>
      <c r="E34" s="61" t="s">
        <v>46</v>
      </c>
      <c r="F34" s="62" t="s">
        <v>46</v>
      </c>
      <c r="G34" s="63" t="s">
        <v>46</v>
      </c>
      <c r="H34" s="64"/>
      <c r="I34" s="64" t="s">
        <v>47</v>
      </c>
      <c r="J34" s="65">
        <v>1</v>
      </c>
      <c r="K34" s="66">
        <f>27810</f>
        <v>27810</v>
      </c>
      <c r="L34" s="67" t="s">
        <v>853</v>
      </c>
      <c r="M34" s="66">
        <f>33200</f>
        <v>33200</v>
      </c>
      <c r="N34" s="67" t="s">
        <v>49</v>
      </c>
      <c r="O34" s="66">
        <f>27810</f>
        <v>27810</v>
      </c>
      <c r="P34" s="67" t="s">
        <v>853</v>
      </c>
      <c r="Q34" s="66">
        <f>30800</f>
        <v>30800</v>
      </c>
      <c r="R34" s="67" t="s">
        <v>873</v>
      </c>
      <c r="S34" s="68">
        <f>31344.5</f>
        <v>31344.5</v>
      </c>
      <c r="T34" s="65">
        <f>488768</f>
        <v>488768</v>
      </c>
      <c r="U34" s="65">
        <f>3</f>
        <v>3</v>
      </c>
      <c r="V34" s="65">
        <f>15213585350</f>
        <v>15213585350</v>
      </c>
      <c r="W34" s="65">
        <f>89120</f>
        <v>89120</v>
      </c>
      <c r="X34" s="69">
        <f>20</f>
        <v>20</v>
      </c>
    </row>
    <row r="35" spans="1:24">
      <c r="A35" s="60" t="s">
        <v>934</v>
      </c>
      <c r="B35" s="60" t="s">
        <v>142</v>
      </c>
      <c r="C35" s="60" t="s">
        <v>143</v>
      </c>
      <c r="D35" s="60" t="s">
        <v>144</v>
      </c>
      <c r="E35" s="61" t="s">
        <v>46</v>
      </c>
      <c r="F35" s="62" t="s">
        <v>46</v>
      </c>
      <c r="G35" s="63" t="s">
        <v>46</v>
      </c>
      <c r="H35" s="64"/>
      <c r="I35" s="64" t="s">
        <v>47</v>
      </c>
      <c r="J35" s="65">
        <v>10</v>
      </c>
      <c r="K35" s="66">
        <f>1045</f>
        <v>1045</v>
      </c>
      <c r="L35" s="67" t="s">
        <v>853</v>
      </c>
      <c r="M35" s="66">
        <f>1045</f>
        <v>1045</v>
      </c>
      <c r="N35" s="67" t="s">
        <v>853</v>
      </c>
      <c r="O35" s="66">
        <f>868</f>
        <v>868</v>
      </c>
      <c r="P35" s="67" t="s">
        <v>49</v>
      </c>
      <c r="Q35" s="66">
        <f>935</f>
        <v>935</v>
      </c>
      <c r="R35" s="67" t="s">
        <v>873</v>
      </c>
      <c r="S35" s="68">
        <f>922.55</f>
        <v>922.55</v>
      </c>
      <c r="T35" s="65">
        <f>358202410</f>
        <v>358202410</v>
      </c>
      <c r="U35" s="65">
        <f>370</f>
        <v>370</v>
      </c>
      <c r="V35" s="65">
        <f>332534090980</f>
        <v>332534090980</v>
      </c>
      <c r="W35" s="65">
        <f>338570</f>
        <v>338570</v>
      </c>
      <c r="X35" s="69">
        <f>20</f>
        <v>20</v>
      </c>
    </row>
    <row r="36" spans="1:24">
      <c r="A36" s="60" t="s">
        <v>934</v>
      </c>
      <c r="B36" s="60" t="s">
        <v>145</v>
      </c>
      <c r="C36" s="60" t="s">
        <v>146</v>
      </c>
      <c r="D36" s="60" t="s">
        <v>147</v>
      </c>
      <c r="E36" s="61" t="s">
        <v>46</v>
      </c>
      <c r="F36" s="62" t="s">
        <v>46</v>
      </c>
      <c r="G36" s="63" t="s">
        <v>46</v>
      </c>
      <c r="H36" s="64"/>
      <c r="I36" s="64" t="s">
        <v>47</v>
      </c>
      <c r="J36" s="65">
        <v>1</v>
      </c>
      <c r="K36" s="66">
        <f>18010</f>
        <v>18010</v>
      </c>
      <c r="L36" s="67" t="s">
        <v>853</v>
      </c>
      <c r="M36" s="66">
        <f>19480</f>
        <v>19480</v>
      </c>
      <c r="N36" s="67" t="s">
        <v>49</v>
      </c>
      <c r="O36" s="66">
        <f>18010</f>
        <v>18010</v>
      </c>
      <c r="P36" s="67" t="s">
        <v>853</v>
      </c>
      <c r="Q36" s="66">
        <f>18800</f>
        <v>18800</v>
      </c>
      <c r="R36" s="67" t="s">
        <v>873</v>
      </c>
      <c r="S36" s="68">
        <f>18959</f>
        <v>18959</v>
      </c>
      <c r="T36" s="65">
        <f>12510</f>
        <v>12510</v>
      </c>
      <c r="U36" s="65" t="str">
        <f>"－"</f>
        <v>－</v>
      </c>
      <c r="V36" s="65">
        <f>237079180</f>
        <v>237079180</v>
      </c>
      <c r="W36" s="65" t="str">
        <f>"－"</f>
        <v>－</v>
      </c>
      <c r="X36" s="69">
        <f>20</f>
        <v>20</v>
      </c>
    </row>
    <row r="37" spans="1:24">
      <c r="A37" s="60" t="s">
        <v>934</v>
      </c>
      <c r="B37" s="60" t="s">
        <v>148</v>
      </c>
      <c r="C37" s="60" t="s">
        <v>149</v>
      </c>
      <c r="D37" s="60" t="s">
        <v>150</v>
      </c>
      <c r="E37" s="61" t="s">
        <v>46</v>
      </c>
      <c r="F37" s="62" t="s">
        <v>46</v>
      </c>
      <c r="G37" s="63" t="s">
        <v>46</v>
      </c>
      <c r="H37" s="64"/>
      <c r="I37" s="64" t="s">
        <v>47</v>
      </c>
      <c r="J37" s="65">
        <v>1</v>
      </c>
      <c r="K37" s="66">
        <f>23120</f>
        <v>23120</v>
      </c>
      <c r="L37" s="67" t="s">
        <v>853</v>
      </c>
      <c r="M37" s="66">
        <f>27630</f>
        <v>27630</v>
      </c>
      <c r="N37" s="67" t="s">
        <v>49</v>
      </c>
      <c r="O37" s="66">
        <f>23120</f>
        <v>23120</v>
      </c>
      <c r="P37" s="67" t="s">
        <v>853</v>
      </c>
      <c r="Q37" s="66">
        <f>25620</f>
        <v>25620</v>
      </c>
      <c r="R37" s="67" t="s">
        <v>873</v>
      </c>
      <c r="S37" s="68">
        <f>26064.5</f>
        <v>26064.5</v>
      </c>
      <c r="T37" s="65">
        <f>1263991</f>
        <v>1263991</v>
      </c>
      <c r="U37" s="65">
        <f>20</f>
        <v>20</v>
      </c>
      <c r="V37" s="65">
        <f>32863870010</f>
        <v>32863870010</v>
      </c>
      <c r="W37" s="65">
        <f>512200</f>
        <v>512200</v>
      </c>
      <c r="X37" s="69">
        <f>20</f>
        <v>20</v>
      </c>
    </row>
    <row r="38" spans="1:24">
      <c r="A38" s="60" t="s">
        <v>934</v>
      </c>
      <c r="B38" s="60" t="s">
        <v>151</v>
      </c>
      <c r="C38" s="60" t="s">
        <v>152</v>
      </c>
      <c r="D38" s="60" t="s">
        <v>153</v>
      </c>
      <c r="E38" s="61" t="s">
        <v>46</v>
      </c>
      <c r="F38" s="62" t="s">
        <v>46</v>
      </c>
      <c r="G38" s="63" t="s">
        <v>46</v>
      </c>
      <c r="H38" s="64"/>
      <c r="I38" s="64" t="s">
        <v>47</v>
      </c>
      <c r="J38" s="65">
        <v>1</v>
      </c>
      <c r="K38" s="66">
        <f>1119</f>
        <v>1119</v>
      </c>
      <c r="L38" s="67" t="s">
        <v>853</v>
      </c>
      <c r="M38" s="66">
        <f>1119</f>
        <v>1119</v>
      </c>
      <c r="N38" s="67" t="s">
        <v>853</v>
      </c>
      <c r="O38" s="66">
        <f>929</f>
        <v>929</v>
      </c>
      <c r="P38" s="67" t="s">
        <v>49</v>
      </c>
      <c r="Q38" s="66">
        <f>996</f>
        <v>996</v>
      </c>
      <c r="R38" s="67" t="s">
        <v>873</v>
      </c>
      <c r="S38" s="68">
        <f>985.75</f>
        <v>985.75</v>
      </c>
      <c r="T38" s="65">
        <f>15161608</f>
        <v>15161608</v>
      </c>
      <c r="U38" s="65">
        <f>60</f>
        <v>60</v>
      </c>
      <c r="V38" s="65">
        <f>15028026763</f>
        <v>15028026763</v>
      </c>
      <c r="W38" s="65">
        <f>58870</f>
        <v>58870</v>
      </c>
      <c r="X38" s="69">
        <f>20</f>
        <v>20</v>
      </c>
    </row>
    <row r="39" spans="1:24">
      <c r="A39" s="60" t="s">
        <v>934</v>
      </c>
      <c r="B39" s="60" t="s">
        <v>154</v>
      </c>
      <c r="C39" s="60" t="s">
        <v>155</v>
      </c>
      <c r="D39" s="60" t="s">
        <v>156</v>
      </c>
      <c r="E39" s="61" t="s">
        <v>46</v>
      </c>
      <c r="F39" s="62" t="s">
        <v>46</v>
      </c>
      <c r="G39" s="63" t="s">
        <v>46</v>
      </c>
      <c r="H39" s="64"/>
      <c r="I39" s="64" t="s">
        <v>47</v>
      </c>
      <c r="J39" s="65">
        <v>1</v>
      </c>
      <c r="K39" s="66">
        <f>18840</f>
        <v>18840</v>
      </c>
      <c r="L39" s="67" t="s">
        <v>853</v>
      </c>
      <c r="M39" s="66">
        <f>21960</f>
        <v>21960</v>
      </c>
      <c r="N39" s="67" t="s">
        <v>49</v>
      </c>
      <c r="O39" s="66">
        <f>18840</f>
        <v>18840</v>
      </c>
      <c r="P39" s="67" t="s">
        <v>853</v>
      </c>
      <c r="Q39" s="66">
        <f>20430</f>
        <v>20430</v>
      </c>
      <c r="R39" s="67" t="s">
        <v>873</v>
      </c>
      <c r="S39" s="68">
        <f>20820</f>
        <v>20820</v>
      </c>
      <c r="T39" s="65">
        <f>440997</f>
        <v>440997</v>
      </c>
      <c r="U39" s="65">
        <f>351</f>
        <v>351</v>
      </c>
      <c r="V39" s="65">
        <f>9170449140</f>
        <v>9170449140</v>
      </c>
      <c r="W39" s="65">
        <f>6898170</f>
        <v>6898170</v>
      </c>
      <c r="X39" s="69">
        <f>20</f>
        <v>20</v>
      </c>
    </row>
    <row r="40" spans="1:24">
      <c r="A40" s="60" t="s">
        <v>934</v>
      </c>
      <c r="B40" s="60" t="s">
        <v>157</v>
      </c>
      <c r="C40" s="60" t="s">
        <v>158</v>
      </c>
      <c r="D40" s="60" t="s">
        <v>159</v>
      </c>
      <c r="E40" s="61" t="s">
        <v>46</v>
      </c>
      <c r="F40" s="62" t="s">
        <v>46</v>
      </c>
      <c r="G40" s="63" t="s">
        <v>46</v>
      </c>
      <c r="H40" s="64"/>
      <c r="I40" s="64" t="s">
        <v>47</v>
      </c>
      <c r="J40" s="65">
        <v>1</v>
      </c>
      <c r="K40" s="66">
        <f>1608</f>
        <v>1608</v>
      </c>
      <c r="L40" s="67" t="s">
        <v>853</v>
      </c>
      <c r="M40" s="66">
        <f>1608</f>
        <v>1608</v>
      </c>
      <c r="N40" s="67" t="s">
        <v>853</v>
      </c>
      <c r="O40" s="66">
        <f>1374</f>
        <v>1374</v>
      </c>
      <c r="P40" s="67" t="s">
        <v>49</v>
      </c>
      <c r="Q40" s="66">
        <f>1471</f>
        <v>1471</v>
      </c>
      <c r="R40" s="67" t="s">
        <v>873</v>
      </c>
      <c r="S40" s="68">
        <f>1452.6</f>
        <v>1452.6</v>
      </c>
      <c r="T40" s="65">
        <f>2282490</f>
        <v>2282490</v>
      </c>
      <c r="U40" s="65">
        <f>20</f>
        <v>20</v>
      </c>
      <c r="V40" s="65">
        <f>3350647836</f>
        <v>3350647836</v>
      </c>
      <c r="W40" s="65">
        <f>26280</f>
        <v>26280</v>
      </c>
      <c r="X40" s="69">
        <f>20</f>
        <v>20</v>
      </c>
    </row>
    <row r="41" spans="1:24">
      <c r="A41" s="60" t="s">
        <v>934</v>
      </c>
      <c r="B41" s="60" t="s">
        <v>160</v>
      </c>
      <c r="C41" s="60" t="s">
        <v>161</v>
      </c>
      <c r="D41" s="60" t="s">
        <v>162</v>
      </c>
      <c r="E41" s="61" t="s">
        <v>46</v>
      </c>
      <c r="F41" s="62" t="s">
        <v>46</v>
      </c>
      <c r="G41" s="63" t="s">
        <v>46</v>
      </c>
      <c r="H41" s="64"/>
      <c r="I41" s="64" t="s">
        <v>47</v>
      </c>
      <c r="J41" s="65">
        <v>1</v>
      </c>
      <c r="K41" s="66">
        <f>28120</f>
        <v>28120</v>
      </c>
      <c r="L41" s="67" t="s">
        <v>853</v>
      </c>
      <c r="M41" s="66">
        <f>30750</f>
        <v>30750</v>
      </c>
      <c r="N41" s="67" t="s">
        <v>49</v>
      </c>
      <c r="O41" s="66">
        <f>28120</f>
        <v>28120</v>
      </c>
      <c r="P41" s="67" t="s">
        <v>853</v>
      </c>
      <c r="Q41" s="66">
        <f>29630</f>
        <v>29630</v>
      </c>
      <c r="R41" s="67" t="s">
        <v>873</v>
      </c>
      <c r="S41" s="68">
        <f>29882.5</f>
        <v>29882.5</v>
      </c>
      <c r="T41" s="65">
        <f>613148</f>
        <v>613148</v>
      </c>
      <c r="U41" s="65">
        <f>360450</f>
        <v>360450</v>
      </c>
      <c r="V41" s="65">
        <f>18387785066</f>
        <v>18387785066</v>
      </c>
      <c r="W41" s="65">
        <f>10905251076</f>
        <v>10905251076</v>
      </c>
      <c r="X41" s="69">
        <f>20</f>
        <v>20</v>
      </c>
    </row>
    <row r="42" spans="1:24">
      <c r="A42" s="60" t="s">
        <v>934</v>
      </c>
      <c r="B42" s="60" t="s">
        <v>163</v>
      </c>
      <c r="C42" s="60" t="s">
        <v>164</v>
      </c>
      <c r="D42" s="60" t="s">
        <v>165</v>
      </c>
      <c r="E42" s="61" t="s">
        <v>46</v>
      </c>
      <c r="F42" s="62" t="s">
        <v>46</v>
      </c>
      <c r="G42" s="63" t="s">
        <v>46</v>
      </c>
      <c r="H42" s="64"/>
      <c r="I42" s="64" t="s">
        <v>47</v>
      </c>
      <c r="J42" s="65">
        <v>1</v>
      </c>
      <c r="K42" s="66">
        <f>5500</f>
        <v>5500</v>
      </c>
      <c r="L42" s="67" t="s">
        <v>853</v>
      </c>
      <c r="M42" s="66">
        <f>5570</f>
        <v>5570</v>
      </c>
      <c r="N42" s="67" t="s">
        <v>77</v>
      </c>
      <c r="O42" s="66">
        <f>5220</f>
        <v>5220</v>
      </c>
      <c r="P42" s="67" t="s">
        <v>268</v>
      </c>
      <c r="Q42" s="66">
        <f>5330</f>
        <v>5330</v>
      </c>
      <c r="R42" s="67" t="s">
        <v>873</v>
      </c>
      <c r="S42" s="68">
        <f>5438</f>
        <v>5438</v>
      </c>
      <c r="T42" s="65">
        <f>5702</f>
        <v>5702</v>
      </c>
      <c r="U42" s="65" t="str">
        <f t="shared" ref="U42:U51" si="0">"－"</f>
        <v>－</v>
      </c>
      <c r="V42" s="65">
        <f>31062480</f>
        <v>31062480</v>
      </c>
      <c r="W42" s="65" t="str">
        <f t="shared" ref="W42:W51" si="1">"－"</f>
        <v>－</v>
      </c>
      <c r="X42" s="69">
        <f>20</f>
        <v>20</v>
      </c>
    </row>
    <row r="43" spans="1:24">
      <c r="A43" s="60" t="s">
        <v>934</v>
      </c>
      <c r="B43" s="60" t="s">
        <v>166</v>
      </c>
      <c r="C43" s="60" t="s">
        <v>167</v>
      </c>
      <c r="D43" s="60" t="s">
        <v>168</v>
      </c>
      <c r="E43" s="61" t="s">
        <v>46</v>
      </c>
      <c r="F43" s="62" t="s">
        <v>46</v>
      </c>
      <c r="G43" s="63" t="s">
        <v>46</v>
      </c>
      <c r="H43" s="64"/>
      <c r="I43" s="64" t="s">
        <v>47</v>
      </c>
      <c r="J43" s="65">
        <v>1</v>
      </c>
      <c r="K43" s="66">
        <f>9900</f>
        <v>9900</v>
      </c>
      <c r="L43" s="67" t="s">
        <v>853</v>
      </c>
      <c r="M43" s="66">
        <f>10000</f>
        <v>10000</v>
      </c>
      <c r="N43" s="67" t="s">
        <v>172</v>
      </c>
      <c r="O43" s="66">
        <f>9300</f>
        <v>9300</v>
      </c>
      <c r="P43" s="67" t="s">
        <v>268</v>
      </c>
      <c r="Q43" s="66">
        <f>9690</f>
        <v>9690</v>
      </c>
      <c r="R43" s="67" t="s">
        <v>873</v>
      </c>
      <c r="S43" s="68">
        <f>9803</f>
        <v>9803</v>
      </c>
      <c r="T43" s="65">
        <f>1844</f>
        <v>1844</v>
      </c>
      <c r="U43" s="65" t="str">
        <f t="shared" si="0"/>
        <v>－</v>
      </c>
      <c r="V43" s="65">
        <f>18014650</f>
        <v>18014650</v>
      </c>
      <c r="W43" s="65" t="str">
        <f t="shared" si="1"/>
        <v>－</v>
      </c>
      <c r="X43" s="69">
        <f>20</f>
        <v>20</v>
      </c>
    </row>
    <row r="44" spans="1:24">
      <c r="A44" s="60" t="s">
        <v>934</v>
      </c>
      <c r="B44" s="60" t="s">
        <v>169</v>
      </c>
      <c r="C44" s="60" t="s">
        <v>170</v>
      </c>
      <c r="D44" s="60" t="s">
        <v>171</v>
      </c>
      <c r="E44" s="61" t="s">
        <v>46</v>
      </c>
      <c r="F44" s="62" t="s">
        <v>46</v>
      </c>
      <c r="G44" s="63" t="s">
        <v>46</v>
      </c>
      <c r="H44" s="64"/>
      <c r="I44" s="64" t="s">
        <v>47</v>
      </c>
      <c r="J44" s="65">
        <v>1</v>
      </c>
      <c r="K44" s="66">
        <f>19860</f>
        <v>19860</v>
      </c>
      <c r="L44" s="67" t="s">
        <v>853</v>
      </c>
      <c r="M44" s="66">
        <f>19890</f>
        <v>19890</v>
      </c>
      <c r="N44" s="67" t="s">
        <v>77</v>
      </c>
      <c r="O44" s="66">
        <f>18780</f>
        <v>18780</v>
      </c>
      <c r="P44" s="67" t="s">
        <v>132</v>
      </c>
      <c r="Q44" s="66">
        <f>19370</f>
        <v>19370</v>
      </c>
      <c r="R44" s="67" t="s">
        <v>873</v>
      </c>
      <c r="S44" s="68">
        <f>19430</f>
        <v>19430</v>
      </c>
      <c r="T44" s="65">
        <f>477</f>
        <v>477</v>
      </c>
      <c r="U44" s="65" t="str">
        <f t="shared" si="0"/>
        <v>－</v>
      </c>
      <c r="V44" s="65">
        <f>9388250</f>
        <v>9388250</v>
      </c>
      <c r="W44" s="65" t="str">
        <f t="shared" si="1"/>
        <v>－</v>
      </c>
      <c r="X44" s="69">
        <f>16</f>
        <v>16</v>
      </c>
    </row>
    <row r="45" spans="1:24">
      <c r="A45" s="60" t="s">
        <v>934</v>
      </c>
      <c r="B45" s="60" t="s">
        <v>173</v>
      </c>
      <c r="C45" s="60" t="s">
        <v>174</v>
      </c>
      <c r="D45" s="60" t="s">
        <v>175</v>
      </c>
      <c r="E45" s="61" t="s">
        <v>46</v>
      </c>
      <c r="F45" s="62" t="s">
        <v>46</v>
      </c>
      <c r="G45" s="63" t="s">
        <v>46</v>
      </c>
      <c r="H45" s="64"/>
      <c r="I45" s="64" t="s">
        <v>47</v>
      </c>
      <c r="J45" s="65">
        <v>1</v>
      </c>
      <c r="K45" s="66">
        <f>17130</f>
        <v>17130</v>
      </c>
      <c r="L45" s="67" t="s">
        <v>857</v>
      </c>
      <c r="M45" s="66">
        <f>17410</f>
        <v>17410</v>
      </c>
      <c r="N45" s="67" t="s">
        <v>172</v>
      </c>
      <c r="O45" s="66">
        <f>16100</f>
        <v>16100</v>
      </c>
      <c r="P45" s="67" t="s">
        <v>268</v>
      </c>
      <c r="Q45" s="66">
        <f>16540</f>
        <v>16540</v>
      </c>
      <c r="R45" s="67" t="s">
        <v>50</v>
      </c>
      <c r="S45" s="68">
        <f>16896.67</f>
        <v>16896.669999999998</v>
      </c>
      <c r="T45" s="65">
        <f>104</f>
        <v>104</v>
      </c>
      <c r="U45" s="65" t="str">
        <f t="shared" si="0"/>
        <v>－</v>
      </c>
      <c r="V45" s="65">
        <f>1777650</f>
        <v>1777650</v>
      </c>
      <c r="W45" s="65" t="str">
        <f t="shared" si="1"/>
        <v>－</v>
      </c>
      <c r="X45" s="69">
        <f>12</f>
        <v>12</v>
      </c>
    </row>
    <row r="46" spans="1:24">
      <c r="A46" s="60" t="s">
        <v>934</v>
      </c>
      <c r="B46" s="60" t="s">
        <v>177</v>
      </c>
      <c r="C46" s="60" t="s">
        <v>178</v>
      </c>
      <c r="D46" s="60" t="s">
        <v>179</v>
      </c>
      <c r="E46" s="61" t="s">
        <v>46</v>
      </c>
      <c r="F46" s="62" t="s">
        <v>46</v>
      </c>
      <c r="G46" s="63" t="s">
        <v>46</v>
      </c>
      <c r="H46" s="64"/>
      <c r="I46" s="64" t="s">
        <v>47</v>
      </c>
      <c r="J46" s="65">
        <v>1</v>
      </c>
      <c r="K46" s="66">
        <f>9920</f>
        <v>9920</v>
      </c>
      <c r="L46" s="67" t="s">
        <v>853</v>
      </c>
      <c r="M46" s="66">
        <f>10100</f>
        <v>10100</v>
      </c>
      <c r="N46" s="67" t="s">
        <v>172</v>
      </c>
      <c r="O46" s="66">
        <f>9520</f>
        <v>9520</v>
      </c>
      <c r="P46" s="67" t="s">
        <v>132</v>
      </c>
      <c r="Q46" s="66">
        <f>9940</f>
        <v>9940</v>
      </c>
      <c r="R46" s="67" t="s">
        <v>873</v>
      </c>
      <c r="S46" s="68">
        <f>9911</f>
        <v>9911</v>
      </c>
      <c r="T46" s="65">
        <f>3183</f>
        <v>3183</v>
      </c>
      <c r="U46" s="65" t="str">
        <f t="shared" si="0"/>
        <v>－</v>
      </c>
      <c r="V46" s="65">
        <f>31233590</f>
        <v>31233590</v>
      </c>
      <c r="W46" s="65" t="str">
        <f t="shared" si="1"/>
        <v>－</v>
      </c>
      <c r="X46" s="69">
        <f>20</f>
        <v>20</v>
      </c>
    </row>
    <row r="47" spans="1:24">
      <c r="A47" s="60" t="s">
        <v>934</v>
      </c>
      <c r="B47" s="60" t="s">
        <v>180</v>
      </c>
      <c r="C47" s="60" t="s">
        <v>181</v>
      </c>
      <c r="D47" s="60" t="s">
        <v>182</v>
      </c>
      <c r="E47" s="61" t="s">
        <v>46</v>
      </c>
      <c r="F47" s="62" t="s">
        <v>46</v>
      </c>
      <c r="G47" s="63" t="s">
        <v>46</v>
      </c>
      <c r="H47" s="64"/>
      <c r="I47" s="64" t="s">
        <v>47</v>
      </c>
      <c r="J47" s="65">
        <v>1</v>
      </c>
      <c r="K47" s="66">
        <f>5390</f>
        <v>5390</v>
      </c>
      <c r="L47" s="67" t="s">
        <v>853</v>
      </c>
      <c r="M47" s="66">
        <f>5560</f>
        <v>5560</v>
      </c>
      <c r="N47" s="67" t="s">
        <v>77</v>
      </c>
      <c r="O47" s="66">
        <f>4990</f>
        <v>4990</v>
      </c>
      <c r="P47" s="67" t="s">
        <v>268</v>
      </c>
      <c r="Q47" s="66">
        <f>5220</f>
        <v>5220</v>
      </c>
      <c r="R47" s="67" t="s">
        <v>873</v>
      </c>
      <c r="S47" s="68">
        <f>5318.5</f>
        <v>5318.5</v>
      </c>
      <c r="T47" s="65">
        <f>3640</f>
        <v>3640</v>
      </c>
      <c r="U47" s="65" t="str">
        <f t="shared" si="0"/>
        <v>－</v>
      </c>
      <c r="V47" s="65">
        <f>19250000</f>
        <v>19250000</v>
      </c>
      <c r="W47" s="65" t="str">
        <f t="shared" si="1"/>
        <v>－</v>
      </c>
      <c r="X47" s="69">
        <f>20</f>
        <v>20</v>
      </c>
    </row>
    <row r="48" spans="1:24">
      <c r="A48" s="60" t="s">
        <v>934</v>
      </c>
      <c r="B48" s="60" t="s">
        <v>183</v>
      </c>
      <c r="C48" s="60" t="s">
        <v>184</v>
      </c>
      <c r="D48" s="60" t="s">
        <v>185</v>
      </c>
      <c r="E48" s="61" t="s">
        <v>46</v>
      </c>
      <c r="F48" s="62" t="s">
        <v>46</v>
      </c>
      <c r="G48" s="63" t="s">
        <v>46</v>
      </c>
      <c r="H48" s="64"/>
      <c r="I48" s="64" t="s">
        <v>47</v>
      </c>
      <c r="J48" s="65">
        <v>1</v>
      </c>
      <c r="K48" s="66">
        <f>2885</f>
        <v>2885</v>
      </c>
      <c r="L48" s="67" t="s">
        <v>853</v>
      </c>
      <c r="M48" s="66">
        <f>2885</f>
        <v>2885</v>
      </c>
      <c r="N48" s="67" t="s">
        <v>853</v>
      </c>
      <c r="O48" s="66">
        <f>2691</f>
        <v>2691</v>
      </c>
      <c r="P48" s="67" t="s">
        <v>50</v>
      </c>
      <c r="Q48" s="66">
        <f>2717</f>
        <v>2717</v>
      </c>
      <c r="R48" s="67" t="s">
        <v>873</v>
      </c>
      <c r="S48" s="68">
        <f>2801.15</f>
        <v>2801.15</v>
      </c>
      <c r="T48" s="65">
        <f>5076</f>
        <v>5076</v>
      </c>
      <c r="U48" s="65" t="str">
        <f t="shared" si="0"/>
        <v>－</v>
      </c>
      <c r="V48" s="65">
        <f>14162409</f>
        <v>14162409</v>
      </c>
      <c r="W48" s="65" t="str">
        <f t="shared" si="1"/>
        <v>－</v>
      </c>
      <c r="X48" s="69">
        <f>20</f>
        <v>20</v>
      </c>
    </row>
    <row r="49" spans="1:24">
      <c r="A49" s="60" t="s">
        <v>934</v>
      </c>
      <c r="B49" s="60" t="s">
        <v>186</v>
      </c>
      <c r="C49" s="60" t="s">
        <v>187</v>
      </c>
      <c r="D49" s="60" t="s">
        <v>188</v>
      </c>
      <c r="E49" s="61" t="s">
        <v>46</v>
      </c>
      <c r="F49" s="62" t="s">
        <v>46</v>
      </c>
      <c r="G49" s="63" t="s">
        <v>46</v>
      </c>
      <c r="H49" s="64"/>
      <c r="I49" s="64" t="s">
        <v>47</v>
      </c>
      <c r="J49" s="65">
        <v>1</v>
      </c>
      <c r="K49" s="66">
        <f>2670</f>
        <v>2670</v>
      </c>
      <c r="L49" s="67" t="s">
        <v>853</v>
      </c>
      <c r="M49" s="66">
        <f>2700</f>
        <v>2700</v>
      </c>
      <c r="N49" s="67" t="s">
        <v>858</v>
      </c>
      <c r="O49" s="66">
        <f>2560</f>
        <v>2560</v>
      </c>
      <c r="P49" s="67" t="s">
        <v>268</v>
      </c>
      <c r="Q49" s="66">
        <f>2640</f>
        <v>2640</v>
      </c>
      <c r="R49" s="67" t="s">
        <v>873</v>
      </c>
      <c r="S49" s="68">
        <f>2648.25</f>
        <v>2648.25</v>
      </c>
      <c r="T49" s="65">
        <f>3611</f>
        <v>3611</v>
      </c>
      <c r="U49" s="65" t="str">
        <f t="shared" si="0"/>
        <v>－</v>
      </c>
      <c r="V49" s="65">
        <f>9528141</f>
        <v>9528141</v>
      </c>
      <c r="W49" s="65" t="str">
        <f t="shared" si="1"/>
        <v>－</v>
      </c>
      <c r="X49" s="69">
        <f>20</f>
        <v>20</v>
      </c>
    </row>
    <row r="50" spans="1:24">
      <c r="A50" s="60" t="s">
        <v>934</v>
      </c>
      <c r="B50" s="60" t="s">
        <v>189</v>
      </c>
      <c r="C50" s="60" t="s">
        <v>190</v>
      </c>
      <c r="D50" s="60" t="s">
        <v>191</v>
      </c>
      <c r="E50" s="61" t="s">
        <v>46</v>
      </c>
      <c r="F50" s="62" t="s">
        <v>46</v>
      </c>
      <c r="G50" s="63" t="s">
        <v>46</v>
      </c>
      <c r="H50" s="64"/>
      <c r="I50" s="64" t="s">
        <v>47</v>
      </c>
      <c r="J50" s="65">
        <v>1</v>
      </c>
      <c r="K50" s="66">
        <f>49900</f>
        <v>49900</v>
      </c>
      <c r="L50" s="67" t="s">
        <v>853</v>
      </c>
      <c r="M50" s="66">
        <f>51500</f>
        <v>51500</v>
      </c>
      <c r="N50" s="67" t="s">
        <v>96</v>
      </c>
      <c r="O50" s="66">
        <f>47650</f>
        <v>47650</v>
      </c>
      <c r="P50" s="67" t="s">
        <v>268</v>
      </c>
      <c r="Q50" s="66">
        <f>49750</f>
        <v>49750</v>
      </c>
      <c r="R50" s="67" t="s">
        <v>873</v>
      </c>
      <c r="S50" s="68">
        <f>49605</f>
        <v>49605</v>
      </c>
      <c r="T50" s="65">
        <f>1748</f>
        <v>1748</v>
      </c>
      <c r="U50" s="65" t="str">
        <f t="shared" si="0"/>
        <v>－</v>
      </c>
      <c r="V50" s="65">
        <f>86910600</f>
        <v>86910600</v>
      </c>
      <c r="W50" s="65" t="str">
        <f t="shared" si="1"/>
        <v>－</v>
      </c>
      <c r="X50" s="69">
        <f>20</f>
        <v>20</v>
      </c>
    </row>
    <row r="51" spans="1:24">
      <c r="A51" s="60" t="s">
        <v>934</v>
      </c>
      <c r="B51" s="60" t="s">
        <v>192</v>
      </c>
      <c r="C51" s="60" t="s">
        <v>193</v>
      </c>
      <c r="D51" s="60" t="s">
        <v>194</v>
      </c>
      <c r="E51" s="61" t="s">
        <v>46</v>
      </c>
      <c r="F51" s="62" t="s">
        <v>46</v>
      </c>
      <c r="G51" s="63" t="s">
        <v>46</v>
      </c>
      <c r="H51" s="64"/>
      <c r="I51" s="64" t="s">
        <v>47</v>
      </c>
      <c r="J51" s="65">
        <v>1</v>
      </c>
      <c r="K51" s="66">
        <f>35100</f>
        <v>35100</v>
      </c>
      <c r="L51" s="67" t="s">
        <v>853</v>
      </c>
      <c r="M51" s="66">
        <f>36450</f>
        <v>36450</v>
      </c>
      <c r="N51" s="67" t="s">
        <v>172</v>
      </c>
      <c r="O51" s="66">
        <f>34200</f>
        <v>34200</v>
      </c>
      <c r="P51" s="67" t="s">
        <v>268</v>
      </c>
      <c r="Q51" s="66">
        <f>34950</f>
        <v>34950</v>
      </c>
      <c r="R51" s="67" t="s">
        <v>873</v>
      </c>
      <c r="S51" s="68">
        <f>35050</f>
        <v>35050</v>
      </c>
      <c r="T51" s="65">
        <f>389</f>
        <v>389</v>
      </c>
      <c r="U51" s="65" t="str">
        <f t="shared" si="0"/>
        <v>－</v>
      </c>
      <c r="V51" s="65">
        <f>13573700</f>
        <v>13573700</v>
      </c>
      <c r="W51" s="65" t="str">
        <f t="shared" si="1"/>
        <v>－</v>
      </c>
      <c r="X51" s="69">
        <f>15</f>
        <v>15</v>
      </c>
    </row>
    <row r="52" spans="1:24">
      <c r="A52" s="60" t="s">
        <v>934</v>
      </c>
      <c r="B52" s="60" t="s">
        <v>195</v>
      </c>
      <c r="C52" s="60" t="s">
        <v>196</v>
      </c>
      <c r="D52" s="60" t="s">
        <v>197</v>
      </c>
      <c r="E52" s="61" t="s">
        <v>46</v>
      </c>
      <c r="F52" s="62" t="s">
        <v>46</v>
      </c>
      <c r="G52" s="63" t="s">
        <v>46</v>
      </c>
      <c r="H52" s="64"/>
      <c r="I52" s="64" t="s">
        <v>47</v>
      </c>
      <c r="J52" s="65">
        <v>1</v>
      </c>
      <c r="K52" s="66">
        <f>28420</f>
        <v>28420</v>
      </c>
      <c r="L52" s="67" t="s">
        <v>853</v>
      </c>
      <c r="M52" s="66">
        <f>31000</f>
        <v>31000</v>
      </c>
      <c r="N52" s="67" t="s">
        <v>49</v>
      </c>
      <c r="O52" s="66">
        <f>28420</f>
        <v>28420</v>
      </c>
      <c r="P52" s="67" t="s">
        <v>853</v>
      </c>
      <c r="Q52" s="66">
        <f>29980</f>
        <v>29980</v>
      </c>
      <c r="R52" s="67" t="s">
        <v>873</v>
      </c>
      <c r="S52" s="68">
        <f>30189</f>
        <v>30189</v>
      </c>
      <c r="T52" s="65">
        <f>313058</f>
        <v>313058</v>
      </c>
      <c r="U52" s="65">
        <f>269905</f>
        <v>269905</v>
      </c>
      <c r="V52" s="65">
        <f>9152348000</f>
        <v>9152348000</v>
      </c>
      <c r="W52" s="65">
        <f>7845266900</f>
        <v>7845266900</v>
      </c>
      <c r="X52" s="69">
        <f>20</f>
        <v>20</v>
      </c>
    </row>
    <row r="53" spans="1:24">
      <c r="A53" s="60" t="s">
        <v>934</v>
      </c>
      <c r="B53" s="60" t="s">
        <v>198</v>
      </c>
      <c r="C53" s="60" t="s">
        <v>199</v>
      </c>
      <c r="D53" s="60" t="s">
        <v>200</v>
      </c>
      <c r="E53" s="61" t="s">
        <v>46</v>
      </c>
      <c r="F53" s="62" t="s">
        <v>46</v>
      </c>
      <c r="G53" s="63" t="s">
        <v>46</v>
      </c>
      <c r="H53" s="64"/>
      <c r="I53" s="64" t="s">
        <v>47</v>
      </c>
      <c r="J53" s="65">
        <v>10</v>
      </c>
      <c r="K53" s="66">
        <f>2205</f>
        <v>2205</v>
      </c>
      <c r="L53" s="67" t="s">
        <v>853</v>
      </c>
      <c r="M53" s="66">
        <f>2224</f>
        <v>2224</v>
      </c>
      <c r="N53" s="67" t="s">
        <v>77</v>
      </c>
      <c r="O53" s="66">
        <f>2117</f>
        <v>2117</v>
      </c>
      <c r="P53" s="67" t="s">
        <v>873</v>
      </c>
      <c r="Q53" s="66">
        <f>2117</f>
        <v>2117</v>
      </c>
      <c r="R53" s="67" t="s">
        <v>873</v>
      </c>
      <c r="S53" s="68">
        <f>2164.84</f>
        <v>2164.84</v>
      </c>
      <c r="T53" s="65">
        <f>178130</f>
        <v>178130</v>
      </c>
      <c r="U53" s="65">
        <f>31470</f>
        <v>31470</v>
      </c>
      <c r="V53" s="65">
        <f>386821783</f>
        <v>386821783</v>
      </c>
      <c r="W53" s="65">
        <f>68585373</f>
        <v>68585373</v>
      </c>
      <c r="X53" s="69">
        <f>19</f>
        <v>19</v>
      </c>
    </row>
    <row r="54" spans="1:24">
      <c r="A54" s="60" t="s">
        <v>934</v>
      </c>
      <c r="B54" s="60" t="s">
        <v>201</v>
      </c>
      <c r="C54" s="60" t="s">
        <v>202</v>
      </c>
      <c r="D54" s="60" t="s">
        <v>203</v>
      </c>
      <c r="E54" s="61" t="s">
        <v>46</v>
      </c>
      <c r="F54" s="62" t="s">
        <v>46</v>
      </c>
      <c r="G54" s="63" t="s">
        <v>46</v>
      </c>
      <c r="H54" s="64"/>
      <c r="I54" s="64" t="s">
        <v>47</v>
      </c>
      <c r="J54" s="65">
        <v>10</v>
      </c>
      <c r="K54" s="66">
        <f>1551</f>
        <v>1551</v>
      </c>
      <c r="L54" s="67" t="s">
        <v>853</v>
      </c>
      <c r="M54" s="66">
        <f>1653</f>
        <v>1653</v>
      </c>
      <c r="N54" s="67" t="s">
        <v>49</v>
      </c>
      <c r="O54" s="66">
        <f>1551</f>
        <v>1551</v>
      </c>
      <c r="P54" s="67" t="s">
        <v>853</v>
      </c>
      <c r="Q54" s="66">
        <f>1601</f>
        <v>1601</v>
      </c>
      <c r="R54" s="67" t="s">
        <v>873</v>
      </c>
      <c r="S54" s="68">
        <f>1612.74</f>
        <v>1612.74</v>
      </c>
      <c r="T54" s="65">
        <f>13300</f>
        <v>13300</v>
      </c>
      <c r="U54" s="65" t="str">
        <f>"－"</f>
        <v>－</v>
      </c>
      <c r="V54" s="65">
        <f>21330480</f>
        <v>21330480</v>
      </c>
      <c r="W54" s="65" t="str">
        <f>"－"</f>
        <v>－</v>
      </c>
      <c r="X54" s="69">
        <f>19</f>
        <v>19</v>
      </c>
    </row>
    <row r="55" spans="1:24">
      <c r="A55" s="60" t="s">
        <v>934</v>
      </c>
      <c r="B55" s="60" t="s">
        <v>204</v>
      </c>
      <c r="C55" s="60" t="s">
        <v>205</v>
      </c>
      <c r="D55" s="60" t="s">
        <v>206</v>
      </c>
      <c r="E55" s="61" t="s">
        <v>46</v>
      </c>
      <c r="F55" s="62" t="s">
        <v>46</v>
      </c>
      <c r="G55" s="63" t="s">
        <v>46</v>
      </c>
      <c r="H55" s="64"/>
      <c r="I55" s="64" t="s">
        <v>47</v>
      </c>
      <c r="J55" s="65">
        <v>1</v>
      </c>
      <c r="K55" s="66">
        <f>4425</f>
        <v>4425</v>
      </c>
      <c r="L55" s="67" t="s">
        <v>853</v>
      </c>
      <c r="M55" s="66">
        <f>4425</f>
        <v>4425</v>
      </c>
      <c r="N55" s="67" t="s">
        <v>853</v>
      </c>
      <c r="O55" s="66">
        <f>4040</f>
        <v>4040</v>
      </c>
      <c r="P55" s="67" t="s">
        <v>49</v>
      </c>
      <c r="Q55" s="66">
        <f>4180</f>
        <v>4180</v>
      </c>
      <c r="R55" s="67" t="s">
        <v>873</v>
      </c>
      <c r="S55" s="68">
        <f>4163.25</f>
        <v>4163.25</v>
      </c>
      <c r="T55" s="65">
        <f>1696290</f>
        <v>1696290</v>
      </c>
      <c r="U55" s="65">
        <f>169800</f>
        <v>169800</v>
      </c>
      <c r="V55" s="65">
        <f>7024347778</f>
        <v>7024347778</v>
      </c>
      <c r="W55" s="65">
        <f>697760433</f>
        <v>697760433</v>
      </c>
      <c r="X55" s="69">
        <f>20</f>
        <v>20</v>
      </c>
    </row>
    <row r="56" spans="1:24">
      <c r="A56" s="60" t="s">
        <v>934</v>
      </c>
      <c r="B56" s="60" t="s">
        <v>207</v>
      </c>
      <c r="C56" s="60" t="s">
        <v>208</v>
      </c>
      <c r="D56" s="60" t="s">
        <v>209</v>
      </c>
      <c r="E56" s="61" t="s">
        <v>46</v>
      </c>
      <c r="F56" s="62" t="s">
        <v>46</v>
      </c>
      <c r="G56" s="63" t="s">
        <v>46</v>
      </c>
      <c r="H56" s="64"/>
      <c r="I56" s="64" t="s">
        <v>47</v>
      </c>
      <c r="J56" s="65">
        <v>1</v>
      </c>
      <c r="K56" s="66">
        <f>5240</f>
        <v>5240</v>
      </c>
      <c r="L56" s="67" t="s">
        <v>853</v>
      </c>
      <c r="M56" s="66">
        <f>5240</f>
        <v>5240</v>
      </c>
      <c r="N56" s="67" t="s">
        <v>853</v>
      </c>
      <c r="O56" s="66">
        <f>4850</f>
        <v>4850</v>
      </c>
      <c r="P56" s="67" t="s">
        <v>49</v>
      </c>
      <c r="Q56" s="66">
        <f>5010</f>
        <v>5010</v>
      </c>
      <c r="R56" s="67" t="s">
        <v>873</v>
      </c>
      <c r="S56" s="68">
        <f>4984</f>
        <v>4984</v>
      </c>
      <c r="T56" s="65">
        <f>602060</f>
        <v>602060</v>
      </c>
      <c r="U56" s="65">
        <f>40600</f>
        <v>40600</v>
      </c>
      <c r="V56" s="65">
        <f>2991575327</f>
        <v>2991575327</v>
      </c>
      <c r="W56" s="65">
        <f>199659017</f>
        <v>199659017</v>
      </c>
      <c r="X56" s="69">
        <f>20</f>
        <v>20</v>
      </c>
    </row>
    <row r="57" spans="1:24">
      <c r="A57" s="60" t="s">
        <v>934</v>
      </c>
      <c r="B57" s="60" t="s">
        <v>210</v>
      </c>
      <c r="C57" s="60" t="s">
        <v>211</v>
      </c>
      <c r="D57" s="60" t="s">
        <v>212</v>
      </c>
      <c r="E57" s="61" t="s">
        <v>46</v>
      </c>
      <c r="F57" s="62" t="s">
        <v>46</v>
      </c>
      <c r="G57" s="63" t="s">
        <v>46</v>
      </c>
      <c r="H57" s="64"/>
      <c r="I57" s="64" t="s">
        <v>47</v>
      </c>
      <c r="J57" s="65">
        <v>1</v>
      </c>
      <c r="K57" s="66">
        <f>17530</f>
        <v>17530</v>
      </c>
      <c r="L57" s="67" t="s">
        <v>853</v>
      </c>
      <c r="M57" s="66">
        <f>20970</f>
        <v>20970</v>
      </c>
      <c r="N57" s="67" t="s">
        <v>49</v>
      </c>
      <c r="O57" s="66">
        <f>17530</f>
        <v>17530</v>
      </c>
      <c r="P57" s="67" t="s">
        <v>853</v>
      </c>
      <c r="Q57" s="66">
        <f>19420</f>
        <v>19420</v>
      </c>
      <c r="R57" s="67" t="s">
        <v>873</v>
      </c>
      <c r="S57" s="68">
        <f>19776.5</f>
        <v>19776.5</v>
      </c>
      <c r="T57" s="65">
        <f>21069734</f>
        <v>21069734</v>
      </c>
      <c r="U57" s="65">
        <f>10005</f>
        <v>10005</v>
      </c>
      <c r="V57" s="65">
        <f>414862280130</f>
        <v>414862280130</v>
      </c>
      <c r="W57" s="65">
        <f>186502300</f>
        <v>186502300</v>
      </c>
      <c r="X57" s="69">
        <f>20</f>
        <v>20</v>
      </c>
    </row>
    <row r="58" spans="1:24">
      <c r="A58" s="60" t="s">
        <v>934</v>
      </c>
      <c r="B58" s="60" t="s">
        <v>213</v>
      </c>
      <c r="C58" s="60" t="s">
        <v>214</v>
      </c>
      <c r="D58" s="60" t="s">
        <v>215</v>
      </c>
      <c r="E58" s="61" t="s">
        <v>46</v>
      </c>
      <c r="F58" s="62" t="s">
        <v>46</v>
      </c>
      <c r="G58" s="63" t="s">
        <v>46</v>
      </c>
      <c r="H58" s="64"/>
      <c r="I58" s="64" t="s">
        <v>47</v>
      </c>
      <c r="J58" s="65">
        <v>1</v>
      </c>
      <c r="K58" s="66">
        <f>1711</f>
        <v>1711</v>
      </c>
      <c r="L58" s="67" t="s">
        <v>853</v>
      </c>
      <c r="M58" s="66">
        <f>1711</f>
        <v>1711</v>
      </c>
      <c r="N58" s="67" t="s">
        <v>853</v>
      </c>
      <c r="O58" s="66">
        <f>1421</f>
        <v>1421</v>
      </c>
      <c r="P58" s="67" t="s">
        <v>49</v>
      </c>
      <c r="Q58" s="66">
        <f>1528</f>
        <v>1528</v>
      </c>
      <c r="R58" s="67" t="s">
        <v>873</v>
      </c>
      <c r="S58" s="68">
        <f>1509.45</f>
        <v>1509.45</v>
      </c>
      <c r="T58" s="65">
        <f>135403790</f>
        <v>135403790</v>
      </c>
      <c r="U58" s="65">
        <f>237</f>
        <v>237</v>
      </c>
      <c r="V58" s="65">
        <f>205112562662</f>
        <v>205112562662</v>
      </c>
      <c r="W58" s="65">
        <f>356050</f>
        <v>356050</v>
      </c>
      <c r="X58" s="69">
        <f>20</f>
        <v>20</v>
      </c>
    </row>
    <row r="59" spans="1:24">
      <c r="A59" s="60" t="s">
        <v>934</v>
      </c>
      <c r="B59" s="60" t="s">
        <v>216</v>
      </c>
      <c r="C59" s="60" t="s">
        <v>217</v>
      </c>
      <c r="D59" s="60" t="s">
        <v>218</v>
      </c>
      <c r="E59" s="61" t="s">
        <v>46</v>
      </c>
      <c r="F59" s="62" t="s">
        <v>46</v>
      </c>
      <c r="G59" s="63" t="s">
        <v>46</v>
      </c>
      <c r="H59" s="64" t="s">
        <v>878</v>
      </c>
      <c r="I59" s="64"/>
      <c r="J59" s="65">
        <v>1</v>
      </c>
      <c r="K59" s="66">
        <f>23980</f>
        <v>23980</v>
      </c>
      <c r="L59" s="67" t="s">
        <v>853</v>
      </c>
      <c r="M59" s="66">
        <f>27770</f>
        <v>27770</v>
      </c>
      <c r="N59" s="67" t="s">
        <v>855</v>
      </c>
      <c r="O59" s="66">
        <f>23980</f>
        <v>23980</v>
      </c>
      <c r="P59" s="67" t="s">
        <v>853</v>
      </c>
      <c r="Q59" s="66">
        <f>26000</f>
        <v>26000</v>
      </c>
      <c r="R59" s="67" t="s">
        <v>873</v>
      </c>
      <c r="S59" s="68">
        <f>26289.33</f>
        <v>26289.33</v>
      </c>
      <c r="T59" s="65">
        <f>853</f>
        <v>853</v>
      </c>
      <c r="U59" s="65" t="str">
        <f>"－"</f>
        <v>－</v>
      </c>
      <c r="V59" s="65">
        <f>22327080</f>
        <v>22327080</v>
      </c>
      <c r="W59" s="65" t="str">
        <f>"－"</f>
        <v>－</v>
      </c>
      <c r="X59" s="69">
        <f>15</f>
        <v>15</v>
      </c>
    </row>
    <row r="60" spans="1:24">
      <c r="A60" s="60" t="s">
        <v>934</v>
      </c>
      <c r="B60" s="60" t="s">
        <v>219</v>
      </c>
      <c r="C60" s="60" t="s">
        <v>220</v>
      </c>
      <c r="D60" s="60" t="s">
        <v>221</v>
      </c>
      <c r="E60" s="61" t="s">
        <v>46</v>
      </c>
      <c r="F60" s="62" t="s">
        <v>46</v>
      </c>
      <c r="G60" s="63" t="s">
        <v>46</v>
      </c>
      <c r="H60" s="64"/>
      <c r="I60" s="64" t="s">
        <v>47</v>
      </c>
      <c r="J60" s="65">
        <v>1</v>
      </c>
      <c r="K60" s="66">
        <f>14930</f>
        <v>14930</v>
      </c>
      <c r="L60" s="67" t="s">
        <v>853</v>
      </c>
      <c r="M60" s="66">
        <f>17570</f>
        <v>17570</v>
      </c>
      <c r="N60" s="67" t="s">
        <v>49</v>
      </c>
      <c r="O60" s="66">
        <f>14710</f>
        <v>14710</v>
      </c>
      <c r="P60" s="67" t="s">
        <v>853</v>
      </c>
      <c r="Q60" s="66">
        <f>16210</f>
        <v>16210</v>
      </c>
      <c r="R60" s="67" t="s">
        <v>873</v>
      </c>
      <c r="S60" s="68">
        <f>16656.5</f>
        <v>16656.5</v>
      </c>
      <c r="T60" s="65">
        <f>7442</f>
        <v>7442</v>
      </c>
      <c r="U60" s="65" t="str">
        <f>"－"</f>
        <v>－</v>
      </c>
      <c r="V60" s="65">
        <f>121668910</f>
        <v>121668910</v>
      </c>
      <c r="W60" s="65" t="str">
        <f>"－"</f>
        <v>－</v>
      </c>
      <c r="X60" s="69">
        <f>20</f>
        <v>20</v>
      </c>
    </row>
    <row r="61" spans="1:24">
      <c r="A61" s="60" t="s">
        <v>934</v>
      </c>
      <c r="B61" s="60" t="s">
        <v>222</v>
      </c>
      <c r="C61" s="60" t="s">
        <v>223</v>
      </c>
      <c r="D61" s="60" t="s">
        <v>224</v>
      </c>
      <c r="E61" s="61" t="s">
        <v>46</v>
      </c>
      <c r="F61" s="62" t="s">
        <v>46</v>
      </c>
      <c r="G61" s="63" t="s">
        <v>46</v>
      </c>
      <c r="H61" s="64"/>
      <c r="I61" s="64" t="s">
        <v>47</v>
      </c>
      <c r="J61" s="65">
        <v>1</v>
      </c>
      <c r="K61" s="66">
        <f>5080</f>
        <v>5080</v>
      </c>
      <c r="L61" s="67" t="s">
        <v>853</v>
      </c>
      <c r="M61" s="66">
        <f>5090</f>
        <v>5090</v>
      </c>
      <c r="N61" s="67" t="s">
        <v>853</v>
      </c>
      <c r="O61" s="66">
        <f>4725</f>
        <v>4725</v>
      </c>
      <c r="P61" s="67" t="s">
        <v>49</v>
      </c>
      <c r="Q61" s="66">
        <f>4880</f>
        <v>4880</v>
      </c>
      <c r="R61" s="67" t="s">
        <v>873</v>
      </c>
      <c r="S61" s="68">
        <f>4830</f>
        <v>4830</v>
      </c>
      <c r="T61" s="65">
        <f>828</f>
        <v>828</v>
      </c>
      <c r="U61" s="65">
        <f>2</f>
        <v>2</v>
      </c>
      <c r="V61" s="65">
        <f>4013845</f>
        <v>4013845</v>
      </c>
      <c r="W61" s="65">
        <f>10015</f>
        <v>10015</v>
      </c>
      <c r="X61" s="69">
        <f>18</f>
        <v>18</v>
      </c>
    </row>
    <row r="62" spans="1:24">
      <c r="A62" s="60" t="s">
        <v>934</v>
      </c>
      <c r="B62" s="60" t="s">
        <v>225</v>
      </c>
      <c r="C62" s="60" t="s">
        <v>226</v>
      </c>
      <c r="D62" s="60" t="s">
        <v>227</v>
      </c>
      <c r="E62" s="61" t="s">
        <v>46</v>
      </c>
      <c r="F62" s="62" t="s">
        <v>46</v>
      </c>
      <c r="G62" s="63" t="s">
        <v>46</v>
      </c>
      <c r="H62" s="64"/>
      <c r="I62" s="64" t="s">
        <v>47</v>
      </c>
      <c r="J62" s="65">
        <v>1</v>
      </c>
      <c r="K62" s="66">
        <f>2099</f>
        <v>2099</v>
      </c>
      <c r="L62" s="67" t="s">
        <v>853</v>
      </c>
      <c r="M62" s="66">
        <f>2099</f>
        <v>2099</v>
      </c>
      <c r="N62" s="67" t="s">
        <v>853</v>
      </c>
      <c r="O62" s="66">
        <f>1763</f>
        <v>1763</v>
      </c>
      <c r="P62" s="67" t="s">
        <v>49</v>
      </c>
      <c r="Q62" s="66">
        <f>1908</f>
        <v>1908</v>
      </c>
      <c r="R62" s="67" t="s">
        <v>873</v>
      </c>
      <c r="S62" s="68">
        <f>1875.95</f>
        <v>1875.95</v>
      </c>
      <c r="T62" s="65">
        <f>61050</f>
        <v>61050</v>
      </c>
      <c r="U62" s="65" t="str">
        <f>"－"</f>
        <v>－</v>
      </c>
      <c r="V62" s="65">
        <f>114986409</f>
        <v>114986409</v>
      </c>
      <c r="W62" s="65" t="str">
        <f>"－"</f>
        <v>－</v>
      </c>
      <c r="X62" s="69">
        <f>20</f>
        <v>20</v>
      </c>
    </row>
    <row r="63" spans="1:24">
      <c r="A63" s="60" t="s">
        <v>934</v>
      </c>
      <c r="B63" s="60" t="s">
        <v>228</v>
      </c>
      <c r="C63" s="60" t="s">
        <v>229</v>
      </c>
      <c r="D63" s="60" t="s">
        <v>230</v>
      </c>
      <c r="E63" s="61" t="s">
        <v>46</v>
      </c>
      <c r="F63" s="62" t="s">
        <v>46</v>
      </c>
      <c r="G63" s="63" t="s">
        <v>46</v>
      </c>
      <c r="H63" s="64"/>
      <c r="I63" s="64" t="s">
        <v>47</v>
      </c>
      <c r="J63" s="65">
        <v>10</v>
      </c>
      <c r="K63" s="66">
        <f>14000</f>
        <v>14000</v>
      </c>
      <c r="L63" s="67" t="s">
        <v>853</v>
      </c>
      <c r="M63" s="66">
        <f>16500</f>
        <v>16500</v>
      </c>
      <c r="N63" s="67" t="s">
        <v>49</v>
      </c>
      <c r="O63" s="66">
        <f>14000</f>
        <v>14000</v>
      </c>
      <c r="P63" s="67" t="s">
        <v>853</v>
      </c>
      <c r="Q63" s="66">
        <f>15580</f>
        <v>15580</v>
      </c>
      <c r="R63" s="67" t="s">
        <v>873</v>
      </c>
      <c r="S63" s="68">
        <f>15576.5</f>
        <v>15576.5</v>
      </c>
      <c r="T63" s="65">
        <f>13020</f>
        <v>13020</v>
      </c>
      <c r="U63" s="65">
        <f>30</f>
        <v>30</v>
      </c>
      <c r="V63" s="65">
        <f>203151600</f>
        <v>203151600</v>
      </c>
      <c r="W63" s="65">
        <f>472800</f>
        <v>472800</v>
      </c>
      <c r="X63" s="69">
        <f>20</f>
        <v>20</v>
      </c>
    </row>
    <row r="64" spans="1:24">
      <c r="A64" s="60" t="s">
        <v>934</v>
      </c>
      <c r="B64" s="60" t="s">
        <v>231</v>
      </c>
      <c r="C64" s="60" t="s">
        <v>232</v>
      </c>
      <c r="D64" s="60" t="s">
        <v>233</v>
      </c>
      <c r="E64" s="61" t="s">
        <v>46</v>
      </c>
      <c r="F64" s="62" t="s">
        <v>46</v>
      </c>
      <c r="G64" s="63" t="s">
        <v>46</v>
      </c>
      <c r="H64" s="64"/>
      <c r="I64" s="64" t="s">
        <v>47</v>
      </c>
      <c r="J64" s="65">
        <v>10</v>
      </c>
      <c r="K64" s="66">
        <f>4850</f>
        <v>4850</v>
      </c>
      <c r="L64" s="67" t="s">
        <v>857</v>
      </c>
      <c r="M64" s="66">
        <f>4850</f>
        <v>4850</v>
      </c>
      <c r="N64" s="67" t="s">
        <v>857</v>
      </c>
      <c r="O64" s="66">
        <f>4530</f>
        <v>4530</v>
      </c>
      <c r="P64" s="67" t="s">
        <v>49</v>
      </c>
      <c r="Q64" s="66">
        <f>4600</f>
        <v>4600</v>
      </c>
      <c r="R64" s="67" t="s">
        <v>88</v>
      </c>
      <c r="S64" s="68">
        <f>4639.62</f>
        <v>4639.62</v>
      </c>
      <c r="T64" s="65">
        <f>530</f>
        <v>530</v>
      </c>
      <c r="U64" s="65" t="str">
        <f>"－"</f>
        <v>－</v>
      </c>
      <c r="V64" s="65">
        <f>2459200</f>
        <v>2459200</v>
      </c>
      <c r="W64" s="65" t="str">
        <f>"－"</f>
        <v>－</v>
      </c>
      <c r="X64" s="69">
        <f>13</f>
        <v>13</v>
      </c>
    </row>
    <row r="65" spans="1:24">
      <c r="A65" s="60" t="s">
        <v>934</v>
      </c>
      <c r="B65" s="60" t="s">
        <v>234</v>
      </c>
      <c r="C65" s="60" t="s">
        <v>235</v>
      </c>
      <c r="D65" s="60" t="s">
        <v>236</v>
      </c>
      <c r="E65" s="61" t="s">
        <v>46</v>
      </c>
      <c r="F65" s="62" t="s">
        <v>46</v>
      </c>
      <c r="G65" s="63" t="s">
        <v>46</v>
      </c>
      <c r="H65" s="64"/>
      <c r="I65" s="64" t="s">
        <v>47</v>
      </c>
      <c r="J65" s="65">
        <v>10</v>
      </c>
      <c r="K65" s="66">
        <f>2075</f>
        <v>2075</v>
      </c>
      <c r="L65" s="67" t="s">
        <v>853</v>
      </c>
      <c r="M65" s="66">
        <f>2075</f>
        <v>2075</v>
      </c>
      <c r="N65" s="67" t="s">
        <v>853</v>
      </c>
      <c r="O65" s="66">
        <f>1763</f>
        <v>1763</v>
      </c>
      <c r="P65" s="67" t="s">
        <v>49</v>
      </c>
      <c r="Q65" s="66">
        <f>1897</f>
        <v>1897</v>
      </c>
      <c r="R65" s="67" t="s">
        <v>873</v>
      </c>
      <c r="S65" s="68">
        <f>1859.05</f>
        <v>1859.05</v>
      </c>
      <c r="T65" s="65">
        <f>104860</f>
        <v>104860</v>
      </c>
      <c r="U65" s="65" t="str">
        <f>"－"</f>
        <v>－</v>
      </c>
      <c r="V65" s="65">
        <f>196467380</f>
        <v>196467380</v>
      </c>
      <c r="W65" s="65" t="str">
        <f>"－"</f>
        <v>－</v>
      </c>
      <c r="X65" s="69">
        <f>20</f>
        <v>20</v>
      </c>
    </row>
    <row r="66" spans="1:24">
      <c r="A66" s="60" t="s">
        <v>934</v>
      </c>
      <c r="B66" s="60" t="s">
        <v>241</v>
      </c>
      <c r="C66" s="60" t="s">
        <v>242</v>
      </c>
      <c r="D66" s="60" t="s">
        <v>243</v>
      </c>
      <c r="E66" s="61" t="s">
        <v>46</v>
      </c>
      <c r="F66" s="62" t="s">
        <v>46</v>
      </c>
      <c r="G66" s="63" t="s">
        <v>46</v>
      </c>
      <c r="H66" s="64"/>
      <c r="I66" s="64" t="s">
        <v>47</v>
      </c>
      <c r="J66" s="65">
        <v>1</v>
      </c>
      <c r="K66" s="66">
        <f>3305</f>
        <v>3305</v>
      </c>
      <c r="L66" s="67" t="s">
        <v>853</v>
      </c>
      <c r="M66" s="66">
        <f>3350</f>
        <v>3350</v>
      </c>
      <c r="N66" s="67" t="s">
        <v>853</v>
      </c>
      <c r="O66" s="66">
        <f>3050</f>
        <v>3050</v>
      </c>
      <c r="P66" s="67" t="s">
        <v>49</v>
      </c>
      <c r="Q66" s="66">
        <f>3150</f>
        <v>3150</v>
      </c>
      <c r="R66" s="67" t="s">
        <v>873</v>
      </c>
      <c r="S66" s="68">
        <f>3141.25</f>
        <v>3141.25</v>
      </c>
      <c r="T66" s="65">
        <f>3953</f>
        <v>3953</v>
      </c>
      <c r="U66" s="65" t="str">
        <f>"－"</f>
        <v>－</v>
      </c>
      <c r="V66" s="65">
        <f>12464720</f>
        <v>12464720</v>
      </c>
      <c r="W66" s="65" t="str">
        <f>"－"</f>
        <v>－</v>
      </c>
      <c r="X66" s="69">
        <f>20</f>
        <v>20</v>
      </c>
    </row>
    <row r="67" spans="1:24">
      <c r="A67" s="60" t="s">
        <v>934</v>
      </c>
      <c r="B67" s="60" t="s">
        <v>244</v>
      </c>
      <c r="C67" s="60" t="s">
        <v>245</v>
      </c>
      <c r="D67" s="60" t="s">
        <v>246</v>
      </c>
      <c r="E67" s="61" t="s">
        <v>46</v>
      </c>
      <c r="F67" s="62" t="s">
        <v>46</v>
      </c>
      <c r="G67" s="63" t="s">
        <v>46</v>
      </c>
      <c r="H67" s="64"/>
      <c r="I67" s="64" t="s">
        <v>47</v>
      </c>
      <c r="J67" s="65">
        <v>1</v>
      </c>
      <c r="K67" s="66">
        <f>842</f>
        <v>842</v>
      </c>
      <c r="L67" s="67" t="s">
        <v>853</v>
      </c>
      <c r="M67" s="66">
        <f>842</f>
        <v>842</v>
      </c>
      <c r="N67" s="67" t="s">
        <v>853</v>
      </c>
      <c r="O67" s="66">
        <f>712</f>
        <v>712</v>
      </c>
      <c r="P67" s="67" t="s">
        <v>49</v>
      </c>
      <c r="Q67" s="66">
        <f>761</f>
        <v>761</v>
      </c>
      <c r="R67" s="67" t="s">
        <v>873</v>
      </c>
      <c r="S67" s="68">
        <f>754.4</f>
        <v>754.4</v>
      </c>
      <c r="T67" s="65">
        <f>145849</f>
        <v>145849</v>
      </c>
      <c r="U67" s="65" t="str">
        <f>"－"</f>
        <v>－</v>
      </c>
      <c r="V67" s="65">
        <f>110166256</f>
        <v>110166256</v>
      </c>
      <c r="W67" s="65" t="str">
        <f>"－"</f>
        <v>－</v>
      </c>
      <c r="X67" s="69">
        <f>20</f>
        <v>20</v>
      </c>
    </row>
    <row r="68" spans="1:24">
      <c r="A68" s="60" t="s">
        <v>934</v>
      </c>
      <c r="B68" s="60" t="s">
        <v>247</v>
      </c>
      <c r="C68" s="60" t="s">
        <v>248</v>
      </c>
      <c r="D68" s="60" t="s">
        <v>249</v>
      </c>
      <c r="E68" s="61" t="s">
        <v>46</v>
      </c>
      <c r="F68" s="62" t="s">
        <v>46</v>
      </c>
      <c r="G68" s="63" t="s">
        <v>46</v>
      </c>
      <c r="H68" s="64"/>
      <c r="I68" s="64" t="s">
        <v>47</v>
      </c>
      <c r="J68" s="65">
        <v>10</v>
      </c>
      <c r="K68" s="66">
        <f>1991</f>
        <v>1991</v>
      </c>
      <c r="L68" s="67" t="s">
        <v>853</v>
      </c>
      <c r="M68" s="66">
        <f>2145</f>
        <v>2145</v>
      </c>
      <c r="N68" s="67" t="s">
        <v>49</v>
      </c>
      <c r="O68" s="66">
        <f>1991</f>
        <v>1991</v>
      </c>
      <c r="P68" s="67" t="s">
        <v>853</v>
      </c>
      <c r="Q68" s="66">
        <f>2078</f>
        <v>2078</v>
      </c>
      <c r="R68" s="67" t="s">
        <v>873</v>
      </c>
      <c r="S68" s="68">
        <f>2090.6</f>
        <v>2090.6</v>
      </c>
      <c r="T68" s="65">
        <f>25174150</f>
        <v>25174150</v>
      </c>
      <c r="U68" s="65">
        <f>24504590</f>
        <v>24504590</v>
      </c>
      <c r="V68" s="65">
        <f>52543548660</f>
        <v>52543548660</v>
      </c>
      <c r="W68" s="65">
        <f>51145396230</f>
        <v>51145396230</v>
      </c>
      <c r="X68" s="69">
        <f>20</f>
        <v>20</v>
      </c>
    </row>
    <row r="69" spans="1:24">
      <c r="A69" s="60" t="s">
        <v>934</v>
      </c>
      <c r="B69" s="60" t="s">
        <v>250</v>
      </c>
      <c r="C69" s="60" t="s">
        <v>251</v>
      </c>
      <c r="D69" s="60" t="s">
        <v>252</v>
      </c>
      <c r="E69" s="61" t="s">
        <v>46</v>
      </c>
      <c r="F69" s="62" t="s">
        <v>46</v>
      </c>
      <c r="G69" s="63" t="s">
        <v>46</v>
      </c>
      <c r="H69" s="64"/>
      <c r="I69" s="64" t="s">
        <v>47</v>
      </c>
      <c r="J69" s="65">
        <v>1</v>
      </c>
      <c r="K69" s="66">
        <f>17860</f>
        <v>17860</v>
      </c>
      <c r="L69" s="67" t="s">
        <v>853</v>
      </c>
      <c r="M69" s="66">
        <f>19290</f>
        <v>19290</v>
      </c>
      <c r="N69" s="67" t="s">
        <v>49</v>
      </c>
      <c r="O69" s="66">
        <f>17860</f>
        <v>17860</v>
      </c>
      <c r="P69" s="67" t="s">
        <v>853</v>
      </c>
      <c r="Q69" s="66">
        <f>18560</f>
        <v>18560</v>
      </c>
      <c r="R69" s="67" t="s">
        <v>873</v>
      </c>
      <c r="S69" s="68">
        <f>18788.5</f>
        <v>18788.5</v>
      </c>
      <c r="T69" s="65">
        <f>92210</f>
        <v>92210</v>
      </c>
      <c r="U69" s="65" t="str">
        <f>"－"</f>
        <v>－</v>
      </c>
      <c r="V69" s="65">
        <f>1740531090</f>
        <v>1740531090</v>
      </c>
      <c r="W69" s="65" t="str">
        <f>"－"</f>
        <v>－</v>
      </c>
      <c r="X69" s="69">
        <f>20</f>
        <v>20</v>
      </c>
    </row>
    <row r="70" spans="1:24">
      <c r="A70" s="60" t="s">
        <v>934</v>
      </c>
      <c r="B70" s="60" t="s">
        <v>253</v>
      </c>
      <c r="C70" s="60" t="s">
        <v>254</v>
      </c>
      <c r="D70" s="60" t="s">
        <v>255</v>
      </c>
      <c r="E70" s="61" t="s">
        <v>46</v>
      </c>
      <c r="F70" s="62" t="s">
        <v>46</v>
      </c>
      <c r="G70" s="63" t="s">
        <v>46</v>
      </c>
      <c r="H70" s="64"/>
      <c r="I70" s="64" t="s">
        <v>47</v>
      </c>
      <c r="J70" s="65">
        <v>1</v>
      </c>
      <c r="K70" s="66">
        <f>2001</f>
        <v>2001</v>
      </c>
      <c r="L70" s="67" t="s">
        <v>853</v>
      </c>
      <c r="M70" s="66">
        <f>2159</f>
        <v>2159</v>
      </c>
      <c r="N70" s="67" t="s">
        <v>49</v>
      </c>
      <c r="O70" s="66">
        <f>2000</f>
        <v>2000</v>
      </c>
      <c r="P70" s="67" t="s">
        <v>853</v>
      </c>
      <c r="Q70" s="66">
        <f>2082</f>
        <v>2082</v>
      </c>
      <c r="R70" s="67" t="s">
        <v>873</v>
      </c>
      <c r="S70" s="68">
        <f>2100.85</f>
        <v>2100.85</v>
      </c>
      <c r="T70" s="65">
        <f>20041184</f>
        <v>20041184</v>
      </c>
      <c r="U70" s="65">
        <f>16060222</f>
        <v>16060222</v>
      </c>
      <c r="V70" s="65">
        <f>42116423444</f>
        <v>42116423444</v>
      </c>
      <c r="W70" s="65">
        <f>33759586631</f>
        <v>33759586631</v>
      </c>
      <c r="X70" s="69">
        <f>20</f>
        <v>20</v>
      </c>
    </row>
    <row r="71" spans="1:24">
      <c r="A71" s="60" t="s">
        <v>934</v>
      </c>
      <c r="B71" s="60" t="s">
        <v>256</v>
      </c>
      <c r="C71" s="60" t="s">
        <v>257</v>
      </c>
      <c r="D71" s="60" t="s">
        <v>258</v>
      </c>
      <c r="E71" s="61" t="s">
        <v>46</v>
      </c>
      <c r="F71" s="62" t="s">
        <v>46</v>
      </c>
      <c r="G71" s="63" t="s">
        <v>46</v>
      </c>
      <c r="H71" s="64"/>
      <c r="I71" s="64" t="s">
        <v>47</v>
      </c>
      <c r="J71" s="65">
        <v>1</v>
      </c>
      <c r="K71" s="66">
        <f>2203</f>
        <v>2203</v>
      </c>
      <c r="L71" s="67" t="s">
        <v>853</v>
      </c>
      <c r="M71" s="66">
        <f>2230</f>
        <v>2230</v>
      </c>
      <c r="N71" s="67" t="s">
        <v>77</v>
      </c>
      <c r="O71" s="66">
        <f>2141</f>
        <v>2141</v>
      </c>
      <c r="P71" s="67" t="s">
        <v>132</v>
      </c>
      <c r="Q71" s="66">
        <f>2145</f>
        <v>2145</v>
      </c>
      <c r="R71" s="67" t="s">
        <v>873</v>
      </c>
      <c r="S71" s="68">
        <f>2188.5</f>
        <v>2188.5</v>
      </c>
      <c r="T71" s="65">
        <f>2871960</f>
        <v>2871960</v>
      </c>
      <c r="U71" s="65">
        <f>173392</f>
        <v>173392</v>
      </c>
      <c r="V71" s="65">
        <f>6271219861</f>
        <v>6271219861</v>
      </c>
      <c r="W71" s="65">
        <f>375202988</f>
        <v>375202988</v>
      </c>
      <c r="X71" s="69">
        <f>20</f>
        <v>20</v>
      </c>
    </row>
    <row r="72" spans="1:24">
      <c r="A72" s="60" t="s">
        <v>934</v>
      </c>
      <c r="B72" s="60" t="s">
        <v>259</v>
      </c>
      <c r="C72" s="60" t="s">
        <v>260</v>
      </c>
      <c r="D72" s="60" t="s">
        <v>261</v>
      </c>
      <c r="E72" s="61" t="s">
        <v>46</v>
      </c>
      <c r="F72" s="62" t="s">
        <v>46</v>
      </c>
      <c r="G72" s="63" t="s">
        <v>46</v>
      </c>
      <c r="H72" s="64"/>
      <c r="I72" s="64" t="s">
        <v>47</v>
      </c>
      <c r="J72" s="65">
        <v>1</v>
      </c>
      <c r="K72" s="66">
        <f>1885</f>
        <v>1885</v>
      </c>
      <c r="L72" s="67" t="s">
        <v>853</v>
      </c>
      <c r="M72" s="66">
        <f>2028</f>
        <v>2028</v>
      </c>
      <c r="N72" s="67" t="s">
        <v>856</v>
      </c>
      <c r="O72" s="66">
        <f>1885</f>
        <v>1885</v>
      </c>
      <c r="P72" s="67" t="s">
        <v>853</v>
      </c>
      <c r="Q72" s="66">
        <f>1961</f>
        <v>1961</v>
      </c>
      <c r="R72" s="67" t="s">
        <v>873</v>
      </c>
      <c r="S72" s="68">
        <f>1972.7</f>
        <v>1972.7</v>
      </c>
      <c r="T72" s="65">
        <f>44969</f>
        <v>44969</v>
      </c>
      <c r="U72" s="65">
        <f>3</f>
        <v>3</v>
      </c>
      <c r="V72" s="65">
        <f>89456141</f>
        <v>89456141</v>
      </c>
      <c r="W72" s="65">
        <f>5904</f>
        <v>5904</v>
      </c>
      <c r="X72" s="69">
        <f>20</f>
        <v>20</v>
      </c>
    </row>
    <row r="73" spans="1:24">
      <c r="A73" s="60" t="s">
        <v>934</v>
      </c>
      <c r="B73" s="60" t="s">
        <v>262</v>
      </c>
      <c r="C73" s="60" t="s">
        <v>263</v>
      </c>
      <c r="D73" s="60" t="s">
        <v>264</v>
      </c>
      <c r="E73" s="61" t="s">
        <v>46</v>
      </c>
      <c r="F73" s="62" t="s">
        <v>46</v>
      </c>
      <c r="G73" s="63" t="s">
        <v>46</v>
      </c>
      <c r="H73" s="64"/>
      <c r="I73" s="64" t="s">
        <v>47</v>
      </c>
      <c r="J73" s="65">
        <v>1</v>
      </c>
      <c r="K73" s="66">
        <f>2115</f>
        <v>2115</v>
      </c>
      <c r="L73" s="67" t="s">
        <v>853</v>
      </c>
      <c r="M73" s="66">
        <f>2292</f>
        <v>2292</v>
      </c>
      <c r="N73" s="67" t="s">
        <v>49</v>
      </c>
      <c r="O73" s="66">
        <f>2114</f>
        <v>2114</v>
      </c>
      <c r="P73" s="67" t="s">
        <v>853</v>
      </c>
      <c r="Q73" s="66">
        <f>2233</f>
        <v>2233</v>
      </c>
      <c r="R73" s="67" t="s">
        <v>873</v>
      </c>
      <c r="S73" s="68">
        <f>2235.15</f>
        <v>2235.15</v>
      </c>
      <c r="T73" s="65">
        <f>142287</f>
        <v>142287</v>
      </c>
      <c r="U73" s="65">
        <f>5</f>
        <v>5</v>
      </c>
      <c r="V73" s="65">
        <f>316740691</f>
        <v>316740691</v>
      </c>
      <c r="W73" s="65">
        <f>11318</f>
        <v>11318</v>
      </c>
      <c r="X73" s="69">
        <f>20</f>
        <v>20</v>
      </c>
    </row>
    <row r="74" spans="1:24">
      <c r="A74" s="60" t="s">
        <v>934</v>
      </c>
      <c r="B74" s="60" t="s">
        <v>265</v>
      </c>
      <c r="C74" s="60" t="s">
        <v>266</v>
      </c>
      <c r="D74" s="60" t="s">
        <v>267</v>
      </c>
      <c r="E74" s="61" t="s">
        <v>46</v>
      </c>
      <c r="F74" s="62" t="s">
        <v>46</v>
      </c>
      <c r="G74" s="63" t="s">
        <v>46</v>
      </c>
      <c r="H74" s="64"/>
      <c r="I74" s="64" t="s">
        <v>47</v>
      </c>
      <c r="J74" s="65">
        <v>1</v>
      </c>
      <c r="K74" s="66">
        <f>24240</f>
        <v>24240</v>
      </c>
      <c r="L74" s="67" t="s">
        <v>853</v>
      </c>
      <c r="M74" s="66">
        <f>26000</f>
        <v>26000</v>
      </c>
      <c r="N74" s="67" t="s">
        <v>49</v>
      </c>
      <c r="O74" s="66">
        <f>24200</f>
        <v>24200</v>
      </c>
      <c r="P74" s="67" t="s">
        <v>853</v>
      </c>
      <c r="Q74" s="66">
        <f>25140</f>
        <v>25140</v>
      </c>
      <c r="R74" s="67" t="s">
        <v>50</v>
      </c>
      <c r="S74" s="68">
        <f>25256.92</f>
        <v>25256.92</v>
      </c>
      <c r="T74" s="65">
        <f>90</f>
        <v>90</v>
      </c>
      <c r="U74" s="65" t="str">
        <f>"－"</f>
        <v>－</v>
      </c>
      <c r="V74" s="65">
        <f>2245240</f>
        <v>2245240</v>
      </c>
      <c r="W74" s="65" t="str">
        <f>"－"</f>
        <v>－</v>
      </c>
      <c r="X74" s="69">
        <f>13</f>
        <v>13</v>
      </c>
    </row>
    <row r="75" spans="1:24">
      <c r="A75" s="60" t="s">
        <v>934</v>
      </c>
      <c r="B75" s="60" t="s">
        <v>269</v>
      </c>
      <c r="C75" s="60" t="s">
        <v>270</v>
      </c>
      <c r="D75" s="60" t="s">
        <v>271</v>
      </c>
      <c r="E75" s="61" t="s">
        <v>46</v>
      </c>
      <c r="F75" s="62" t="s">
        <v>46</v>
      </c>
      <c r="G75" s="63" t="s">
        <v>46</v>
      </c>
      <c r="H75" s="64"/>
      <c r="I75" s="64" t="s">
        <v>47</v>
      </c>
      <c r="J75" s="65">
        <v>1</v>
      </c>
      <c r="K75" s="66">
        <f>19870</f>
        <v>19870</v>
      </c>
      <c r="L75" s="67" t="s">
        <v>853</v>
      </c>
      <c r="M75" s="66">
        <f>21190</f>
        <v>21190</v>
      </c>
      <c r="N75" s="67" t="s">
        <v>49</v>
      </c>
      <c r="O75" s="66">
        <f>19550</f>
        <v>19550</v>
      </c>
      <c r="P75" s="67" t="s">
        <v>858</v>
      </c>
      <c r="Q75" s="66">
        <f>20700</f>
        <v>20700</v>
      </c>
      <c r="R75" s="67" t="s">
        <v>88</v>
      </c>
      <c r="S75" s="68">
        <f>20648</f>
        <v>20648</v>
      </c>
      <c r="T75" s="65">
        <f>559</f>
        <v>559</v>
      </c>
      <c r="U75" s="65" t="str">
        <f>"－"</f>
        <v>－</v>
      </c>
      <c r="V75" s="65">
        <f>11616940</f>
        <v>11616940</v>
      </c>
      <c r="W75" s="65" t="str">
        <f>"－"</f>
        <v>－</v>
      </c>
      <c r="X75" s="69">
        <f>10</f>
        <v>10</v>
      </c>
    </row>
    <row r="76" spans="1:24">
      <c r="A76" s="60" t="s">
        <v>934</v>
      </c>
      <c r="B76" s="60" t="s">
        <v>272</v>
      </c>
      <c r="C76" s="60" t="s">
        <v>273</v>
      </c>
      <c r="D76" s="60" t="s">
        <v>274</v>
      </c>
      <c r="E76" s="61" t="s">
        <v>46</v>
      </c>
      <c r="F76" s="62" t="s">
        <v>46</v>
      </c>
      <c r="G76" s="63" t="s">
        <v>46</v>
      </c>
      <c r="H76" s="64"/>
      <c r="I76" s="64" t="s">
        <v>47</v>
      </c>
      <c r="J76" s="65">
        <v>1</v>
      </c>
      <c r="K76" s="66">
        <f>1961</f>
        <v>1961</v>
      </c>
      <c r="L76" s="67" t="s">
        <v>853</v>
      </c>
      <c r="M76" s="66">
        <f>2100</f>
        <v>2100</v>
      </c>
      <c r="N76" s="67" t="s">
        <v>49</v>
      </c>
      <c r="O76" s="66">
        <f>1961</f>
        <v>1961</v>
      </c>
      <c r="P76" s="67" t="s">
        <v>853</v>
      </c>
      <c r="Q76" s="66">
        <f>2035</f>
        <v>2035</v>
      </c>
      <c r="R76" s="67" t="s">
        <v>873</v>
      </c>
      <c r="S76" s="68">
        <f>2050.2</f>
        <v>2050.1999999999998</v>
      </c>
      <c r="T76" s="65">
        <f>1976</f>
        <v>1976</v>
      </c>
      <c r="U76" s="65" t="str">
        <f>"－"</f>
        <v>－</v>
      </c>
      <c r="V76" s="65">
        <f>4062796</f>
        <v>4062796</v>
      </c>
      <c r="W76" s="65" t="str">
        <f>"－"</f>
        <v>－</v>
      </c>
      <c r="X76" s="69">
        <f>20</f>
        <v>20</v>
      </c>
    </row>
    <row r="77" spans="1:24">
      <c r="A77" s="60" t="s">
        <v>934</v>
      </c>
      <c r="B77" s="60" t="s">
        <v>275</v>
      </c>
      <c r="C77" s="60" t="s">
        <v>276</v>
      </c>
      <c r="D77" s="60" t="s">
        <v>277</v>
      </c>
      <c r="E77" s="61" t="s">
        <v>46</v>
      </c>
      <c r="F77" s="62" t="s">
        <v>46</v>
      </c>
      <c r="G77" s="63" t="s">
        <v>46</v>
      </c>
      <c r="H77" s="64"/>
      <c r="I77" s="64" t="s">
        <v>47</v>
      </c>
      <c r="J77" s="65">
        <v>1</v>
      </c>
      <c r="K77" s="66">
        <f>2387</f>
        <v>2387</v>
      </c>
      <c r="L77" s="67" t="s">
        <v>853</v>
      </c>
      <c r="M77" s="66">
        <f>2393</f>
        <v>2393</v>
      </c>
      <c r="N77" s="67" t="s">
        <v>69</v>
      </c>
      <c r="O77" s="66">
        <f>2339</f>
        <v>2339</v>
      </c>
      <c r="P77" s="67" t="s">
        <v>50</v>
      </c>
      <c r="Q77" s="66">
        <f>2346</f>
        <v>2346</v>
      </c>
      <c r="R77" s="67" t="s">
        <v>873</v>
      </c>
      <c r="S77" s="68">
        <f>2376.25</f>
        <v>2376.25</v>
      </c>
      <c r="T77" s="65">
        <f>1808381</f>
        <v>1808381</v>
      </c>
      <c r="U77" s="65">
        <f>288000</f>
        <v>288000</v>
      </c>
      <c r="V77" s="65">
        <f>4281966411</f>
        <v>4281966411</v>
      </c>
      <c r="W77" s="65">
        <f>683723504</f>
        <v>683723504</v>
      </c>
      <c r="X77" s="69">
        <f>20</f>
        <v>20</v>
      </c>
    </row>
    <row r="78" spans="1:24">
      <c r="A78" s="60" t="s">
        <v>934</v>
      </c>
      <c r="B78" s="60" t="s">
        <v>278</v>
      </c>
      <c r="C78" s="60" t="s">
        <v>279</v>
      </c>
      <c r="D78" s="60" t="s">
        <v>280</v>
      </c>
      <c r="E78" s="61" t="s">
        <v>46</v>
      </c>
      <c r="F78" s="62" t="s">
        <v>46</v>
      </c>
      <c r="G78" s="63" t="s">
        <v>46</v>
      </c>
      <c r="H78" s="64"/>
      <c r="I78" s="64" t="s">
        <v>47</v>
      </c>
      <c r="J78" s="65">
        <v>1</v>
      </c>
      <c r="K78" s="66">
        <f>1947</f>
        <v>1947</v>
      </c>
      <c r="L78" s="67" t="s">
        <v>853</v>
      </c>
      <c r="M78" s="66">
        <f>2102</f>
        <v>2102</v>
      </c>
      <c r="N78" s="67" t="s">
        <v>855</v>
      </c>
      <c r="O78" s="66">
        <f>1946</f>
        <v>1946</v>
      </c>
      <c r="P78" s="67" t="s">
        <v>857</v>
      </c>
      <c r="Q78" s="66">
        <f>2024</f>
        <v>2024</v>
      </c>
      <c r="R78" s="67" t="s">
        <v>873</v>
      </c>
      <c r="S78" s="68">
        <f>2043.2</f>
        <v>2043.2</v>
      </c>
      <c r="T78" s="65">
        <f>1842</f>
        <v>1842</v>
      </c>
      <c r="U78" s="65" t="str">
        <f>"－"</f>
        <v>－</v>
      </c>
      <c r="V78" s="65">
        <f>3753526</f>
        <v>3753526</v>
      </c>
      <c r="W78" s="65" t="str">
        <f>"－"</f>
        <v>－</v>
      </c>
      <c r="X78" s="69">
        <f>20</f>
        <v>20</v>
      </c>
    </row>
    <row r="79" spans="1:24">
      <c r="A79" s="60" t="s">
        <v>934</v>
      </c>
      <c r="B79" s="60" t="s">
        <v>281</v>
      </c>
      <c r="C79" s="60" t="s">
        <v>282</v>
      </c>
      <c r="D79" s="60" t="s">
        <v>283</v>
      </c>
      <c r="E79" s="61" t="s">
        <v>46</v>
      </c>
      <c r="F79" s="62" t="s">
        <v>46</v>
      </c>
      <c r="G79" s="63" t="s">
        <v>46</v>
      </c>
      <c r="H79" s="64"/>
      <c r="I79" s="64" t="s">
        <v>47</v>
      </c>
      <c r="J79" s="65">
        <v>10</v>
      </c>
      <c r="K79" s="66">
        <f>1942</f>
        <v>1942</v>
      </c>
      <c r="L79" s="67" t="s">
        <v>853</v>
      </c>
      <c r="M79" s="66">
        <f>2077</f>
        <v>2077</v>
      </c>
      <c r="N79" s="67" t="s">
        <v>49</v>
      </c>
      <c r="O79" s="66">
        <f>1941</f>
        <v>1941</v>
      </c>
      <c r="P79" s="67" t="s">
        <v>853</v>
      </c>
      <c r="Q79" s="66">
        <f>2004</f>
        <v>2004</v>
      </c>
      <c r="R79" s="67" t="s">
        <v>873</v>
      </c>
      <c r="S79" s="68">
        <f>2026.1</f>
        <v>2026.1</v>
      </c>
      <c r="T79" s="65">
        <f>23470</f>
        <v>23470</v>
      </c>
      <c r="U79" s="65" t="str">
        <f>"－"</f>
        <v>－</v>
      </c>
      <c r="V79" s="65">
        <f>47666010</f>
        <v>47666010</v>
      </c>
      <c r="W79" s="65" t="str">
        <f>"－"</f>
        <v>－</v>
      </c>
      <c r="X79" s="69">
        <f>20</f>
        <v>20</v>
      </c>
    </row>
    <row r="80" spans="1:24">
      <c r="A80" s="60" t="s">
        <v>934</v>
      </c>
      <c r="B80" s="60" t="s">
        <v>284</v>
      </c>
      <c r="C80" s="60" t="s">
        <v>285</v>
      </c>
      <c r="D80" s="60" t="s">
        <v>286</v>
      </c>
      <c r="E80" s="61" t="s">
        <v>46</v>
      </c>
      <c r="F80" s="62" t="s">
        <v>46</v>
      </c>
      <c r="G80" s="63" t="s">
        <v>46</v>
      </c>
      <c r="H80" s="64"/>
      <c r="I80" s="64" t="s">
        <v>47</v>
      </c>
      <c r="J80" s="65">
        <v>1</v>
      </c>
      <c r="K80" s="66">
        <f>30550</f>
        <v>30550</v>
      </c>
      <c r="L80" s="67" t="s">
        <v>857</v>
      </c>
      <c r="M80" s="66">
        <f>32650</f>
        <v>32650</v>
      </c>
      <c r="N80" s="67" t="s">
        <v>172</v>
      </c>
      <c r="O80" s="66">
        <f>30550</f>
        <v>30550</v>
      </c>
      <c r="P80" s="67" t="s">
        <v>857</v>
      </c>
      <c r="Q80" s="66">
        <f>32200</f>
        <v>32200</v>
      </c>
      <c r="R80" s="67" t="s">
        <v>50</v>
      </c>
      <c r="S80" s="68">
        <f>31994.44</f>
        <v>31994.44</v>
      </c>
      <c r="T80" s="65">
        <f>40</f>
        <v>40</v>
      </c>
      <c r="U80" s="65" t="str">
        <f>"－"</f>
        <v>－</v>
      </c>
      <c r="V80" s="65">
        <f>1279350</f>
        <v>1279350</v>
      </c>
      <c r="W80" s="65" t="str">
        <f>"－"</f>
        <v>－</v>
      </c>
      <c r="X80" s="69">
        <f>9</f>
        <v>9</v>
      </c>
    </row>
    <row r="81" spans="1:24">
      <c r="A81" s="60" t="s">
        <v>934</v>
      </c>
      <c r="B81" s="60" t="s">
        <v>287</v>
      </c>
      <c r="C81" s="60" t="s">
        <v>288</v>
      </c>
      <c r="D81" s="60" t="s">
        <v>289</v>
      </c>
      <c r="E81" s="61" t="s">
        <v>46</v>
      </c>
      <c r="F81" s="62" t="s">
        <v>46</v>
      </c>
      <c r="G81" s="63" t="s">
        <v>46</v>
      </c>
      <c r="H81" s="64"/>
      <c r="I81" s="64" t="s">
        <v>47</v>
      </c>
      <c r="J81" s="65">
        <v>1</v>
      </c>
      <c r="K81" s="66">
        <f>21630</f>
        <v>21630</v>
      </c>
      <c r="L81" s="67" t="s">
        <v>853</v>
      </c>
      <c r="M81" s="66">
        <f>21660</f>
        <v>21660</v>
      </c>
      <c r="N81" s="67" t="s">
        <v>858</v>
      </c>
      <c r="O81" s="66">
        <f>21420</f>
        <v>21420</v>
      </c>
      <c r="P81" s="67" t="s">
        <v>132</v>
      </c>
      <c r="Q81" s="66">
        <f>21640</f>
        <v>21640</v>
      </c>
      <c r="R81" s="67" t="s">
        <v>873</v>
      </c>
      <c r="S81" s="68">
        <f>21555</f>
        <v>21555</v>
      </c>
      <c r="T81" s="65">
        <f>35867</f>
        <v>35867</v>
      </c>
      <c r="U81" s="65">
        <f>12844</f>
        <v>12844</v>
      </c>
      <c r="V81" s="65">
        <f>771927319</f>
        <v>771927319</v>
      </c>
      <c r="W81" s="65">
        <f>276781469</f>
        <v>276781469</v>
      </c>
      <c r="X81" s="69">
        <f>20</f>
        <v>20</v>
      </c>
    </row>
    <row r="82" spans="1:24">
      <c r="A82" s="60" t="s">
        <v>934</v>
      </c>
      <c r="B82" s="60" t="s">
        <v>290</v>
      </c>
      <c r="C82" s="60" t="s">
        <v>291</v>
      </c>
      <c r="D82" s="60" t="s">
        <v>292</v>
      </c>
      <c r="E82" s="61" t="s">
        <v>46</v>
      </c>
      <c r="F82" s="62" t="s">
        <v>46</v>
      </c>
      <c r="G82" s="63" t="s">
        <v>46</v>
      </c>
      <c r="H82" s="64"/>
      <c r="I82" s="64" t="s">
        <v>47</v>
      </c>
      <c r="J82" s="65">
        <v>1</v>
      </c>
      <c r="K82" s="66">
        <f>18570</f>
        <v>18570</v>
      </c>
      <c r="L82" s="67" t="s">
        <v>853</v>
      </c>
      <c r="M82" s="66">
        <f>18610</f>
        <v>18610</v>
      </c>
      <c r="N82" s="67" t="s">
        <v>69</v>
      </c>
      <c r="O82" s="66">
        <f>18200</f>
        <v>18200</v>
      </c>
      <c r="P82" s="67" t="s">
        <v>50</v>
      </c>
      <c r="Q82" s="66">
        <f>18270</f>
        <v>18270</v>
      </c>
      <c r="R82" s="67" t="s">
        <v>873</v>
      </c>
      <c r="S82" s="68">
        <f>18482.11</f>
        <v>18482.11</v>
      </c>
      <c r="T82" s="65">
        <f>152851</f>
        <v>152851</v>
      </c>
      <c r="U82" s="65">
        <f>46300</f>
        <v>46300</v>
      </c>
      <c r="V82" s="65">
        <f>2805729795</f>
        <v>2805729795</v>
      </c>
      <c r="W82" s="65">
        <f>852212515</f>
        <v>852212515</v>
      </c>
      <c r="X82" s="69">
        <f>19</f>
        <v>19</v>
      </c>
    </row>
    <row r="83" spans="1:24">
      <c r="A83" s="60" t="s">
        <v>934</v>
      </c>
      <c r="B83" s="60" t="s">
        <v>293</v>
      </c>
      <c r="C83" s="60" t="s">
        <v>294</v>
      </c>
      <c r="D83" s="60" t="s">
        <v>295</v>
      </c>
      <c r="E83" s="61" t="s">
        <v>46</v>
      </c>
      <c r="F83" s="62" t="s">
        <v>46</v>
      </c>
      <c r="G83" s="63" t="s">
        <v>46</v>
      </c>
      <c r="H83" s="64"/>
      <c r="I83" s="64" t="s">
        <v>47</v>
      </c>
      <c r="J83" s="65">
        <v>10</v>
      </c>
      <c r="K83" s="66">
        <f>2218</f>
        <v>2218</v>
      </c>
      <c r="L83" s="67" t="s">
        <v>853</v>
      </c>
      <c r="M83" s="66">
        <f>2226</f>
        <v>2226</v>
      </c>
      <c r="N83" s="67" t="s">
        <v>853</v>
      </c>
      <c r="O83" s="66">
        <f>2130</f>
        <v>2130</v>
      </c>
      <c r="P83" s="67" t="s">
        <v>132</v>
      </c>
      <c r="Q83" s="66">
        <f>2130</f>
        <v>2130</v>
      </c>
      <c r="R83" s="67" t="s">
        <v>873</v>
      </c>
      <c r="S83" s="68">
        <f>2179.1</f>
        <v>2179.1</v>
      </c>
      <c r="T83" s="65">
        <f>928580</f>
        <v>928580</v>
      </c>
      <c r="U83" s="65">
        <f>316470</f>
        <v>316470</v>
      </c>
      <c r="V83" s="65">
        <f>2020146204</f>
        <v>2020146204</v>
      </c>
      <c r="W83" s="65">
        <f>688438094</f>
        <v>688438094</v>
      </c>
      <c r="X83" s="69">
        <f>20</f>
        <v>20</v>
      </c>
    </row>
    <row r="84" spans="1:24">
      <c r="A84" s="60" t="s">
        <v>934</v>
      </c>
      <c r="B84" s="60" t="s">
        <v>296</v>
      </c>
      <c r="C84" s="60" t="s">
        <v>297</v>
      </c>
      <c r="D84" s="60" t="s">
        <v>298</v>
      </c>
      <c r="E84" s="61" t="s">
        <v>46</v>
      </c>
      <c r="F84" s="62" t="s">
        <v>46</v>
      </c>
      <c r="G84" s="63" t="s">
        <v>46</v>
      </c>
      <c r="H84" s="64"/>
      <c r="I84" s="64" t="s">
        <v>47</v>
      </c>
      <c r="J84" s="65">
        <v>1</v>
      </c>
      <c r="K84" s="66">
        <f>35850</f>
        <v>35850</v>
      </c>
      <c r="L84" s="67" t="s">
        <v>853</v>
      </c>
      <c r="M84" s="66">
        <f>38850</f>
        <v>38850</v>
      </c>
      <c r="N84" s="67" t="s">
        <v>73</v>
      </c>
      <c r="O84" s="66">
        <f>35850</f>
        <v>35850</v>
      </c>
      <c r="P84" s="67" t="s">
        <v>853</v>
      </c>
      <c r="Q84" s="66">
        <f>38200</f>
        <v>38200</v>
      </c>
      <c r="R84" s="67" t="s">
        <v>873</v>
      </c>
      <c r="S84" s="68">
        <f>37902.5</f>
        <v>37902.5</v>
      </c>
      <c r="T84" s="65">
        <f>82032</f>
        <v>82032</v>
      </c>
      <c r="U84" s="65">
        <f>5360</f>
        <v>5360</v>
      </c>
      <c r="V84" s="65">
        <f>3097816398</f>
        <v>3097816398</v>
      </c>
      <c r="W84" s="65">
        <f>199604148</f>
        <v>199604148</v>
      </c>
      <c r="X84" s="69">
        <f>20</f>
        <v>20</v>
      </c>
    </row>
    <row r="85" spans="1:24">
      <c r="A85" s="60" t="s">
        <v>934</v>
      </c>
      <c r="B85" s="60" t="s">
        <v>299</v>
      </c>
      <c r="C85" s="60" t="s">
        <v>300</v>
      </c>
      <c r="D85" s="60" t="s">
        <v>301</v>
      </c>
      <c r="E85" s="61" t="s">
        <v>46</v>
      </c>
      <c r="F85" s="62" t="s">
        <v>46</v>
      </c>
      <c r="G85" s="63" t="s">
        <v>46</v>
      </c>
      <c r="H85" s="64"/>
      <c r="I85" s="64" t="s">
        <v>47</v>
      </c>
      <c r="J85" s="65">
        <v>10</v>
      </c>
      <c r="K85" s="66">
        <f>7590</f>
        <v>7590</v>
      </c>
      <c r="L85" s="67" t="s">
        <v>857</v>
      </c>
      <c r="M85" s="66">
        <f>7590</f>
        <v>7590</v>
      </c>
      <c r="N85" s="67" t="s">
        <v>857</v>
      </c>
      <c r="O85" s="66">
        <f>7550</f>
        <v>7550</v>
      </c>
      <c r="P85" s="67" t="s">
        <v>96</v>
      </c>
      <c r="Q85" s="66">
        <f>7550</f>
        <v>7550</v>
      </c>
      <c r="R85" s="67" t="s">
        <v>96</v>
      </c>
      <c r="S85" s="68">
        <f>7570</f>
        <v>7570</v>
      </c>
      <c r="T85" s="65">
        <f>77540</f>
        <v>77540</v>
      </c>
      <c r="U85" s="65">
        <f>77400</f>
        <v>77400</v>
      </c>
      <c r="V85" s="65">
        <f>583848000</f>
        <v>583848000</v>
      </c>
      <c r="W85" s="65">
        <f>582788600</f>
        <v>582788600</v>
      </c>
      <c r="X85" s="69">
        <f>2</f>
        <v>2</v>
      </c>
    </row>
    <row r="86" spans="1:24">
      <c r="A86" s="60" t="s">
        <v>934</v>
      </c>
      <c r="B86" s="60" t="s">
        <v>302</v>
      </c>
      <c r="C86" s="60" t="s">
        <v>303</v>
      </c>
      <c r="D86" s="60" t="s">
        <v>304</v>
      </c>
      <c r="E86" s="61" t="s">
        <v>46</v>
      </c>
      <c r="F86" s="62" t="s">
        <v>46</v>
      </c>
      <c r="G86" s="63" t="s">
        <v>46</v>
      </c>
      <c r="H86" s="64"/>
      <c r="I86" s="64" t="s">
        <v>47</v>
      </c>
      <c r="J86" s="65">
        <v>1</v>
      </c>
      <c r="K86" s="66">
        <f>16700</f>
        <v>16700</v>
      </c>
      <c r="L86" s="67" t="s">
        <v>853</v>
      </c>
      <c r="M86" s="66">
        <f>18000</f>
        <v>18000</v>
      </c>
      <c r="N86" s="67" t="s">
        <v>49</v>
      </c>
      <c r="O86" s="66">
        <f>16610</f>
        <v>16610</v>
      </c>
      <c r="P86" s="67" t="s">
        <v>853</v>
      </c>
      <c r="Q86" s="66">
        <f>17230</f>
        <v>17230</v>
      </c>
      <c r="R86" s="67" t="s">
        <v>873</v>
      </c>
      <c r="S86" s="68">
        <f>17392</f>
        <v>17392</v>
      </c>
      <c r="T86" s="65">
        <f>1901</f>
        <v>1901</v>
      </c>
      <c r="U86" s="65">
        <f>1</f>
        <v>1</v>
      </c>
      <c r="V86" s="65">
        <f>32838200</f>
        <v>32838200</v>
      </c>
      <c r="W86" s="65">
        <f>16950</f>
        <v>16950</v>
      </c>
      <c r="X86" s="69">
        <f>20</f>
        <v>20</v>
      </c>
    </row>
    <row r="87" spans="1:24">
      <c r="A87" s="60" t="s">
        <v>934</v>
      </c>
      <c r="B87" s="60" t="s">
        <v>305</v>
      </c>
      <c r="C87" s="60" t="s">
        <v>306</v>
      </c>
      <c r="D87" s="60" t="s">
        <v>307</v>
      </c>
      <c r="E87" s="61" t="s">
        <v>46</v>
      </c>
      <c r="F87" s="62" t="s">
        <v>46</v>
      </c>
      <c r="G87" s="63" t="s">
        <v>46</v>
      </c>
      <c r="H87" s="64"/>
      <c r="I87" s="64" t="s">
        <v>47</v>
      </c>
      <c r="J87" s="65">
        <v>1</v>
      </c>
      <c r="K87" s="66">
        <f>16770</f>
        <v>16770</v>
      </c>
      <c r="L87" s="67" t="s">
        <v>853</v>
      </c>
      <c r="M87" s="66">
        <f>17870</f>
        <v>17870</v>
      </c>
      <c r="N87" s="67" t="s">
        <v>49</v>
      </c>
      <c r="O87" s="66">
        <f>16550</f>
        <v>16550</v>
      </c>
      <c r="P87" s="67" t="s">
        <v>853</v>
      </c>
      <c r="Q87" s="66">
        <f>17130</f>
        <v>17130</v>
      </c>
      <c r="R87" s="67" t="s">
        <v>873</v>
      </c>
      <c r="S87" s="68">
        <f>17275.5</f>
        <v>17275.5</v>
      </c>
      <c r="T87" s="65">
        <f>5636</f>
        <v>5636</v>
      </c>
      <c r="U87" s="65" t="str">
        <f>"－"</f>
        <v>－</v>
      </c>
      <c r="V87" s="65">
        <f>97719470</f>
        <v>97719470</v>
      </c>
      <c r="W87" s="65" t="str">
        <f>"－"</f>
        <v>－</v>
      </c>
      <c r="X87" s="69">
        <f>20</f>
        <v>20</v>
      </c>
    </row>
    <row r="88" spans="1:24">
      <c r="A88" s="60" t="s">
        <v>934</v>
      </c>
      <c r="B88" s="60" t="s">
        <v>308</v>
      </c>
      <c r="C88" s="60" t="s">
        <v>309</v>
      </c>
      <c r="D88" s="60" t="s">
        <v>310</v>
      </c>
      <c r="E88" s="61" t="s">
        <v>46</v>
      </c>
      <c r="F88" s="62" t="s">
        <v>46</v>
      </c>
      <c r="G88" s="63" t="s">
        <v>46</v>
      </c>
      <c r="H88" s="64"/>
      <c r="I88" s="64" t="s">
        <v>47</v>
      </c>
      <c r="J88" s="65">
        <v>1</v>
      </c>
      <c r="K88" s="66">
        <f>18970</f>
        <v>18970</v>
      </c>
      <c r="L88" s="67" t="s">
        <v>853</v>
      </c>
      <c r="M88" s="66">
        <f>20280</f>
        <v>20280</v>
      </c>
      <c r="N88" s="67" t="s">
        <v>49</v>
      </c>
      <c r="O88" s="66">
        <f>18920</f>
        <v>18920</v>
      </c>
      <c r="P88" s="67" t="s">
        <v>853</v>
      </c>
      <c r="Q88" s="66">
        <f>19730</f>
        <v>19730</v>
      </c>
      <c r="R88" s="67" t="s">
        <v>873</v>
      </c>
      <c r="S88" s="68">
        <f>19699.5</f>
        <v>19699.5</v>
      </c>
      <c r="T88" s="65">
        <f>5761</f>
        <v>5761</v>
      </c>
      <c r="U88" s="65" t="str">
        <f>"－"</f>
        <v>－</v>
      </c>
      <c r="V88" s="65">
        <f>114153740</f>
        <v>114153740</v>
      </c>
      <c r="W88" s="65" t="str">
        <f>"－"</f>
        <v>－</v>
      </c>
      <c r="X88" s="69">
        <f>20</f>
        <v>20</v>
      </c>
    </row>
    <row r="89" spans="1:24">
      <c r="A89" s="60" t="s">
        <v>934</v>
      </c>
      <c r="B89" s="60" t="s">
        <v>311</v>
      </c>
      <c r="C89" s="60" t="s">
        <v>312</v>
      </c>
      <c r="D89" s="60" t="s">
        <v>313</v>
      </c>
      <c r="E89" s="61" t="s">
        <v>46</v>
      </c>
      <c r="F89" s="62" t="s">
        <v>46</v>
      </c>
      <c r="G89" s="63" t="s">
        <v>46</v>
      </c>
      <c r="H89" s="64"/>
      <c r="I89" s="64" t="s">
        <v>47</v>
      </c>
      <c r="J89" s="65">
        <v>10</v>
      </c>
      <c r="K89" s="66">
        <f>10420</f>
        <v>10420</v>
      </c>
      <c r="L89" s="67" t="s">
        <v>853</v>
      </c>
      <c r="M89" s="66">
        <f>10580</f>
        <v>10580</v>
      </c>
      <c r="N89" s="67" t="s">
        <v>858</v>
      </c>
      <c r="O89" s="66">
        <f>9990</f>
        <v>9990</v>
      </c>
      <c r="P89" s="67" t="s">
        <v>132</v>
      </c>
      <c r="Q89" s="66">
        <f>10070</f>
        <v>10070</v>
      </c>
      <c r="R89" s="67" t="s">
        <v>873</v>
      </c>
      <c r="S89" s="68">
        <f>10303.5</f>
        <v>10303.5</v>
      </c>
      <c r="T89" s="65">
        <f>21190</f>
        <v>21190</v>
      </c>
      <c r="U89" s="65">
        <f>9710</f>
        <v>9710</v>
      </c>
      <c r="V89" s="65">
        <f>214925737</f>
        <v>214925737</v>
      </c>
      <c r="W89" s="65">
        <f>96960737</f>
        <v>96960737</v>
      </c>
      <c r="X89" s="69">
        <f>20</f>
        <v>20</v>
      </c>
    </row>
    <row r="90" spans="1:24">
      <c r="A90" s="60" t="s">
        <v>934</v>
      </c>
      <c r="B90" s="60" t="s">
        <v>314</v>
      </c>
      <c r="C90" s="60" t="s">
        <v>315</v>
      </c>
      <c r="D90" s="60" t="s">
        <v>316</v>
      </c>
      <c r="E90" s="61" t="s">
        <v>46</v>
      </c>
      <c r="F90" s="62" t="s">
        <v>46</v>
      </c>
      <c r="G90" s="63" t="s">
        <v>46</v>
      </c>
      <c r="H90" s="64"/>
      <c r="I90" s="64" t="s">
        <v>47</v>
      </c>
      <c r="J90" s="65">
        <v>1</v>
      </c>
      <c r="K90" s="66">
        <f>2630</f>
        <v>2630</v>
      </c>
      <c r="L90" s="67" t="s">
        <v>853</v>
      </c>
      <c r="M90" s="66">
        <f>2645</f>
        <v>2645</v>
      </c>
      <c r="N90" s="67" t="s">
        <v>854</v>
      </c>
      <c r="O90" s="66">
        <f>2580</f>
        <v>2580</v>
      </c>
      <c r="P90" s="67" t="s">
        <v>50</v>
      </c>
      <c r="Q90" s="66">
        <f>2591</f>
        <v>2591</v>
      </c>
      <c r="R90" s="67" t="s">
        <v>873</v>
      </c>
      <c r="S90" s="68">
        <f>2619.6</f>
        <v>2619.6</v>
      </c>
      <c r="T90" s="65">
        <f>329349</f>
        <v>329349</v>
      </c>
      <c r="U90" s="65">
        <f>282121</f>
        <v>282121</v>
      </c>
      <c r="V90" s="65">
        <f>861419664</f>
        <v>861419664</v>
      </c>
      <c r="W90" s="65">
        <f>737988143</f>
        <v>737988143</v>
      </c>
      <c r="X90" s="69">
        <f>20</f>
        <v>20</v>
      </c>
    </row>
    <row r="91" spans="1:24">
      <c r="A91" s="60" t="s">
        <v>934</v>
      </c>
      <c r="B91" s="60" t="s">
        <v>317</v>
      </c>
      <c r="C91" s="60" t="s">
        <v>318</v>
      </c>
      <c r="D91" s="60" t="s">
        <v>319</v>
      </c>
      <c r="E91" s="61" t="s">
        <v>46</v>
      </c>
      <c r="F91" s="62" t="s">
        <v>46</v>
      </c>
      <c r="G91" s="63" t="s">
        <v>46</v>
      </c>
      <c r="H91" s="64"/>
      <c r="I91" s="64" t="s">
        <v>47</v>
      </c>
      <c r="J91" s="65">
        <v>1</v>
      </c>
      <c r="K91" s="66">
        <f>2381</f>
        <v>2381</v>
      </c>
      <c r="L91" s="67" t="s">
        <v>853</v>
      </c>
      <c r="M91" s="66">
        <f>2391</f>
        <v>2391</v>
      </c>
      <c r="N91" s="67" t="s">
        <v>854</v>
      </c>
      <c r="O91" s="66">
        <f>2369</f>
        <v>2369</v>
      </c>
      <c r="P91" s="67" t="s">
        <v>50</v>
      </c>
      <c r="Q91" s="66">
        <f>2380</f>
        <v>2380</v>
      </c>
      <c r="R91" s="67" t="s">
        <v>873</v>
      </c>
      <c r="S91" s="68">
        <f>2384.35</f>
        <v>2384.35</v>
      </c>
      <c r="T91" s="65">
        <f>135164</f>
        <v>135164</v>
      </c>
      <c r="U91" s="65">
        <f>84001</f>
        <v>84001</v>
      </c>
      <c r="V91" s="65">
        <f>321471197</f>
        <v>321471197</v>
      </c>
      <c r="W91" s="65">
        <f>199640730</f>
        <v>199640730</v>
      </c>
      <c r="X91" s="69">
        <f>20</f>
        <v>20</v>
      </c>
    </row>
    <row r="92" spans="1:24">
      <c r="A92" s="60" t="s">
        <v>934</v>
      </c>
      <c r="B92" s="60" t="s">
        <v>320</v>
      </c>
      <c r="C92" s="60" t="s">
        <v>321</v>
      </c>
      <c r="D92" s="60" t="s">
        <v>322</v>
      </c>
      <c r="E92" s="61" t="s">
        <v>46</v>
      </c>
      <c r="F92" s="62" t="s">
        <v>46</v>
      </c>
      <c r="G92" s="63" t="s">
        <v>46</v>
      </c>
      <c r="H92" s="64"/>
      <c r="I92" s="64" t="s">
        <v>47</v>
      </c>
      <c r="J92" s="65">
        <v>1</v>
      </c>
      <c r="K92" s="66">
        <f>14970</f>
        <v>14970</v>
      </c>
      <c r="L92" s="67" t="s">
        <v>853</v>
      </c>
      <c r="M92" s="66">
        <f>16100</f>
        <v>16100</v>
      </c>
      <c r="N92" s="67" t="s">
        <v>49</v>
      </c>
      <c r="O92" s="66">
        <f>14970</f>
        <v>14970</v>
      </c>
      <c r="P92" s="67" t="s">
        <v>853</v>
      </c>
      <c r="Q92" s="66">
        <f>15690</f>
        <v>15690</v>
      </c>
      <c r="R92" s="67" t="s">
        <v>873</v>
      </c>
      <c r="S92" s="68">
        <f>15727</f>
        <v>15727</v>
      </c>
      <c r="T92" s="65">
        <f>10725</f>
        <v>10725</v>
      </c>
      <c r="U92" s="65">
        <f>5</f>
        <v>5</v>
      </c>
      <c r="V92" s="65">
        <f>169529220</f>
        <v>169529220</v>
      </c>
      <c r="W92" s="65">
        <f>78550</f>
        <v>78550</v>
      </c>
      <c r="X92" s="69">
        <f>20</f>
        <v>20</v>
      </c>
    </row>
    <row r="93" spans="1:24">
      <c r="A93" s="60" t="s">
        <v>934</v>
      </c>
      <c r="B93" s="60" t="s">
        <v>323</v>
      </c>
      <c r="C93" s="60" t="s">
        <v>324</v>
      </c>
      <c r="D93" s="60" t="s">
        <v>325</v>
      </c>
      <c r="E93" s="61" t="s">
        <v>46</v>
      </c>
      <c r="F93" s="62" t="s">
        <v>46</v>
      </c>
      <c r="G93" s="63" t="s">
        <v>46</v>
      </c>
      <c r="H93" s="64"/>
      <c r="I93" s="64" t="s">
        <v>47</v>
      </c>
      <c r="J93" s="65">
        <v>1</v>
      </c>
      <c r="K93" s="66">
        <f>8250</f>
        <v>8250</v>
      </c>
      <c r="L93" s="67" t="s">
        <v>853</v>
      </c>
      <c r="M93" s="66">
        <f>8300</f>
        <v>8300</v>
      </c>
      <c r="N93" s="67" t="s">
        <v>73</v>
      </c>
      <c r="O93" s="66">
        <f>8080</f>
        <v>8080</v>
      </c>
      <c r="P93" s="67" t="s">
        <v>268</v>
      </c>
      <c r="Q93" s="66">
        <f>8250</f>
        <v>8250</v>
      </c>
      <c r="R93" s="67" t="s">
        <v>873</v>
      </c>
      <c r="S93" s="68">
        <f>8149</f>
        <v>8149</v>
      </c>
      <c r="T93" s="65">
        <f>2472</f>
        <v>2472</v>
      </c>
      <c r="U93" s="65">
        <f>9</f>
        <v>9</v>
      </c>
      <c r="V93" s="65">
        <f>20137800</f>
        <v>20137800</v>
      </c>
      <c r="W93" s="65">
        <f>73400</f>
        <v>73400</v>
      </c>
      <c r="X93" s="69">
        <f>20</f>
        <v>20</v>
      </c>
    </row>
    <row r="94" spans="1:24">
      <c r="A94" s="60" t="s">
        <v>934</v>
      </c>
      <c r="B94" s="60" t="s">
        <v>326</v>
      </c>
      <c r="C94" s="60" t="s">
        <v>327</v>
      </c>
      <c r="D94" s="60" t="s">
        <v>328</v>
      </c>
      <c r="E94" s="61" t="s">
        <v>46</v>
      </c>
      <c r="F94" s="62" t="s">
        <v>46</v>
      </c>
      <c r="G94" s="63" t="s">
        <v>46</v>
      </c>
      <c r="H94" s="64"/>
      <c r="I94" s="64" t="s">
        <v>47</v>
      </c>
      <c r="J94" s="65">
        <v>1</v>
      </c>
      <c r="K94" s="66">
        <f>6100</f>
        <v>6100</v>
      </c>
      <c r="L94" s="67" t="s">
        <v>853</v>
      </c>
      <c r="M94" s="66">
        <f>6150</f>
        <v>6150</v>
      </c>
      <c r="N94" s="67" t="s">
        <v>77</v>
      </c>
      <c r="O94" s="66">
        <f>5900</f>
        <v>5900</v>
      </c>
      <c r="P94" s="67" t="s">
        <v>856</v>
      </c>
      <c r="Q94" s="66">
        <f>5940</f>
        <v>5940</v>
      </c>
      <c r="R94" s="67" t="s">
        <v>873</v>
      </c>
      <c r="S94" s="68">
        <f>6018</f>
        <v>6018</v>
      </c>
      <c r="T94" s="65">
        <f>1614612</f>
        <v>1614612</v>
      </c>
      <c r="U94" s="65">
        <f>32002</f>
        <v>32002</v>
      </c>
      <c r="V94" s="65">
        <f>9692651683</f>
        <v>9692651683</v>
      </c>
      <c r="W94" s="65">
        <f>190177963</f>
        <v>190177963</v>
      </c>
      <c r="X94" s="69">
        <f>20</f>
        <v>20</v>
      </c>
    </row>
    <row r="95" spans="1:24">
      <c r="A95" s="60" t="s">
        <v>934</v>
      </c>
      <c r="B95" s="60" t="s">
        <v>329</v>
      </c>
      <c r="C95" s="60" t="s">
        <v>330</v>
      </c>
      <c r="D95" s="60" t="s">
        <v>331</v>
      </c>
      <c r="E95" s="61" t="s">
        <v>46</v>
      </c>
      <c r="F95" s="62" t="s">
        <v>46</v>
      </c>
      <c r="G95" s="63" t="s">
        <v>46</v>
      </c>
      <c r="H95" s="64"/>
      <c r="I95" s="64" t="s">
        <v>47</v>
      </c>
      <c r="J95" s="65">
        <v>1</v>
      </c>
      <c r="K95" s="66">
        <f>3370</f>
        <v>3370</v>
      </c>
      <c r="L95" s="67" t="s">
        <v>853</v>
      </c>
      <c r="M95" s="66">
        <f>3445</f>
        <v>3445</v>
      </c>
      <c r="N95" s="67" t="s">
        <v>77</v>
      </c>
      <c r="O95" s="66">
        <f>3060</f>
        <v>3060</v>
      </c>
      <c r="P95" s="67" t="s">
        <v>268</v>
      </c>
      <c r="Q95" s="66">
        <f>3220</f>
        <v>3220</v>
      </c>
      <c r="R95" s="67" t="s">
        <v>873</v>
      </c>
      <c r="S95" s="68">
        <f>3261.75</f>
        <v>3261.75</v>
      </c>
      <c r="T95" s="65">
        <f>1307286</f>
        <v>1307286</v>
      </c>
      <c r="U95" s="65">
        <f>200</f>
        <v>200</v>
      </c>
      <c r="V95" s="65">
        <f>4272859645</f>
        <v>4272859645</v>
      </c>
      <c r="W95" s="65">
        <f>617000</f>
        <v>617000</v>
      </c>
      <c r="X95" s="69">
        <f>20</f>
        <v>20</v>
      </c>
    </row>
    <row r="96" spans="1:24">
      <c r="A96" s="60" t="s">
        <v>934</v>
      </c>
      <c r="B96" s="60" t="s">
        <v>332</v>
      </c>
      <c r="C96" s="60" t="s">
        <v>333</v>
      </c>
      <c r="D96" s="60" t="s">
        <v>334</v>
      </c>
      <c r="E96" s="61" t="s">
        <v>46</v>
      </c>
      <c r="F96" s="62" t="s">
        <v>46</v>
      </c>
      <c r="G96" s="63" t="s">
        <v>46</v>
      </c>
      <c r="H96" s="64"/>
      <c r="I96" s="64" t="s">
        <v>47</v>
      </c>
      <c r="J96" s="65">
        <v>1</v>
      </c>
      <c r="K96" s="66">
        <f>7910</f>
        <v>7910</v>
      </c>
      <c r="L96" s="67" t="s">
        <v>853</v>
      </c>
      <c r="M96" s="66">
        <f>8270</f>
        <v>8270</v>
      </c>
      <c r="N96" s="67" t="s">
        <v>77</v>
      </c>
      <c r="O96" s="66">
        <f>7270</f>
        <v>7270</v>
      </c>
      <c r="P96" s="67" t="s">
        <v>873</v>
      </c>
      <c r="Q96" s="66">
        <f>7290</f>
        <v>7290</v>
      </c>
      <c r="R96" s="67" t="s">
        <v>873</v>
      </c>
      <c r="S96" s="68">
        <f>7789.5</f>
        <v>7789.5</v>
      </c>
      <c r="T96" s="65">
        <f>294920</f>
        <v>294920</v>
      </c>
      <c r="U96" s="65">
        <f>19</f>
        <v>19</v>
      </c>
      <c r="V96" s="65">
        <f>2304882280</f>
        <v>2304882280</v>
      </c>
      <c r="W96" s="65">
        <f>152220</f>
        <v>152220</v>
      </c>
      <c r="X96" s="69">
        <f>20</f>
        <v>20</v>
      </c>
    </row>
    <row r="97" spans="1:24">
      <c r="A97" s="60" t="s">
        <v>934</v>
      </c>
      <c r="B97" s="60" t="s">
        <v>335</v>
      </c>
      <c r="C97" s="60" t="s">
        <v>336</v>
      </c>
      <c r="D97" s="60" t="s">
        <v>337</v>
      </c>
      <c r="E97" s="61" t="s">
        <v>46</v>
      </c>
      <c r="F97" s="62" t="s">
        <v>46</v>
      </c>
      <c r="G97" s="63" t="s">
        <v>46</v>
      </c>
      <c r="H97" s="64"/>
      <c r="I97" s="64" t="s">
        <v>47</v>
      </c>
      <c r="J97" s="65">
        <v>1</v>
      </c>
      <c r="K97" s="66">
        <f>81000</f>
        <v>81000</v>
      </c>
      <c r="L97" s="67" t="s">
        <v>853</v>
      </c>
      <c r="M97" s="66">
        <f>82600</f>
        <v>82600</v>
      </c>
      <c r="N97" s="67" t="s">
        <v>77</v>
      </c>
      <c r="O97" s="66">
        <f>63200</f>
        <v>63200</v>
      </c>
      <c r="P97" s="67" t="s">
        <v>873</v>
      </c>
      <c r="Q97" s="66">
        <f>63200</f>
        <v>63200</v>
      </c>
      <c r="R97" s="67" t="s">
        <v>873</v>
      </c>
      <c r="S97" s="68">
        <f>72245</f>
        <v>72245</v>
      </c>
      <c r="T97" s="65">
        <f>9282</f>
        <v>9282</v>
      </c>
      <c r="U97" s="65">
        <f>100</f>
        <v>100</v>
      </c>
      <c r="V97" s="65">
        <f>658184400</f>
        <v>658184400</v>
      </c>
      <c r="W97" s="65">
        <f>6940000</f>
        <v>6940000</v>
      </c>
      <c r="X97" s="69">
        <f>20</f>
        <v>20</v>
      </c>
    </row>
    <row r="98" spans="1:24">
      <c r="A98" s="60" t="s">
        <v>934</v>
      </c>
      <c r="B98" s="60" t="s">
        <v>338</v>
      </c>
      <c r="C98" s="60" t="s">
        <v>339</v>
      </c>
      <c r="D98" s="60" t="s">
        <v>340</v>
      </c>
      <c r="E98" s="61" t="s">
        <v>46</v>
      </c>
      <c r="F98" s="62" t="s">
        <v>46</v>
      </c>
      <c r="G98" s="63" t="s">
        <v>46</v>
      </c>
      <c r="H98" s="64"/>
      <c r="I98" s="64" t="s">
        <v>47</v>
      </c>
      <c r="J98" s="65">
        <v>1</v>
      </c>
      <c r="K98" s="66">
        <f>17370</f>
        <v>17370</v>
      </c>
      <c r="L98" s="67" t="s">
        <v>853</v>
      </c>
      <c r="M98" s="66">
        <f>17520</f>
        <v>17520</v>
      </c>
      <c r="N98" s="67" t="s">
        <v>96</v>
      </c>
      <c r="O98" s="66">
        <f>16510</f>
        <v>16510</v>
      </c>
      <c r="P98" s="67" t="s">
        <v>132</v>
      </c>
      <c r="Q98" s="66">
        <f>16850</f>
        <v>16850</v>
      </c>
      <c r="R98" s="67" t="s">
        <v>873</v>
      </c>
      <c r="S98" s="68">
        <f>17185.5</f>
        <v>17185.5</v>
      </c>
      <c r="T98" s="65">
        <f>1628577</f>
        <v>1628577</v>
      </c>
      <c r="U98" s="65">
        <f>12425</f>
        <v>12425</v>
      </c>
      <c r="V98" s="65">
        <f>27791736272</f>
        <v>27791736272</v>
      </c>
      <c r="W98" s="65">
        <f>211688222</f>
        <v>211688222</v>
      </c>
      <c r="X98" s="69">
        <f>20</f>
        <v>20</v>
      </c>
    </row>
    <row r="99" spans="1:24">
      <c r="A99" s="60" t="s">
        <v>934</v>
      </c>
      <c r="B99" s="60" t="s">
        <v>341</v>
      </c>
      <c r="C99" s="60" t="s">
        <v>342</v>
      </c>
      <c r="D99" s="60" t="s">
        <v>343</v>
      </c>
      <c r="E99" s="61" t="s">
        <v>46</v>
      </c>
      <c r="F99" s="62" t="s">
        <v>46</v>
      </c>
      <c r="G99" s="63" t="s">
        <v>46</v>
      </c>
      <c r="H99" s="64"/>
      <c r="I99" s="64" t="s">
        <v>47</v>
      </c>
      <c r="J99" s="65">
        <v>1</v>
      </c>
      <c r="K99" s="66">
        <f>38000</f>
        <v>38000</v>
      </c>
      <c r="L99" s="67" t="s">
        <v>853</v>
      </c>
      <c r="M99" s="66">
        <f>38150</f>
        <v>38150</v>
      </c>
      <c r="N99" s="67" t="s">
        <v>853</v>
      </c>
      <c r="O99" s="66">
        <f>35950</f>
        <v>35950</v>
      </c>
      <c r="P99" s="67" t="s">
        <v>132</v>
      </c>
      <c r="Q99" s="66">
        <f>37650</f>
        <v>37650</v>
      </c>
      <c r="R99" s="67" t="s">
        <v>873</v>
      </c>
      <c r="S99" s="68">
        <f>37490</f>
        <v>37490</v>
      </c>
      <c r="T99" s="65">
        <f>340146</f>
        <v>340146</v>
      </c>
      <c r="U99" s="65">
        <f>43210</f>
        <v>43210</v>
      </c>
      <c r="V99" s="65">
        <f>12748997868</f>
        <v>12748997868</v>
      </c>
      <c r="W99" s="65">
        <f>1627919918</f>
        <v>1627919918</v>
      </c>
      <c r="X99" s="69">
        <f>20</f>
        <v>20</v>
      </c>
    </row>
    <row r="100" spans="1:24">
      <c r="A100" s="60" t="s">
        <v>934</v>
      </c>
      <c r="B100" s="60" t="s">
        <v>344</v>
      </c>
      <c r="C100" s="60" t="s">
        <v>345</v>
      </c>
      <c r="D100" s="60" t="s">
        <v>346</v>
      </c>
      <c r="E100" s="61" t="s">
        <v>46</v>
      </c>
      <c r="F100" s="62" t="s">
        <v>46</v>
      </c>
      <c r="G100" s="63" t="s">
        <v>46</v>
      </c>
      <c r="H100" s="64"/>
      <c r="I100" s="64" t="s">
        <v>47</v>
      </c>
      <c r="J100" s="65">
        <v>10</v>
      </c>
      <c r="K100" s="66">
        <f>5430</f>
        <v>5430</v>
      </c>
      <c r="L100" s="67" t="s">
        <v>853</v>
      </c>
      <c r="M100" s="66">
        <f>5450</f>
        <v>5450</v>
      </c>
      <c r="N100" s="67" t="s">
        <v>853</v>
      </c>
      <c r="O100" s="66">
        <f>5140</f>
        <v>5140</v>
      </c>
      <c r="P100" s="67" t="s">
        <v>132</v>
      </c>
      <c r="Q100" s="66">
        <f>5340</f>
        <v>5340</v>
      </c>
      <c r="R100" s="67" t="s">
        <v>873</v>
      </c>
      <c r="S100" s="68">
        <f>5366.5</f>
        <v>5366.5</v>
      </c>
      <c r="T100" s="65">
        <f>1869090</f>
        <v>1869090</v>
      </c>
      <c r="U100" s="65">
        <f>130990</f>
        <v>130990</v>
      </c>
      <c r="V100" s="65">
        <f>9962434044</f>
        <v>9962434044</v>
      </c>
      <c r="W100" s="65">
        <f>688957744</f>
        <v>688957744</v>
      </c>
      <c r="X100" s="69">
        <f>20</f>
        <v>20</v>
      </c>
    </row>
    <row r="101" spans="1:24">
      <c r="A101" s="60" t="s">
        <v>934</v>
      </c>
      <c r="B101" s="60" t="s">
        <v>347</v>
      </c>
      <c r="C101" s="60" t="s">
        <v>348</v>
      </c>
      <c r="D101" s="60" t="s">
        <v>349</v>
      </c>
      <c r="E101" s="61" t="s">
        <v>46</v>
      </c>
      <c r="F101" s="62" t="s">
        <v>46</v>
      </c>
      <c r="G101" s="63" t="s">
        <v>46</v>
      </c>
      <c r="H101" s="64"/>
      <c r="I101" s="64" t="s">
        <v>47</v>
      </c>
      <c r="J101" s="65">
        <v>10</v>
      </c>
      <c r="K101" s="66">
        <f>3560</f>
        <v>3560</v>
      </c>
      <c r="L101" s="67" t="s">
        <v>853</v>
      </c>
      <c r="M101" s="66">
        <f>3580</f>
        <v>3580</v>
      </c>
      <c r="N101" s="67" t="s">
        <v>172</v>
      </c>
      <c r="O101" s="66">
        <f>3390</f>
        <v>3390</v>
      </c>
      <c r="P101" s="67" t="s">
        <v>132</v>
      </c>
      <c r="Q101" s="66">
        <f>3500</f>
        <v>3500</v>
      </c>
      <c r="R101" s="67" t="s">
        <v>873</v>
      </c>
      <c r="S101" s="68">
        <f>3524.25</f>
        <v>3524.25</v>
      </c>
      <c r="T101" s="65">
        <f>95220</f>
        <v>95220</v>
      </c>
      <c r="U101" s="65" t="str">
        <f>"－"</f>
        <v>－</v>
      </c>
      <c r="V101" s="65">
        <f>333249850</f>
        <v>333249850</v>
      </c>
      <c r="W101" s="65" t="str">
        <f>"－"</f>
        <v>－</v>
      </c>
      <c r="X101" s="69">
        <f>20</f>
        <v>20</v>
      </c>
    </row>
    <row r="102" spans="1:24">
      <c r="A102" s="60" t="s">
        <v>934</v>
      </c>
      <c r="B102" s="60" t="s">
        <v>350</v>
      </c>
      <c r="C102" s="60" t="s">
        <v>351</v>
      </c>
      <c r="D102" s="60" t="s">
        <v>352</v>
      </c>
      <c r="E102" s="61" t="s">
        <v>46</v>
      </c>
      <c r="F102" s="62" t="s">
        <v>46</v>
      </c>
      <c r="G102" s="63" t="s">
        <v>46</v>
      </c>
      <c r="H102" s="64"/>
      <c r="I102" s="64" t="s">
        <v>47</v>
      </c>
      <c r="J102" s="65">
        <v>10</v>
      </c>
      <c r="K102" s="66">
        <f>5510</f>
        <v>5510</v>
      </c>
      <c r="L102" s="67" t="s">
        <v>853</v>
      </c>
      <c r="M102" s="66">
        <f>6050</f>
        <v>6050</v>
      </c>
      <c r="N102" s="67" t="s">
        <v>92</v>
      </c>
      <c r="O102" s="66">
        <f>5480</f>
        <v>5480</v>
      </c>
      <c r="P102" s="67" t="s">
        <v>853</v>
      </c>
      <c r="Q102" s="66">
        <f>5480</f>
        <v>5480</v>
      </c>
      <c r="R102" s="67" t="s">
        <v>873</v>
      </c>
      <c r="S102" s="68">
        <f>5799</f>
        <v>5799</v>
      </c>
      <c r="T102" s="65">
        <f>21020</f>
        <v>21020</v>
      </c>
      <c r="U102" s="65" t="str">
        <f>"－"</f>
        <v>－</v>
      </c>
      <c r="V102" s="65">
        <f>121984100</f>
        <v>121984100</v>
      </c>
      <c r="W102" s="65" t="str">
        <f>"－"</f>
        <v>－</v>
      </c>
      <c r="X102" s="69">
        <f>20</f>
        <v>20</v>
      </c>
    </row>
    <row r="103" spans="1:24">
      <c r="A103" s="60" t="s">
        <v>934</v>
      </c>
      <c r="B103" s="60" t="s">
        <v>353</v>
      </c>
      <c r="C103" s="60" t="s">
        <v>354</v>
      </c>
      <c r="D103" s="60" t="s">
        <v>355</v>
      </c>
      <c r="E103" s="61" t="s">
        <v>46</v>
      </c>
      <c r="F103" s="62" t="s">
        <v>46</v>
      </c>
      <c r="G103" s="63" t="s">
        <v>46</v>
      </c>
      <c r="H103" s="64"/>
      <c r="I103" s="64" t="s">
        <v>47</v>
      </c>
      <c r="J103" s="65">
        <v>1</v>
      </c>
      <c r="K103" s="66">
        <f>2247</f>
        <v>2247</v>
      </c>
      <c r="L103" s="67" t="s">
        <v>853</v>
      </c>
      <c r="M103" s="66">
        <f>2604</f>
        <v>2604</v>
      </c>
      <c r="N103" s="67" t="s">
        <v>132</v>
      </c>
      <c r="O103" s="66">
        <f>2132</f>
        <v>2132</v>
      </c>
      <c r="P103" s="67" t="s">
        <v>73</v>
      </c>
      <c r="Q103" s="66">
        <f>2425</f>
        <v>2425</v>
      </c>
      <c r="R103" s="67" t="s">
        <v>873</v>
      </c>
      <c r="S103" s="68">
        <f>2282.55</f>
        <v>2282.5500000000002</v>
      </c>
      <c r="T103" s="65">
        <f>38790957</f>
        <v>38790957</v>
      </c>
      <c r="U103" s="65">
        <f>5076</f>
        <v>5076</v>
      </c>
      <c r="V103" s="65">
        <f>90324065423</f>
        <v>90324065423</v>
      </c>
      <c r="W103" s="65">
        <f>11399472</f>
        <v>11399472</v>
      </c>
      <c r="X103" s="69">
        <f>20</f>
        <v>20</v>
      </c>
    </row>
    <row r="104" spans="1:24">
      <c r="A104" s="60" t="s">
        <v>934</v>
      </c>
      <c r="B104" s="60" t="s">
        <v>356</v>
      </c>
      <c r="C104" s="60" t="s">
        <v>357</v>
      </c>
      <c r="D104" s="60" t="s">
        <v>358</v>
      </c>
      <c r="E104" s="61" t="s">
        <v>46</v>
      </c>
      <c r="F104" s="62" t="s">
        <v>46</v>
      </c>
      <c r="G104" s="63" t="s">
        <v>46</v>
      </c>
      <c r="H104" s="64"/>
      <c r="I104" s="64" t="s">
        <v>47</v>
      </c>
      <c r="J104" s="65">
        <v>10</v>
      </c>
      <c r="K104" s="66">
        <f>3065</f>
        <v>3065</v>
      </c>
      <c r="L104" s="67" t="s">
        <v>853</v>
      </c>
      <c r="M104" s="66">
        <f>3085</f>
        <v>3085</v>
      </c>
      <c r="N104" s="67" t="s">
        <v>858</v>
      </c>
      <c r="O104" s="66">
        <f>2917</f>
        <v>2917</v>
      </c>
      <c r="P104" s="67" t="s">
        <v>132</v>
      </c>
      <c r="Q104" s="66">
        <f>2999</f>
        <v>2999</v>
      </c>
      <c r="R104" s="67" t="s">
        <v>873</v>
      </c>
      <c r="S104" s="68">
        <f>3032.3</f>
        <v>3032.3</v>
      </c>
      <c r="T104" s="65">
        <f>166280</f>
        <v>166280</v>
      </c>
      <c r="U104" s="65">
        <f>20</f>
        <v>20</v>
      </c>
      <c r="V104" s="65">
        <f>500459170</f>
        <v>500459170</v>
      </c>
      <c r="W104" s="65">
        <f>60500</f>
        <v>60500</v>
      </c>
      <c r="X104" s="69">
        <f>20</f>
        <v>20</v>
      </c>
    </row>
    <row r="105" spans="1:24">
      <c r="A105" s="60" t="s">
        <v>934</v>
      </c>
      <c r="B105" s="60" t="s">
        <v>359</v>
      </c>
      <c r="C105" s="60" t="s">
        <v>360</v>
      </c>
      <c r="D105" s="60" t="s">
        <v>361</v>
      </c>
      <c r="E105" s="61" t="s">
        <v>46</v>
      </c>
      <c r="F105" s="62" t="s">
        <v>46</v>
      </c>
      <c r="G105" s="63" t="s">
        <v>46</v>
      </c>
      <c r="H105" s="64"/>
      <c r="I105" s="64" t="s">
        <v>47</v>
      </c>
      <c r="J105" s="65">
        <v>10</v>
      </c>
      <c r="K105" s="66">
        <f>1755</f>
        <v>1755</v>
      </c>
      <c r="L105" s="67" t="s">
        <v>853</v>
      </c>
      <c r="M105" s="66">
        <f>1815</f>
        <v>1815</v>
      </c>
      <c r="N105" s="67" t="s">
        <v>172</v>
      </c>
      <c r="O105" s="66">
        <f>1697</f>
        <v>1697</v>
      </c>
      <c r="P105" s="67" t="s">
        <v>873</v>
      </c>
      <c r="Q105" s="66">
        <f>1718</f>
        <v>1718</v>
      </c>
      <c r="R105" s="67" t="s">
        <v>873</v>
      </c>
      <c r="S105" s="68">
        <f>1748.55</f>
        <v>1748.55</v>
      </c>
      <c r="T105" s="65">
        <f>127400</f>
        <v>127400</v>
      </c>
      <c r="U105" s="65">
        <f>20</f>
        <v>20</v>
      </c>
      <c r="V105" s="65">
        <f>222818560</f>
        <v>222818560</v>
      </c>
      <c r="W105" s="65">
        <f>34390</f>
        <v>34390</v>
      </c>
      <c r="X105" s="69">
        <f>20</f>
        <v>20</v>
      </c>
    </row>
    <row r="106" spans="1:24">
      <c r="A106" s="60" t="s">
        <v>934</v>
      </c>
      <c r="B106" s="60" t="s">
        <v>362</v>
      </c>
      <c r="C106" s="60" t="s">
        <v>363</v>
      </c>
      <c r="D106" s="60" t="s">
        <v>364</v>
      </c>
      <c r="E106" s="61" t="s">
        <v>46</v>
      </c>
      <c r="F106" s="62" t="s">
        <v>46</v>
      </c>
      <c r="G106" s="63" t="s">
        <v>46</v>
      </c>
      <c r="H106" s="64"/>
      <c r="I106" s="64" t="s">
        <v>47</v>
      </c>
      <c r="J106" s="65">
        <v>1</v>
      </c>
      <c r="K106" s="66">
        <f>49800</f>
        <v>49800</v>
      </c>
      <c r="L106" s="67" t="s">
        <v>853</v>
      </c>
      <c r="M106" s="66">
        <f>50000</f>
        <v>50000</v>
      </c>
      <c r="N106" s="67" t="s">
        <v>853</v>
      </c>
      <c r="O106" s="66">
        <f>47100</f>
        <v>47100</v>
      </c>
      <c r="P106" s="67" t="s">
        <v>132</v>
      </c>
      <c r="Q106" s="66">
        <f>48950</f>
        <v>48950</v>
      </c>
      <c r="R106" s="67" t="s">
        <v>873</v>
      </c>
      <c r="S106" s="68">
        <f>49195</f>
        <v>49195</v>
      </c>
      <c r="T106" s="65">
        <f>400206</f>
        <v>400206</v>
      </c>
      <c r="U106" s="65" t="str">
        <f>"－"</f>
        <v>－</v>
      </c>
      <c r="V106" s="65">
        <f>19624183000</f>
        <v>19624183000</v>
      </c>
      <c r="W106" s="65" t="str">
        <f>"－"</f>
        <v>－</v>
      </c>
      <c r="X106" s="69">
        <f>20</f>
        <v>20</v>
      </c>
    </row>
    <row r="107" spans="1:24">
      <c r="A107" s="60" t="s">
        <v>934</v>
      </c>
      <c r="B107" s="60" t="s">
        <v>365</v>
      </c>
      <c r="C107" s="60" t="s">
        <v>366</v>
      </c>
      <c r="D107" s="60" t="s">
        <v>367</v>
      </c>
      <c r="E107" s="61" t="s">
        <v>46</v>
      </c>
      <c r="F107" s="62" t="s">
        <v>46</v>
      </c>
      <c r="G107" s="63" t="s">
        <v>46</v>
      </c>
      <c r="H107" s="64"/>
      <c r="I107" s="64" t="s">
        <v>47</v>
      </c>
      <c r="J107" s="65">
        <v>1</v>
      </c>
      <c r="K107" s="66">
        <f>3060</f>
        <v>3060</v>
      </c>
      <c r="L107" s="67" t="s">
        <v>853</v>
      </c>
      <c r="M107" s="66">
        <f>3105</f>
        <v>3105</v>
      </c>
      <c r="N107" s="67" t="s">
        <v>172</v>
      </c>
      <c r="O107" s="66">
        <f>2985</f>
        <v>2985</v>
      </c>
      <c r="P107" s="67" t="s">
        <v>268</v>
      </c>
      <c r="Q107" s="66">
        <f>3025</f>
        <v>3025</v>
      </c>
      <c r="R107" s="67" t="s">
        <v>873</v>
      </c>
      <c r="S107" s="68">
        <f>3041.85</f>
        <v>3041.85</v>
      </c>
      <c r="T107" s="65">
        <f>6481</f>
        <v>6481</v>
      </c>
      <c r="U107" s="65" t="str">
        <f>"－"</f>
        <v>－</v>
      </c>
      <c r="V107" s="65">
        <f>19664195</f>
        <v>19664195</v>
      </c>
      <c r="W107" s="65" t="str">
        <f>"－"</f>
        <v>－</v>
      </c>
      <c r="X107" s="69">
        <f>20</f>
        <v>20</v>
      </c>
    </row>
    <row r="108" spans="1:24">
      <c r="A108" s="60" t="s">
        <v>934</v>
      </c>
      <c r="B108" s="60" t="s">
        <v>368</v>
      </c>
      <c r="C108" s="60" t="s">
        <v>369</v>
      </c>
      <c r="D108" s="60" t="s">
        <v>370</v>
      </c>
      <c r="E108" s="61" t="s">
        <v>46</v>
      </c>
      <c r="F108" s="62" t="s">
        <v>46</v>
      </c>
      <c r="G108" s="63" t="s">
        <v>46</v>
      </c>
      <c r="H108" s="64"/>
      <c r="I108" s="64" t="s">
        <v>47</v>
      </c>
      <c r="J108" s="65">
        <v>1</v>
      </c>
      <c r="K108" s="66">
        <f>4025</f>
        <v>4025</v>
      </c>
      <c r="L108" s="67" t="s">
        <v>853</v>
      </c>
      <c r="M108" s="66">
        <f>4040</f>
        <v>4040</v>
      </c>
      <c r="N108" s="67" t="s">
        <v>50</v>
      </c>
      <c r="O108" s="66">
        <f>3850</f>
        <v>3850</v>
      </c>
      <c r="P108" s="67" t="s">
        <v>268</v>
      </c>
      <c r="Q108" s="66">
        <f>4030</f>
        <v>4030</v>
      </c>
      <c r="R108" s="67" t="s">
        <v>873</v>
      </c>
      <c r="S108" s="68">
        <f>3990.25</f>
        <v>3990.25</v>
      </c>
      <c r="T108" s="65">
        <f>2926</f>
        <v>2926</v>
      </c>
      <c r="U108" s="65" t="str">
        <f>"－"</f>
        <v>－</v>
      </c>
      <c r="V108" s="65">
        <f>11660185</f>
        <v>11660185</v>
      </c>
      <c r="W108" s="65" t="str">
        <f>"－"</f>
        <v>－</v>
      </c>
      <c r="X108" s="69">
        <f>20</f>
        <v>20</v>
      </c>
    </row>
    <row r="109" spans="1:24">
      <c r="A109" s="60" t="s">
        <v>934</v>
      </c>
      <c r="B109" s="60" t="s">
        <v>372</v>
      </c>
      <c r="C109" s="60" t="s">
        <v>373</v>
      </c>
      <c r="D109" s="60" t="s">
        <v>374</v>
      </c>
      <c r="E109" s="61" t="s">
        <v>46</v>
      </c>
      <c r="F109" s="62" t="s">
        <v>46</v>
      </c>
      <c r="G109" s="63" t="s">
        <v>46</v>
      </c>
      <c r="H109" s="64"/>
      <c r="I109" s="64" t="s">
        <v>47</v>
      </c>
      <c r="J109" s="65">
        <v>1</v>
      </c>
      <c r="K109" s="66">
        <f>4500</f>
        <v>4500</v>
      </c>
      <c r="L109" s="67" t="s">
        <v>853</v>
      </c>
      <c r="M109" s="66">
        <f>5160</f>
        <v>5160</v>
      </c>
      <c r="N109" s="67" t="s">
        <v>69</v>
      </c>
      <c r="O109" s="66">
        <f>4365</f>
        <v>4365</v>
      </c>
      <c r="P109" s="67" t="s">
        <v>858</v>
      </c>
      <c r="Q109" s="66">
        <f>4560</f>
        <v>4560</v>
      </c>
      <c r="R109" s="67" t="s">
        <v>873</v>
      </c>
      <c r="S109" s="68">
        <f>4810.25</f>
        <v>4810.25</v>
      </c>
      <c r="T109" s="65">
        <f>229331</f>
        <v>229331</v>
      </c>
      <c r="U109" s="65">
        <f>716</f>
        <v>716</v>
      </c>
      <c r="V109" s="65">
        <f>1100779625</f>
        <v>1100779625</v>
      </c>
      <c r="W109" s="65">
        <f>3157840</f>
        <v>3157840</v>
      </c>
      <c r="X109" s="69">
        <f>20</f>
        <v>20</v>
      </c>
    </row>
    <row r="110" spans="1:24">
      <c r="A110" s="60" t="s">
        <v>934</v>
      </c>
      <c r="B110" s="60" t="s">
        <v>375</v>
      </c>
      <c r="C110" s="60" t="s">
        <v>376</v>
      </c>
      <c r="D110" s="60" t="s">
        <v>377</v>
      </c>
      <c r="E110" s="61" t="s">
        <v>46</v>
      </c>
      <c r="F110" s="62" t="s">
        <v>46</v>
      </c>
      <c r="G110" s="63" t="s">
        <v>46</v>
      </c>
      <c r="H110" s="64"/>
      <c r="I110" s="64" t="s">
        <v>47</v>
      </c>
      <c r="J110" s="65">
        <v>1</v>
      </c>
      <c r="K110" s="66">
        <f>44700</f>
        <v>44700</v>
      </c>
      <c r="L110" s="67" t="s">
        <v>853</v>
      </c>
      <c r="M110" s="66">
        <f>44850</f>
        <v>44850</v>
      </c>
      <c r="N110" s="67" t="s">
        <v>853</v>
      </c>
      <c r="O110" s="66">
        <f>43250</f>
        <v>43250</v>
      </c>
      <c r="P110" s="67" t="s">
        <v>132</v>
      </c>
      <c r="Q110" s="66">
        <f>43600</f>
        <v>43600</v>
      </c>
      <c r="R110" s="67" t="s">
        <v>873</v>
      </c>
      <c r="S110" s="68">
        <f>44080</f>
        <v>44080</v>
      </c>
      <c r="T110" s="65">
        <f>22404</f>
        <v>22404</v>
      </c>
      <c r="U110" s="65">
        <f>223</f>
        <v>223</v>
      </c>
      <c r="V110" s="65">
        <f>987674590</f>
        <v>987674590</v>
      </c>
      <c r="W110" s="65">
        <f>9963640</f>
        <v>9963640</v>
      </c>
      <c r="X110" s="69">
        <f>20</f>
        <v>20</v>
      </c>
    </row>
    <row r="111" spans="1:24">
      <c r="A111" s="60" t="s">
        <v>934</v>
      </c>
      <c r="B111" s="60" t="s">
        <v>378</v>
      </c>
      <c r="C111" s="60" t="s">
        <v>379</v>
      </c>
      <c r="D111" s="60" t="s">
        <v>380</v>
      </c>
      <c r="E111" s="61" t="s">
        <v>46</v>
      </c>
      <c r="F111" s="62" t="s">
        <v>46</v>
      </c>
      <c r="G111" s="63" t="s">
        <v>46</v>
      </c>
      <c r="H111" s="64" t="s">
        <v>878</v>
      </c>
      <c r="I111" s="64"/>
      <c r="J111" s="65">
        <v>10</v>
      </c>
      <c r="K111" s="66">
        <f>1267</f>
        <v>1267</v>
      </c>
      <c r="L111" s="67" t="s">
        <v>77</v>
      </c>
      <c r="M111" s="66">
        <f>1324</f>
        <v>1324</v>
      </c>
      <c r="N111" s="67" t="s">
        <v>873</v>
      </c>
      <c r="O111" s="66">
        <f>1267</f>
        <v>1267</v>
      </c>
      <c r="P111" s="67" t="s">
        <v>77</v>
      </c>
      <c r="Q111" s="66">
        <f>1323</f>
        <v>1323</v>
      </c>
      <c r="R111" s="67" t="s">
        <v>873</v>
      </c>
      <c r="S111" s="68">
        <f>1298.62</f>
        <v>1298.6199999999999</v>
      </c>
      <c r="T111" s="65">
        <f>1010</f>
        <v>1010</v>
      </c>
      <c r="U111" s="65" t="str">
        <f>"－"</f>
        <v>－</v>
      </c>
      <c r="V111" s="65">
        <f>1317140</f>
        <v>1317140</v>
      </c>
      <c r="W111" s="65" t="str">
        <f>"－"</f>
        <v>－</v>
      </c>
      <c r="X111" s="69">
        <f>13</f>
        <v>13</v>
      </c>
    </row>
    <row r="112" spans="1:24">
      <c r="A112" s="60" t="s">
        <v>934</v>
      </c>
      <c r="B112" s="60" t="s">
        <v>381</v>
      </c>
      <c r="C112" s="60" t="s">
        <v>382</v>
      </c>
      <c r="D112" s="60" t="s">
        <v>383</v>
      </c>
      <c r="E112" s="61" t="s">
        <v>46</v>
      </c>
      <c r="F112" s="62" t="s">
        <v>46</v>
      </c>
      <c r="G112" s="63" t="s">
        <v>46</v>
      </c>
      <c r="H112" s="64"/>
      <c r="I112" s="64" t="s">
        <v>47</v>
      </c>
      <c r="J112" s="65">
        <v>10</v>
      </c>
      <c r="K112" s="66">
        <f>24310</f>
        <v>24310</v>
      </c>
      <c r="L112" s="67" t="s">
        <v>853</v>
      </c>
      <c r="M112" s="66">
        <f>28300</f>
        <v>28300</v>
      </c>
      <c r="N112" s="67" t="s">
        <v>49</v>
      </c>
      <c r="O112" s="66">
        <f>24300</f>
        <v>24300</v>
      </c>
      <c r="P112" s="67" t="s">
        <v>853</v>
      </c>
      <c r="Q112" s="66">
        <f>26340</f>
        <v>26340</v>
      </c>
      <c r="R112" s="67" t="s">
        <v>873</v>
      </c>
      <c r="S112" s="68">
        <f>26812.5</f>
        <v>26812.5</v>
      </c>
      <c r="T112" s="65">
        <f>5347830</f>
        <v>5347830</v>
      </c>
      <c r="U112" s="65">
        <f>3120</f>
        <v>3120</v>
      </c>
      <c r="V112" s="65">
        <f>142982797800</f>
        <v>142982797800</v>
      </c>
      <c r="W112" s="65">
        <f>83161100</f>
        <v>83161100</v>
      </c>
      <c r="X112" s="69">
        <f>20</f>
        <v>20</v>
      </c>
    </row>
    <row r="113" spans="1:24">
      <c r="A113" s="60" t="s">
        <v>934</v>
      </c>
      <c r="B113" s="60" t="s">
        <v>384</v>
      </c>
      <c r="C113" s="60" t="s">
        <v>385</v>
      </c>
      <c r="D113" s="60" t="s">
        <v>386</v>
      </c>
      <c r="E113" s="61" t="s">
        <v>46</v>
      </c>
      <c r="F113" s="62" t="s">
        <v>46</v>
      </c>
      <c r="G113" s="63" t="s">
        <v>46</v>
      </c>
      <c r="H113" s="64"/>
      <c r="I113" s="64" t="s">
        <v>47</v>
      </c>
      <c r="J113" s="65">
        <v>10</v>
      </c>
      <c r="K113" s="66">
        <f>2196</f>
        <v>2196</v>
      </c>
      <c r="L113" s="67" t="s">
        <v>853</v>
      </c>
      <c r="M113" s="66">
        <f>2196</f>
        <v>2196</v>
      </c>
      <c r="N113" s="67" t="s">
        <v>853</v>
      </c>
      <c r="O113" s="66">
        <f>2031</f>
        <v>2031</v>
      </c>
      <c r="P113" s="67" t="s">
        <v>49</v>
      </c>
      <c r="Q113" s="66">
        <f>2103</f>
        <v>2103</v>
      </c>
      <c r="R113" s="67" t="s">
        <v>873</v>
      </c>
      <c r="S113" s="68">
        <f>2087.45</f>
        <v>2087.4499999999998</v>
      </c>
      <c r="T113" s="65">
        <f>933800</f>
        <v>933800</v>
      </c>
      <c r="U113" s="65">
        <f>38500</f>
        <v>38500</v>
      </c>
      <c r="V113" s="65">
        <f>1945013392</f>
        <v>1945013392</v>
      </c>
      <c r="W113" s="65">
        <f>79123052</f>
        <v>79123052</v>
      </c>
      <c r="X113" s="69">
        <f>20</f>
        <v>20</v>
      </c>
    </row>
    <row r="114" spans="1:24">
      <c r="A114" s="60" t="s">
        <v>934</v>
      </c>
      <c r="B114" s="60" t="s">
        <v>387</v>
      </c>
      <c r="C114" s="60" t="s">
        <v>388</v>
      </c>
      <c r="D114" s="60" t="s">
        <v>389</v>
      </c>
      <c r="E114" s="61" t="s">
        <v>46</v>
      </c>
      <c r="F114" s="62" t="s">
        <v>46</v>
      </c>
      <c r="G114" s="63" t="s">
        <v>46</v>
      </c>
      <c r="H114" s="64"/>
      <c r="I114" s="64" t="s">
        <v>47</v>
      </c>
      <c r="J114" s="65">
        <v>1</v>
      </c>
      <c r="K114" s="66">
        <f>15000</f>
        <v>15000</v>
      </c>
      <c r="L114" s="67" t="s">
        <v>853</v>
      </c>
      <c r="M114" s="66">
        <f>17920</f>
        <v>17920</v>
      </c>
      <c r="N114" s="67" t="s">
        <v>49</v>
      </c>
      <c r="O114" s="66">
        <f>15000</f>
        <v>15000</v>
      </c>
      <c r="P114" s="67" t="s">
        <v>853</v>
      </c>
      <c r="Q114" s="66">
        <f>16610</f>
        <v>16610</v>
      </c>
      <c r="R114" s="67" t="s">
        <v>873</v>
      </c>
      <c r="S114" s="68">
        <f>16904.5</f>
        <v>16904.5</v>
      </c>
      <c r="T114" s="65">
        <f>179070835</f>
        <v>179070835</v>
      </c>
      <c r="U114" s="65">
        <f>477500</f>
        <v>477500</v>
      </c>
      <c r="V114" s="65">
        <f>3006771469633</f>
        <v>3006771469633</v>
      </c>
      <c r="W114" s="65">
        <f>8011371443</f>
        <v>8011371443</v>
      </c>
      <c r="X114" s="69">
        <f>20</f>
        <v>20</v>
      </c>
    </row>
    <row r="115" spans="1:24">
      <c r="A115" s="60" t="s">
        <v>934</v>
      </c>
      <c r="B115" s="60" t="s">
        <v>390</v>
      </c>
      <c r="C115" s="60" t="s">
        <v>391</v>
      </c>
      <c r="D115" s="60" t="s">
        <v>392</v>
      </c>
      <c r="E115" s="61" t="s">
        <v>46</v>
      </c>
      <c r="F115" s="62" t="s">
        <v>46</v>
      </c>
      <c r="G115" s="63" t="s">
        <v>46</v>
      </c>
      <c r="H115" s="64"/>
      <c r="I115" s="64" t="s">
        <v>47</v>
      </c>
      <c r="J115" s="65">
        <v>1</v>
      </c>
      <c r="K115" s="66">
        <f>1028</f>
        <v>1028</v>
      </c>
      <c r="L115" s="67" t="s">
        <v>853</v>
      </c>
      <c r="M115" s="66">
        <f>1028</f>
        <v>1028</v>
      </c>
      <c r="N115" s="67" t="s">
        <v>853</v>
      </c>
      <c r="O115" s="66">
        <f>939</f>
        <v>939</v>
      </c>
      <c r="P115" s="67" t="s">
        <v>49</v>
      </c>
      <c r="Q115" s="66">
        <f>974</f>
        <v>974</v>
      </c>
      <c r="R115" s="67" t="s">
        <v>873</v>
      </c>
      <c r="S115" s="68">
        <f>967</f>
        <v>967</v>
      </c>
      <c r="T115" s="65">
        <f>25680458</f>
        <v>25680458</v>
      </c>
      <c r="U115" s="65">
        <f>532560</f>
        <v>532560</v>
      </c>
      <c r="V115" s="65">
        <f>24930897830</f>
        <v>24930897830</v>
      </c>
      <c r="W115" s="65">
        <f>515367281</f>
        <v>515367281</v>
      </c>
      <c r="X115" s="69">
        <f>20</f>
        <v>20</v>
      </c>
    </row>
    <row r="116" spans="1:24">
      <c r="A116" s="60" t="s">
        <v>934</v>
      </c>
      <c r="B116" s="60" t="s">
        <v>393</v>
      </c>
      <c r="C116" s="60" t="s">
        <v>394</v>
      </c>
      <c r="D116" s="60" t="s">
        <v>395</v>
      </c>
      <c r="E116" s="61" t="s">
        <v>46</v>
      </c>
      <c r="F116" s="62" t="s">
        <v>46</v>
      </c>
      <c r="G116" s="63" t="s">
        <v>46</v>
      </c>
      <c r="H116" s="64"/>
      <c r="I116" s="64" t="s">
        <v>47</v>
      </c>
      <c r="J116" s="65">
        <v>10</v>
      </c>
      <c r="K116" s="66">
        <f>8150</f>
        <v>8150</v>
      </c>
      <c r="L116" s="67" t="s">
        <v>853</v>
      </c>
      <c r="M116" s="66">
        <f>9270</f>
        <v>9270</v>
      </c>
      <c r="N116" s="67" t="s">
        <v>96</v>
      </c>
      <c r="O116" s="66">
        <f>7290</f>
        <v>7290</v>
      </c>
      <c r="P116" s="67" t="s">
        <v>268</v>
      </c>
      <c r="Q116" s="66">
        <f>7680</f>
        <v>7680</v>
      </c>
      <c r="R116" s="67" t="s">
        <v>873</v>
      </c>
      <c r="S116" s="68">
        <f>8163</f>
        <v>8163</v>
      </c>
      <c r="T116" s="65">
        <f>59920</f>
        <v>59920</v>
      </c>
      <c r="U116" s="65" t="str">
        <f>"－"</f>
        <v>－</v>
      </c>
      <c r="V116" s="65">
        <f>482217300</f>
        <v>482217300</v>
      </c>
      <c r="W116" s="65" t="str">
        <f>"－"</f>
        <v>－</v>
      </c>
      <c r="X116" s="69">
        <f>20</f>
        <v>20</v>
      </c>
    </row>
    <row r="117" spans="1:24">
      <c r="A117" s="60" t="s">
        <v>934</v>
      </c>
      <c r="B117" s="60" t="s">
        <v>396</v>
      </c>
      <c r="C117" s="60" t="s">
        <v>397</v>
      </c>
      <c r="D117" s="60" t="s">
        <v>398</v>
      </c>
      <c r="E117" s="61" t="s">
        <v>46</v>
      </c>
      <c r="F117" s="62" t="s">
        <v>46</v>
      </c>
      <c r="G117" s="63" t="s">
        <v>46</v>
      </c>
      <c r="H117" s="64"/>
      <c r="I117" s="64" t="s">
        <v>47</v>
      </c>
      <c r="J117" s="65">
        <v>10</v>
      </c>
      <c r="K117" s="66">
        <f>7600</f>
        <v>7600</v>
      </c>
      <c r="L117" s="67" t="s">
        <v>853</v>
      </c>
      <c r="M117" s="66">
        <f>8680</f>
        <v>8680</v>
      </c>
      <c r="N117" s="67" t="s">
        <v>268</v>
      </c>
      <c r="O117" s="66">
        <f>7350</f>
        <v>7350</v>
      </c>
      <c r="P117" s="67" t="s">
        <v>172</v>
      </c>
      <c r="Q117" s="66">
        <f>8170</f>
        <v>8170</v>
      </c>
      <c r="R117" s="67" t="s">
        <v>873</v>
      </c>
      <c r="S117" s="68">
        <f>7811.5</f>
        <v>7811.5</v>
      </c>
      <c r="T117" s="65">
        <f>65760</f>
        <v>65760</v>
      </c>
      <c r="U117" s="65" t="str">
        <f>"－"</f>
        <v>－</v>
      </c>
      <c r="V117" s="65">
        <f>532490400</f>
        <v>532490400</v>
      </c>
      <c r="W117" s="65" t="str">
        <f>"－"</f>
        <v>－</v>
      </c>
      <c r="X117" s="69">
        <f>20</f>
        <v>20</v>
      </c>
    </row>
    <row r="118" spans="1:24">
      <c r="A118" s="60" t="s">
        <v>934</v>
      </c>
      <c r="B118" s="60" t="s">
        <v>399</v>
      </c>
      <c r="C118" s="60" t="s">
        <v>400</v>
      </c>
      <c r="D118" s="60" t="s">
        <v>401</v>
      </c>
      <c r="E118" s="61" t="s">
        <v>46</v>
      </c>
      <c r="F118" s="62" t="s">
        <v>46</v>
      </c>
      <c r="G118" s="63" t="s">
        <v>46</v>
      </c>
      <c r="H118" s="64" t="s">
        <v>878</v>
      </c>
      <c r="I118" s="64"/>
      <c r="J118" s="65">
        <v>10</v>
      </c>
      <c r="K118" s="66">
        <f>1697</f>
        <v>1697</v>
      </c>
      <c r="L118" s="67" t="s">
        <v>857</v>
      </c>
      <c r="M118" s="66">
        <f>1778</f>
        <v>1778</v>
      </c>
      <c r="N118" s="67" t="s">
        <v>50</v>
      </c>
      <c r="O118" s="66">
        <f>1691</f>
        <v>1691</v>
      </c>
      <c r="P118" s="67" t="s">
        <v>857</v>
      </c>
      <c r="Q118" s="66">
        <f>1778</f>
        <v>1778</v>
      </c>
      <c r="R118" s="67" t="s">
        <v>50</v>
      </c>
      <c r="S118" s="68">
        <f>1749.67</f>
        <v>1749.67</v>
      </c>
      <c r="T118" s="65">
        <f>1450</f>
        <v>1450</v>
      </c>
      <c r="U118" s="65" t="str">
        <f>"－"</f>
        <v>－</v>
      </c>
      <c r="V118" s="65">
        <f>2510350</f>
        <v>2510350</v>
      </c>
      <c r="W118" s="65" t="str">
        <f>"－"</f>
        <v>－</v>
      </c>
      <c r="X118" s="69">
        <f>9</f>
        <v>9</v>
      </c>
    </row>
    <row r="119" spans="1:24">
      <c r="A119" s="60" t="s">
        <v>934</v>
      </c>
      <c r="B119" s="60" t="s">
        <v>402</v>
      </c>
      <c r="C119" s="60" t="s">
        <v>403</v>
      </c>
      <c r="D119" s="60" t="s">
        <v>404</v>
      </c>
      <c r="E119" s="61" t="s">
        <v>46</v>
      </c>
      <c r="F119" s="62" t="s">
        <v>46</v>
      </c>
      <c r="G119" s="63" t="s">
        <v>46</v>
      </c>
      <c r="H119" s="64"/>
      <c r="I119" s="64" t="s">
        <v>47</v>
      </c>
      <c r="J119" s="65">
        <v>10</v>
      </c>
      <c r="K119" s="66">
        <f>766</f>
        <v>766</v>
      </c>
      <c r="L119" s="67" t="s">
        <v>853</v>
      </c>
      <c r="M119" s="66">
        <f>807</f>
        <v>807</v>
      </c>
      <c r="N119" s="67" t="s">
        <v>77</v>
      </c>
      <c r="O119" s="66">
        <f>700</f>
        <v>700</v>
      </c>
      <c r="P119" s="67" t="s">
        <v>132</v>
      </c>
      <c r="Q119" s="66">
        <f>743</f>
        <v>743</v>
      </c>
      <c r="R119" s="67" t="s">
        <v>873</v>
      </c>
      <c r="S119" s="68">
        <f>761.4</f>
        <v>761.4</v>
      </c>
      <c r="T119" s="65">
        <f>28520</f>
        <v>28520</v>
      </c>
      <c r="U119" s="65">
        <f>10</f>
        <v>10</v>
      </c>
      <c r="V119" s="65">
        <f>21241210</f>
        <v>21241210</v>
      </c>
      <c r="W119" s="65">
        <f>7080</f>
        <v>7080</v>
      </c>
      <c r="X119" s="69">
        <f>20</f>
        <v>20</v>
      </c>
    </row>
    <row r="120" spans="1:24">
      <c r="A120" s="60" t="s">
        <v>934</v>
      </c>
      <c r="B120" s="60" t="s">
        <v>408</v>
      </c>
      <c r="C120" s="60" t="s">
        <v>409</v>
      </c>
      <c r="D120" s="60" t="s">
        <v>410</v>
      </c>
      <c r="E120" s="61" t="s">
        <v>46</v>
      </c>
      <c r="F120" s="62" t="s">
        <v>46</v>
      </c>
      <c r="G120" s="63" t="s">
        <v>46</v>
      </c>
      <c r="H120" s="64"/>
      <c r="I120" s="64" t="s">
        <v>47</v>
      </c>
      <c r="J120" s="65">
        <v>1</v>
      </c>
      <c r="K120" s="66">
        <f>22610</f>
        <v>22610</v>
      </c>
      <c r="L120" s="67" t="s">
        <v>853</v>
      </c>
      <c r="M120" s="66">
        <f>24430</f>
        <v>24430</v>
      </c>
      <c r="N120" s="67" t="s">
        <v>49</v>
      </c>
      <c r="O120" s="66">
        <f>22610</f>
        <v>22610</v>
      </c>
      <c r="P120" s="67" t="s">
        <v>853</v>
      </c>
      <c r="Q120" s="66">
        <f>23950</f>
        <v>23950</v>
      </c>
      <c r="R120" s="67" t="s">
        <v>873</v>
      </c>
      <c r="S120" s="68">
        <f>23794</f>
        <v>23794</v>
      </c>
      <c r="T120" s="65">
        <f>111988</f>
        <v>111988</v>
      </c>
      <c r="U120" s="65">
        <f>7648</f>
        <v>7648</v>
      </c>
      <c r="V120" s="65">
        <f>2648464703</f>
        <v>2648464703</v>
      </c>
      <c r="W120" s="65">
        <f>177056103</f>
        <v>177056103</v>
      </c>
      <c r="X120" s="69">
        <f>20</f>
        <v>20</v>
      </c>
    </row>
    <row r="121" spans="1:24">
      <c r="A121" s="60" t="s">
        <v>934</v>
      </c>
      <c r="B121" s="60" t="s">
        <v>411</v>
      </c>
      <c r="C121" s="60" t="s">
        <v>412</v>
      </c>
      <c r="D121" s="60" t="s">
        <v>413</v>
      </c>
      <c r="E121" s="61" t="s">
        <v>46</v>
      </c>
      <c r="F121" s="62" t="s">
        <v>46</v>
      </c>
      <c r="G121" s="63" t="s">
        <v>46</v>
      </c>
      <c r="H121" s="64"/>
      <c r="I121" s="64" t="s">
        <v>47</v>
      </c>
      <c r="J121" s="65">
        <v>1</v>
      </c>
      <c r="K121" s="66">
        <f>2245</f>
        <v>2245</v>
      </c>
      <c r="L121" s="67" t="s">
        <v>853</v>
      </c>
      <c r="M121" s="66">
        <f>2452</f>
        <v>2452</v>
      </c>
      <c r="N121" s="67" t="s">
        <v>49</v>
      </c>
      <c r="O121" s="66">
        <f>2245</f>
        <v>2245</v>
      </c>
      <c r="P121" s="67" t="s">
        <v>853</v>
      </c>
      <c r="Q121" s="66">
        <f>2366</f>
        <v>2366</v>
      </c>
      <c r="R121" s="67" t="s">
        <v>873</v>
      </c>
      <c r="S121" s="68">
        <f>2383.3</f>
        <v>2383.3000000000002</v>
      </c>
      <c r="T121" s="65">
        <f>42081</f>
        <v>42081</v>
      </c>
      <c r="U121" s="65" t="str">
        <f>"－"</f>
        <v>－</v>
      </c>
      <c r="V121" s="65">
        <f>99772356</f>
        <v>99772356</v>
      </c>
      <c r="W121" s="65" t="str">
        <f>"－"</f>
        <v>－</v>
      </c>
      <c r="X121" s="69">
        <f>20</f>
        <v>20</v>
      </c>
    </row>
    <row r="122" spans="1:24">
      <c r="A122" s="60" t="s">
        <v>934</v>
      </c>
      <c r="B122" s="60" t="s">
        <v>414</v>
      </c>
      <c r="C122" s="60" t="s">
        <v>415</v>
      </c>
      <c r="D122" s="60" t="s">
        <v>416</v>
      </c>
      <c r="E122" s="61" t="s">
        <v>46</v>
      </c>
      <c r="F122" s="62" t="s">
        <v>46</v>
      </c>
      <c r="G122" s="63" t="s">
        <v>46</v>
      </c>
      <c r="H122" s="64"/>
      <c r="I122" s="64" t="s">
        <v>47</v>
      </c>
      <c r="J122" s="65">
        <v>10</v>
      </c>
      <c r="K122" s="66">
        <f>16020</f>
        <v>16020</v>
      </c>
      <c r="L122" s="67" t="s">
        <v>853</v>
      </c>
      <c r="M122" s="66">
        <f>19150</f>
        <v>19150</v>
      </c>
      <c r="N122" s="67" t="s">
        <v>49</v>
      </c>
      <c r="O122" s="66">
        <f>16020</f>
        <v>16020</v>
      </c>
      <c r="P122" s="67" t="s">
        <v>853</v>
      </c>
      <c r="Q122" s="66">
        <f>17750</f>
        <v>17750</v>
      </c>
      <c r="R122" s="67" t="s">
        <v>873</v>
      </c>
      <c r="S122" s="68">
        <f>18071</f>
        <v>18071</v>
      </c>
      <c r="T122" s="65">
        <f>23023070</f>
        <v>23023070</v>
      </c>
      <c r="U122" s="65">
        <f>130</f>
        <v>130</v>
      </c>
      <c r="V122" s="65">
        <f>412525397000</f>
        <v>412525397000</v>
      </c>
      <c r="W122" s="65">
        <f>2312300</f>
        <v>2312300</v>
      </c>
      <c r="X122" s="69">
        <f>20</f>
        <v>20</v>
      </c>
    </row>
    <row r="123" spans="1:24">
      <c r="A123" s="60" t="s">
        <v>934</v>
      </c>
      <c r="B123" s="60" t="s">
        <v>417</v>
      </c>
      <c r="C123" s="60" t="s">
        <v>418</v>
      </c>
      <c r="D123" s="60" t="s">
        <v>419</v>
      </c>
      <c r="E123" s="61" t="s">
        <v>46</v>
      </c>
      <c r="F123" s="62" t="s">
        <v>46</v>
      </c>
      <c r="G123" s="63" t="s">
        <v>46</v>
      </c>
      <c r="H123" s="64"/>
      <c r="I123" s="64" t="s">
        <v>47</v>
      </c>
      <c r="J123" s="65">
        <v>10</v>
      </c>
      <c r="K123" s="66">
        <f>2741</f>
        <v>2741</v>
      </c>
      <c r="L123" s="67" t="s">
        <v>853</v>
      </c>
      <c r="M123" s="66">
        <f>2741</f>
        <v>2741</v>
      </c>
      <c r="N123" s="67" t="s">
        <v>853</v>
      </c>
      <c r="O123" s="66">
        <f>2502</f>
        <v>2502</v>
      </c>
      <c r="P123" s="67" t="s">
        <v>49</v>
      </c>
      <c r="Q123" s="66">
        <f>2592</f>
        <v>2592</v>
      </c>
      <c r="R123" s="67" t="s">
        <v>873</v>
      </c>
      <c r="S123" s="68">
        <f>2577.3</f>
        <v>2577.3000000000002</v>
      </c>
      <c r="T123" s="65">
        <f>2821570</f>
        <v>2821570</v>
      </c>
      <c r="U123" s="65" t="str">
        <f>"－"</f>
        <v>－</v>
      </c>
      <c r="V123" s="65">
        <f>7221595070</f>
        <v>7221595070</v>
      </c>
      <c r="W123" s="65" t="str">
        <f>"－"</f>
        <v>－</v>
      </c>
      <c r="X123" s="69">
        <f>20</f>
        <v>20</v>
      </c>
    </row>
    <row r="124" spans="1:24">
      <c r="A124" s="60" t="s">
        <v>934</v>
      </c>
      <c r="B124" s="60" t="s">
        <v>420</v>
      </c>
      <c r="C124" s="60" t="s">
        <v>421</v>
      </c>
      <c r="D124" s="60" t="s">
        <v>422</v>
      </c>
      <c r="E124" s="61" t="s">
        <v>46</v>
      </c>
      <c r="F124" s="62" t="s">
        <v>46</v>
      </c>
      <c r="G124" s="63" t="s">
        <v>46</v>
      </c>
      <c r="H124" s="64"/>
      <c r="I124" s="64" t="s">
        <v>47</v>
      </c>
      <c r="J124" s="65">
        <v>10</v>
      </c>
      <c r="K124" s="66">
        <f>972</f>
        <v>972</v>
      </c>
      <c r="L124" s="67" t="s">
        <v>858</v>
      </c>
      <c r="M124" s="66">
        <f>1006</f>
        <v>1006</v>
      </c>
      <c r="N124" s="67" t="s">
        <v>858</v>
      </c>
      <c r="O124" s="66">
        <f>945</f>
        <v>945</v>
      </c>
      <c r="P124" s="67" t="s">
        <v>50</v>
      </c>
      <c r="Q124" s="66">
        <f>960</f>
        <v>960</v>
      </c>
      <c r="R124" s="67" t="s">
        <v>873</v>
      </c>
      <c r="S124" s="68">
        <f>975.71</f>
        <v>975.71</v>
      </c>
      <c r="T124" s="65">
        <f>580</f>
        <v>580</v>
      </c>
      <c r="U124" s="65" t="str">
        <f>"－"</f>
        <v>－</v>
      </c>
      <c r="V124" s="65">
        <f>554640</f>
        <v>554640</v>
      </c>
      <c r="W124" s="65" t="str">
        <f>"－"</f>
        <v>－</v>
      </c>
      <c r="X124" s="69">
        <f>7</f>
        <v>7</v>
      </c>
    </row>
    <row r="125" spans="1:24">
      <c r="A125" s="60" t="s">
        <v>934</v>
      </c>
      <c r="B125" s="60" t="s">
        <v>423</v>
      </c>
      <c r="C125" s="60" t="s">
        <v>424</v>
      </c>
      <c r="D125" s="60" t="s">
        <v>425</v>
      </c>
      <c r="E125" s="61" t="s">
        <v>46</v>
      </c>
      <c r="F125" s="62" t="s">
        <v>46</v>
      </c>
      <c r="G125" s="63" t="s">
        <v>46</v>
      </c>
      <c r="H125" s="64"/>
      <c r="I125" s="64" t="s">
        <v>47</v>
      </c>
      <c r="J125" s="65">
        <v>10</v>
      </c>
      <c r="K125" s="66">
        <f>1550</f>
        <v>1550</v>
      </c>
      <c r="L125" s="67" t="s">
        <v>853</v>
      </c>
      <c r="M125" s="66">
        <f>1666</f>
        <v>1666</v>
      </c>
      <c r="N125" s="67" t="s">
        <v>49</v>
      </c>
      <c r="O125" s="66">
        <f>1550</f>
        <v>1550</v>
      </c>
      <c r="P125" s="67" t="s">
        <v>853</v>
      </c>
      <c r="Q125" s="66">
        <f>1616</f>
        <v>1616</v>
      </c>
      <c r="R125" s="67" t="s">
        <v>50</v>
      </c>
      <c r="S125" s="68">
        <f>1624.5</f>
        <v>1624.5</v>
      </c>
      <c r="T125" s="65">
        <f>1020</f>
        <v>1020</v>
      </c>
      <c r="U125" s="65" t="str">
        <f>"－"</f>
        <v>－</v>
      </c>
      <c r="V125" s="65">
        <f>1643020</f>
        <v>1643020</v>
      </c>
      <c r="W125" s="65" t="str">
        <f>"－"</f>
        <v>－</v>
      </c>
      <c r="X125" s="69">
        <f>12</f>
        <v>12</v>
      </c>
    </row>
    <row r="126" spans="1:24">
      <c r="A126" s="60" t="s">
        <v>934</v>
      </c>
      <c r="B126" s="60" t="s">
        <v>426</v>
      </c>
      <c r="C126" s="60" t="s">
        <v>427</v>
      </c>
      <c r="D126" s="60" t="s">
        <v>428</v>
      </c>
      <c r="E126" s="61" t="s">
        <v>46</v>
      </c>
      <c r="F126" s="62" t="s">
        <v>46</v>
      </c>
      <c r="G126" s="63" t="s">
        <v>46</v>
      </c>
      <c r="H126" s="64"/>
      <c r="I126" s="64" t="s">
        <v>47</v>
      </c>
      <c r="J126" s="65">
        <v>1</v>
      </c>
      <c r="K126" s="66">
        <f>1765</f>
        <v>1765</v>
      </c>
      <c r="L126" s="67" t="s">
        <v>853</v>
      </c>
      <c r="M126" s="66">
        <f>1886</f>
        <v>1886</v>
      </c>
      <c r="N126" s="67" t="s">
        <v>855</v>
      </c>
      <c r="O126" s="66">
        <f>1725</f>
        <v>1725</v>
      </c>
      <c r="P126" s="67" t="s">
        <v>853</v>
      </c>
      <c r="Q126" s="66">
        <f>1841</f>
        <v>1841</v>
      </c>
      <c r="R126" s="67" t="s">
        <v>873</v>
      </c>
      <c r="S126" s="68">
        <f>1830</f>
        <v>1830</v>
      </c>
      <c r="T126" s="65">
        <f>46796</f>
        <v>46796</v>
      </c>
      <c r="U126" s="65">
        <f>45000</f>
        <v>45000</v>
      </c>
      <c r="V126" s="65">
        <f>85947765</f>
        <v>85947765</v>
      </c>
      <c r="W126" s="65">
        <f>82655550</f>
        <v>82655550</v>
      </c>
      <c r="X126" s="69">
        <f>19</f>
        <v>19</v>
      </c>
    </row>
    <row r="127" spans="1:24">
      <c r="A127" s="60" t="s">
        <v>934</v>
      </c>
      <c r="B127" s="60" t="s">
        <v>429</v>
      </c>
      <c r="C127" s="60" t="s">
        <v>430</v>
      </c>
      <c r="D127" s="60" t="s">
        <v>431</v>
      </c>
      <c r="E127" s="61" t="s">
        <v>46</v>
      </c>
      <c r="F127" s="62" t="s">
        <v>46</v>
      </c>
      <c r="G127" s="63" t="s">
        <v>46</v>
      </c>
      <c r="H127" s="64"/>
      <c r="I127" s="64" t="s">
        <v>47</v>
      </c>
      <c r="J127" s="65">
        <v>1</v>
      </c>
      <c r="K127" s="66">
        <f>17780</f>
        <v>17780</v>
      </c>
      <c r="L127" s="67" t="s">
        <v>853</v>
      </c>
      <c r="M127" s="66">
        <f>19270</f>
        <v>19270</v>
      </c>
      <c r="N127" s="67" t="s">
        <v>49</v>
      </c>
      <c r="O127" s="66">
        <f>17780</f>
        <v>17780</v>
      </c>
      <c r="P127" s="67" t="s">
        <v>853</v>
      </c>
      <c r="Q127" s="66">
        <f>18530</f>
        <v>18530</v>
      </c>
      <c r="R127" s="67" t="s">
        <v>873</v>
      </c>
      <c r="S127" s="68">
        <f>18737.5</f>
        <v>18737.5</v>
      </c>
      <c r="T127" s="65">
        <f>195173</f>
        <v>195173</v>
      </c>
      <c r="U127" s="65">
        <f>101750</f>
        <v>101750</v>
      </c>
      <c r="V127" s="65">
        <f>3658010425</f>
        <v>3658010425</v>
      </c>
      <c r="W127" s="65">
        <f>1910624615</f>
        <v>1910624615</v>
      </c>
      <c r="X127" s="69">
        <f>20</f>
        <v>20</v>
      </c>
    </row>
    <row r="128" spans="1:24">
      <c r="A128" s="60" t="s">
        <v>934</v>
      </c>
      <c r="B128" s="60" t="s">
        <v>432</v>
      </c>
      <c r="C128" s="60" t="s">
        <v>433</v>
      </c>
      <c r="D128" s="60" t="s">
        <v>434</v>
      </c>
      <c r="E128" s="61" t="s">
        <v>46</v>
      </c>
      <c r="F128" s="62" t="s">
        <v>46</v>
      </c>
      <c r="G128" s="63" t="s">
        <v>46</v>
      </c>
      <c r="H128" s="64"/>
      <c r="I128" s="64" t="s">
        <v>47</v>
      </c>
      <c r="J128" s="65">
        <v>1</v>
      </c>
      <c r="K128" s="66">
        <f>1623</f>
        <v>1623</v>
      </c>
      <c r="L128" s="67" t="s">
        <v>853</v>
      </c>
      <c r="M128" s="66">
        <f>1756</f>
        <v>1756</v>
      </c>
      <c r="N128" s="67" t="s">
        <v>49</v>
      </c>
      <c r="O128" s="66">
        <f>1623</f>
        <v>1623</v>
      </c>
      <c r="P128" s="67" t="s">
        <v>853</v>
      </c>
      <c r="Q128" s="66">
        <f>1690</f>
        <v>1690</v>
      </c>
      <c r="R128" s="67" t="s">
        <v>873</v>
      </c>
      <c r="S128" s="68">
        <f>1709.8</f>
        <v>1709.8</v>
      </c>
      <c r="T128" s="65">
        <f>176761</f>
        <v>176761</v>
      </c>
      <c r="U128" s="65">
        <f>3</f>
        <v>3</v>
      </c>
      <c r="V128" s="65">
        <f>301589420</f>
        <v>301589420</v>
      </c>
      <c r="W128" s="65">
        <f>5000</f>
        <v>5000</v>
      </c>
      <c r="X128" s="69">
        <f>20</f>
        <v>20</v>
      </c>
    </row>
    <row r="129" spans="1:24">
      <c r="A129" s="60" t="s">
        <v>934</v>
      </c>
      <c r="B129" s="60" t="s">
        <v>435</v>
      </c>
      <c r="C129" s="60" t="s">
        <v>436</v>
      </c>
      <c r="D129" s="60" t="s">
        <v>437</v>
      </c>
      <c r="E129" s="61" t="s">
        <v>46</v>
      </c>
      <c r="F129" s="62" t="s">
        <v>46</v>
      </c>
      <c r="G129" s="63" t="s">
        <v>46</v>
      </c>
      <c r="H129" s="64"/>
      <c r="I129" s="64" t="s">
        <v>47</v>
      </c>
      <c r="J129" s="65">
        <v>1</v>
      </c>
      <c r="K129" s="66">
        <f>18080</f>
        <v>18080</v>
      </c>
      <c r="L129" s="67" t="s">
        <v>853</v>
      </c>
      <c r="M129" s="66">
        <f>19620</f>
        <v>19620</v>
      </c>
      <c r="N129" s="67" t="s">
        <v>49</v>
      </c>
      <c r="O129" s="66">
        <f>18080</f>
        <v>18080</v>
      </c>
      <c r="P129" s="67" t="s">
        <v>853</v>
      </c>
      <c r="Q129" s="66">
        <f>18880</f>
        <v>18880</v>
      </c>
      <c r="R129" s="67" t="s">
        <v>873</v>
      </c>
      <c r="S129" s="68">
        <f>19094.5</f>
        <v>19094.5</v>
      </c>
      <c r="T129" s="65">
        <f>49083</f>
        <v>49083</v>
      </c>
      <c r="U129" s="65">
        <f>8100</f>
        <v>8100</v>
      </c>
      <c r="V129" s="65">
        <f>934835280</f>
        <v>934835280</v>
      </c>
      <c r="W129" s="65">
        <f>152169300</f>
        <v>152169300</v>
      </c>
      <c r="X129" s="69">
        <f>20</f>
        <v>20</v>
      </c>
    </row>
    <row r="130" spans="1:24">
      <c r="A130" s="60" t="s">
        <v>934</v>
      </c>
      <c r="B130" s="60" t="s">
        <v>438</v>
      </c>
      <c r="C130" s="60" t="s">
        <v>439</v>
      </c>
      <c r="D130" s="60" t="s">
        <v>440</v>
      </c>
      <c r="E130" s="61" t="s">
        <v>46</v>
      </c>
      <c r="F130" s="62" t="s">
        <v>46</v>
      </c>
      <c r="G130" s="63" t="s">
        <v>46</v>
      </c>
      <c r="H130" s="64"/>
      <c r="I130" s="64" t="s">
        <v>47</v>
      </c>
      <c r="J130" s="65">
        <v>10</v>
      </c>
      <c r="K130" s="66">
        <f>2185</f>
        <v>2185</v>
      </c>
      <c r="L130" s="67" t="s">
        <v>853</v>
      </c>
      <c r="M130" s="66">
        <f>2209</f>
        <v>2209</v>
      </c>
      <c r="N130" s="67" t="s">
        <v>77</v>
      </c>
      <c r="O130" s="66">
        <f>2120</f>
        <v>2120</v>
      </c>
      <c r="P130" s="67" t="s">
        <v>132</v>
      </c>
      <c r="Q130" s="66">
        <f>2122</f>
        <v>2122</v>
      </c>
      <c r="R130" s="67" t="s">
        <v>873</v>
      </c>
      <c r="S130" s="68">
        <f>2167.05</f>
        <v>2167.0500000000002</v>
      </c>
      <c r="T130" s="65">
        <f>989660</f>
        <v>989660</v>
      </c>
      <c r="U130" s="65">
        <f>307330</f>
        <v>307330</v>
      </c>
      <c r="V130" s="65">
        <f>2137144097</f>
        <v>2137144097</v>
      </c>
      <c r="W130" s="65">
        <f>665203507</f>
        <v>665203507</v>
      </c>
      <c r="X130" s="69">
        <f>20</f>
        <v>20</v>
      </c>
    </row>
    <row r="131" spans="1:24">
      <c r="A131" s="60" t="s">
        <v>934</v>
      </c>
      <c r="B131" s="60" t="s">
        <v>441</v>
      </c>
      <c r="C131" s="60" t="s">
        <v>442</v>
      </c>
      <c r="D131" s="60" t="s">
        <v>443</v>
      </c>
      <c r="E131" s="61" t="s">
        <v>46</v>
      </c>
      <c r="F131" s="62" t="s">
        <v>46</v>
      </c>
      <c r="G131" s="63" t="s">
        <v>46</v>
      </c>
      <c r="H131" s="64"/>
      <c r="I131" s="64" t="s">
        <v>47</v>
      </c>
      <c r="J131" s="65">
        <v>10</v>
      </c>
      <c r="K131" s="66">
        <f>1741</f>
        <v>1741</v>
      </c>
      <c r="L131" s="67" t="s">
        <v>858</v>
      </c>
      <c r="M131" s="66">
        <f>1842</f>
        <v>1842</v>
      </c>
      <c r="N131" s="67" t="s">
        <v>49</v>
      </c>
      <c r="O131" s="66">
        <f>1741</f>
        <v>1741</v>
      </c>
      <c r="P131" s="67" t="s">
        <v>858</v>
      </c>
      <c r="Q131" s="66">
        <f>1786</f>
        <v>1786</v>
      </c>
      <c r="R131" s="67" t="s">
        <v>50</v>
      </c>
      <c r="S131" s="68">
        <f>1802.45</f>
        <v>1802.45</v>
      </c>
      <c r="T131" s="65">
        <f>280</f>
        <v>280</v>
      </c>
      <c r="U131" s="65">
        <f>10</f>
        <v>10</v>
      </c>
      <c r="V131" s="65">
        <f>503500</f>
        <v>503500</v>
      </c>
      <c r="W131" s="65">
        <f>17890</f>
        <v>17890</v>
      </c>
      <c r="X131" s="69">
        <f>11</f>
        <v>11</v>
      </c>
    </row>
    <row r="132" spans="1:24">
      <c r="A132" s="60" t="s">
        <v>934</v>
      </c>
      <c r="B132" s="60" t="s">
        <v>444</v>
      </c>
      <c r="C132" s="60" t="s">
        <v>445</v>
      </c>
      <c r="D132" s="60" t="s">
        <v>446</v>
      </c>
      <c r="E132" s="61" t="s">
        <v>46</v>
      </c>
      <c r="F132" s="62" t="s">
        <v>46</v>
      </c>
      <c r="G132" s="63" t="s">
        <v>46</v>
      </c>
      <c r="H132" s="64"/>
      <c r="I132" s="64" t="s">
        <v>47</v>
      </c>
      <c r="J132" s="65">
        <v>10</v>
      </c>
      <c r="K132" s="66">
        <f>2209</f>
        <v>2209</v>
      </c>
      <c r="L132" s="67" t="s">
        <v>853</v>
      </c>
      <c r="M132" s="66">
        <f>2230</f>
        <v>2230</v>
      </c>
      <c r="N132" s="67" t="s">
        <v>77</v>
      </c>
      <c r="O132" s="66">
        <f>2120</f>
        <v>2120</v>
      </c>
      <c r="P132" s="67" t="s">
        <v>873</v>
      </c>
      <c r="Q132" s="66">
        <f>2120</f>
        <v>2120</v>
      </c>
      <c r="R132" s="67" t="s">
        <v>873</v>
      </c>
      <c r="S132" s="68">
        <f>2170.55</f>
        <v>2170.5500000000002</v>
      </c>
      <c r="T132" s="65">
        <f>431670</f>
        <v>431670</v>
      </c>
      <c r="U132" s="65">
        <f>206620</f>
        <v>206620</v>
      </c>
      <c r="V132" s="65">
        <f>935547790</f>
        <v>935547790</v>
      </c>
      <c r="W132" s="65">
        <f>443663310</f>
        <v>443663310</v>
      </c>
      <c r="X132" s="69">
        <f>20</f>
        <v>20</v>
      </c>
    </row>
    <row r="133" spans="1:24">
      <c r="A133" s="60" t="s">
        <v>934</v>
      </c>
      <c r="B133" s="60" t="s">
        <v>447</v>
      </c>
      <c r="C133" s="60" t="s">
        <v>448</v>
      </c>
      <c r="D133" s="60" t="s">
        <v>449</v>
      </c>
      <c r="E133" s="61" t="s">
        <v>896</v>
      </c>
      <c r="F133" s="62" t="s">
        <v>897</v>
      </c>
      <c r="G133" s="63" t="s">
        <v>935</v>
      </c>
      <c r="H133" s="64" t="s">
        <v>878</v>
      </c>
      <c r="I133" s="64"/>
      <c r="J133" s="65">
        <v>1</v>
      </c>
      <c r="K133" s="66">
        <f>20000</f>
        <v>20000</v>
      </c>
      <c r="L133" s="67" t="s">
        <v>853</v>
      </c>
      <c r="M133" s="66">
        <f>21610</f>
        <v>21610</v>
      </c>
      <c r="N133" s="67" t="s">
        <v>69</v>
      </c>
      <c r="O133" s="66">
        <f>20000</f>
        <v>20000</v>
      </c>
      <c r="P133" s="67" t="s">
        <v>853</v>
      </c>
      <c r="Q133" s="66">
        <f>21580</f>
        <v>21580</v>
      </c>
      <c r="R133" s="67" t="s">
        <v>854</v>
      </c>
      <c r="S133" s="68">
        <f>20722.86</f>
        <v>20722.86</v>
      </c>
      <c r="T133" s="65">
        <f>247</f>
        <v>247</v>
      </c>
      <c r="U133" s="65" t="str">
        <f>"－"</f>
        <v>－</v>
      </c>
      <c r="V133" s="65">
        <f>5322570</f>
        <v>5322570</v>
      </c>
      <c r="W133" s="65" t="str">
        <f>"－"</f>
        <v>－</v>
      </c>
      <c r="X133" s="69">
        <f>7</f>
        <v>7</v>
      </c>
    </row>
    <row r="134" spans="1:24">
      <c r="A134" s="60" t="s">
        <v>934</v>
      </c>
      <c r="B134" s="60" t="s">
        <v>450</v>
      </c>
      <c r="C134" s="60" t="s">
        <v>451</v>
      </c>
      <c r="D134" s="60" t="s">
        <v>452</v>
      </c>
      <c r="E134" s="61" t="s">
        <v>46</v>
      </c>
      <c r="F134" s="62" t="s">
        <v>46</v>
      </c>
      <c r="G134" s="63" t="s">
        <v>46</v>
      </c>
      <c r="H134" s="64"/>
      <c r="I134" s="64" t="s">
        <v>47</v>
      </c>
      <c r="J134" s="65">
        <v>1</v>
      </c>
      <c r="K134" s="66">
        <f>18070</f>
        <v>18070</v>
      </c>
      <c r="L134" s="67" t="s">
        <v>853</v>
      </c>
      <c r="M134" s="66">
        <f>19390</f>
        <v>19390</v>
      </c>
      <c r="N134" s="67" t="s">
        <v>49</v>
      </c>
      <c r="O134" s="66">
        <f>18070</f>
        <v>18070</v>
      </c>
      <c r="P134" s="67" t="s">
        <v>853</v>
      </c>
      <c r="Q134" s="66">
        <f>18660</f>
        <v>18660</v>
      </c>
      <c r="R134" s="67" t="s">
        <v>873</v>
      </c>
      <c r="S134" s="68">
        <f>18861.67</f>
        <v>18861.669999999998</v>
      </c>
      <c r="T134" s="65">
        <f>10589</f>
        <v>10589</v>
      </c>
      <c r="U134" s="65" t="str">
        <f>"－"</f>
        <v>－</v>
      </c>
      <c r="V134" s="65">
        <f>200187490</f>
        <v>200187490</v>
      </c>
      <c r="W134" s="65" t="str">
        <f>"－"</f>
        <v>－</v>
      </c>
      <c r="X134" s="69">
        <f>18</f>
        <v>18</v>
      </c>
    </row>
    <row r="135" spans="1:24">
      <c r="A135" s="60" t="s">
        <v>934</v>
      </c>
      <c r="B135" s="60" t="s">
        <v>453</v>
      </c>
      <c r="C135" s="60" t="s">
        <v>454</v>
      </c>
      <c r="D135" s="60" t="s">
        <v>455</v>
      </c>
      <c r="E135" s="61" t="s">
        <v>46</v>
      </c>
      <c r="F135" s="62" t="s">
        <v>46</v>
      </c>
      <c r="G135" s="63" t="s">
        <v>46</v>
      </c>
      <c r="H135" s="64"/>
      <c r="I135" s="64" t="s">
        <v>47</v>
      </c>
      <c r="J135" s="65">
        <v>100</v>
      </c>
      <c r="K135" s="66">
        <f>145</f>
        <v>145</v>
      </c>
      <c r="L135" s="67" t="s">
        <v>853</v>
      </c>
      <c r="M135" s="66">
        <f>161</f>
        <v>161</v>
      </c>
      <c r="N135" s="67" t="s">
        <v>88</v>
      </c>
      <c r="O135" s="66">
        <f>145</f>
        <v>145</v>
      </c>
      <c r="P135" s="67" t="s">
        <v>853</v>
      </c>
      <c r="Q135" s="66">
        <f>156</f>
        <v>156</v>
      </c>
      <c r="R135" s="67" t="s">
        <v>873</v>
      </c>
      <c r="S135" s="68">
        <f>152.95</f>
        <v>152.94999999999999</v>
      </c>
      <c r="T135" s="65">
        <f>66541600</f>
        <v>66541600</v>
      </c>
      <c r="U135" s="65">
        <f>15400</f>
        <v>15400</v>
      </c>
      <c r="V135" s="65">
        <f>10235494200</f>
        <v>10235494200</v>
      </c>
      <c r="W135" s="65">
        <f>2410600</f>
        <v>2410600</v>
      </c>
      <c r="X135" s="69">
        <f>20</f>
        <v>20</v>
      </c>
    </row>
    <row r="136" spans="1:24">
      <c r="A136" s="60" t="s">
        <v>934</v>
      </c>
      <c r="B136" s="60" t="s">
        <v>456</v>
      </c>
      <c r="C136" s="60" t="s">
        <v>457</v>
      </c>
      <c r="D136" s="60" t="s">
        <v>458</v>
      </c>
      <c r="E136" s="61" t="s">
        <v>46</v>
      </c>
      <c r="F136" s="62" t="s">
        <v>46</v>
      </c>
      <c r="G136" s="63" t="s">
        <v>46</v>
      </c>
      <c r="H136" s="64"/>
      <c r="I136" s="64" t="s">
        <v>47</v>
      </c>
      <c r="J136" s="65">
        <v>1</v>
      </c>
      <c r="K136" s="66">
        <f>28460</f>
        <v>28460</v>
      </c>
      <c r="L136" s="67" t="s">
        <v>853</v>
      </c>
      <c r="M136" s="66">
        <f>30250</f>
        <v>30250</v>
      </c>
      <c r="N136" s="67" t="s">
        <v>855</v>
      </c>
      <c r="O136" s="66">
        <f>28460</f>
        <v>28460</v>
      </c>
      <c r="P136" s="67" t="s">
        <v>853</v>
      </c>
      <c r="Q136" s="66">
        <f>29520</f>
        <v>29520</v>
      </c>
      <c r="R136" s="67" t="s">
        <v>873</v>
      </c>
      <c r="S136" s="68">
        <f>29589.5</f>
        <v>29589.5</v>
      </c>
      <c r="T136" s="65">
        <f>1188</f>
        <v>1188</v>
      </c>
      <c r="U136" s="65" t="str">
        <f t="shared" ref="U136:U145" si="2">"－"</f>
        <v>－</v>
      </c>
      <c r="V136" s="65">
        <f>35051850</f>
        <v>35051850</v>
      </c>
      <c r="W136" s="65" t="str">
        <f t="shared" ref="W136:W145" si="3">"－"</f>
        <v>－</v>
      </c>
      <c r="X136" s="69">
        <f>20</f>
        <v>20</v>
      </c>
    </row>
    <row r="137" spans="1:24">
      <c r="A137" s="60" t="s">
        <v>934</v>
      </c>
      <c r="B137" s="60" t="s">
        <v>459</v>
      </c>
      <c r="C137" s="60" t="s">
        <v>460</v>
      </c>
      <c r="D137" s="60" t="s">
        <v>461</v>
      </c>
      <c r="E137" s="61" t="s">
        <v>46</v>
      </c>
      <c r="F137" s="62" t="s">
        <v>46</v>
      </c>
      <c r="G137" s="63" t="s">
        <v>46</v>
      </c>
      <c r="H137" s="64"/>
      <c r="I137" s="64" t="s">
        <v>47</v>
      </c>
      <c r="J137" s="65">
        <v>1</v>
      </c>
      <c r="K137" s="66">
        <f>9400</f>
        <v>9400</v>
      </c>
      <c r="L137" s="67" t="s">
        <v>853</v>
      </c>
      <c r="M137" s="66">
        <f>10700</f>
        <v>10700</v>
      </c>
      <c r="N137" s="67" t="s">
        <v>50</v>
      </c>
      <c r="O137" s="66">
        <f>9400</f>
        <v>9400</v>
      </c>
      <c r="P137" s="67" t="s">
        <v>853</v>
      </c>
      <c r="Q137" s="66">
        <f>10550</f>
        <v>10550</v>
      </c>
      <c r="R137" s="67" t="s">
        <v>873</v>
      </c>
      <c r="S137" s="68">
        <f>9977</f>
        <v>9977</v>
      </c>
      <c r="T137" s="65">
        <f>7741</f>
        <v>7741</v>
      </c>
      <c r="U137" s="65" t="str">
        <f t="shared" si="2"/>
        <v>－</v>
      </c>
      <c r="V137" s="65">
        <f>79172470</f>
        <v>79172470</v>
      </c>
      <c r="W137" s="65" t="str">
        <f t="shared" si="3"/>
        <v>－</v>
      </c>
      <c r="X137" s="69">
        <f>20</f>
        <v>20</v>
      </c>
    </row>
    <row r="138" spans="1:24">
      <c r="A138" s="60" t="s">
        <v>934</v>
      </c>
      <c r="B138" s="60" t="s">
        <v>462</v>
      </c>
      <c r="C138" s="60" t="s">
        <v>463</v>
      </c>
      <c r="D138" s="60" t="s">
        <v>464</v>
      </c>
      <c r="E138" s="61" t="s">
        <v>46</v>
      </c>
      <c r="F138" s="62" t="s">
        <v>46</v>
      </c>
      <c r="G138" s="63" t="s">
        <v>46</v>
      </c>
      <c r="H138" s="64"/>
      <c r="I138" s="64" t="s">
        <v>47</v>
      </c>
      <c r="J138" s="65">
        <v>1</v>
      </c>
      <c r="K138" s="66">
        <f>21800</f>
        <v>21800</v>
      </c>
      <c r="L138" s="67" t="s">
        <v>853</v>
      </c>
      <c r="M138" s="66">
        <f>23560</f>
        <v>23560</v>
      </c>
      <c r="N138" s="67" t="s">
        <v>49</v>
      </c>
      <c r="O138" s="66">
        <f>21800</f>
        <v>21800</v>
      </c>
      <c r="P138" s="67" t="s">
        <v>853</v>
      </c>
      <c r="Q138" s="66">
        <f>22620</f>
        <v>22620</v>
      </c>
      <c r="R138" s="67" t="s">
        <v>873</v>
      </c>
      <c r="S138" s="68">
        <f>22889</f>
        <v>22889</v>
      </c>
      <c r="T138" s="65">
        <f>2781</f>
        <v>2781</v>
      </c>
      <c r="U138" s="65" t="str">
        <f t="shared" si="2"/>
        <v>－</v>
      </c>
      <c r="V138" s="65">
        <f>63696890</f>
        <v>63696890</v>
      </c>
      <c r="W138" s="65" t="str">
        <f t="shared" si="3"/>
        <v>－</v>
      </c>
      <c r="X138" s="69">
        <f>20</f>
        <v>20</v>
      </c>
    </row>
    <row r="139" spans="1:24">
      <c r="A139" s="60" t="s">
        <v>934</v>
      </c>
      <c r="B139" s="60" t="s">
        <v>465</v>
      </c>
      <c r="C139" s="60" t="s">
        <v>466</v>
      </c>
      <c r="D139" s="60" t="s">
        <v>467</v>
      </c>
      <c r="E139" s="61" t="s">
        <v>46</v>
      </c>
      <c r="F139" s="62" t="s">
        <v>46</v>
      </c>
      <c r="G139" s="63" t="s">
        <v>46</v>
      </c>
      <c r="H139" s="64"/>
      <c r="I139" s="64" t="s">
        <v>47</v>
      </c>
      <c r="J139" s="65">
        <v>1</v>
      </c>
      <c r="K139" s="66">
        <f>27280</f>
        <v>27280</v>
      </c>
      <c r="L139" s="67" t="s">
        <v>853</v>
      </c>
      <c r="M139" s="66">
        <f>30050</f>
        <v>30050</v>
      </c>
      <c r="N139" s="67" t="s">
        <v>49</v>
      </c>
      <c r="O139" s="66">
        <f>27280</f>
        <v>27280</v>
      </c>
      <c r="P139" s="67" t="s">
        <v>853</v>
      </c>
      <c r="Q139" s="66">
        <f>28150</f>
        <v>28150</v>
      </c>
      <c r="R139" s="67" t="s">
        <v>873</v>
      </c>
      <c r="S139" s="68">
        <f>28846.5</f>
        <v>28846.5</v>
      </c>
      <c r="T139" s="65">
        <f>1976</f>
        <v>1976</v>
      </c>
      <c r="U139" s="65" t="str">
        <f t="shared" si="2"/>
        <v>－</v>
      </c>
      <c r="V139" s="65">
        <f>56494160</f>
        <v>56494160</v>
      </c>
      <c r="W139" s="65" t="str">
        <f t="shared" si="3"/>
        <v>－</v>
      </c>
      <c r="X139" s="69">
        <f>20</f>
        <v>20</v>
      </c>
    </row>
    <row r="140" spans="1:24">
      <c r="A140" s="60" t="s">
        <v>934</v>
      </c>
      <c r="B140" s="60" t="s">
        <v>468</v>
      </c>
      <c r="C140" s="60" t="s">
        <v>469</v>
      </c>
      <c r="D140" s="60" t="s">
        <v>470</v>
      </c>
      <c r="E140" s="61" t="s">
        <v>46</v>
      </c>
      <c r="F140" s="62" t="s">
        <v>46</v>
      </c>
      <c r="G140" s="63" t="s">
        <v>46</v>
      </c>
      <c r="H140" s="64"/>
      <c r="I140" s="64" t="s">
        <v>47</v>
      </c>
      <c r="J140" s="65">
        <v>1</v>
      </c>
      <c r="K140" s="66">
        <f>23700</f>
        <v>23700</v>
      </c>
      <c r="L140" s="67" t="s">
        <v>853</v>
      </c>
      <c r="M140" s="66">
        <f>24910</f>
        <v>24910</v>
      </c>
      <c r="N140" s="67" t="s">
        <v>73</v>
      </c>
      <c r="O140" s="66">
        <f>23700</f>
        <v>23700</v>
      </c>
      <c r="P140" s="67" t="s">
        <v>853</v>
      </c>
      <c r="Q140" s="66">
        <f>24420</f>
        <v>24420</v>
      </c>
      <c r="R140" s="67" t="s">
        <v>873</v>
      </c>
      <c r="S140" s="68">
        <f>24386.5</f>
        <v>24386.5</v>
      </c>
      <c r="T140" s="65">
        <f>4202</f>
        <v>4202</v>
      </c>
      <c r="U140" s="65" t="str">
        <f t="shared" si="2"/>
        <v>－</v>
      </c>
      <c r="V140" s="65">
        <f>102722150</f>
        <v>102722150</v>
      </c>
      <c r="W140" s="65" t="str">
        <f t="shared" si="3"/>
        <v>－</v>
      </c>
      <c r="X140" s="69">
        <f>20</f>
        <v>20</v>
      </c>
    </row>
    <row r="141" spans="1:24">
      <c r="A141" s="60" t="s">
        <v>934</v>
      </c>
      <c r="B141" s="60" t="s">
        <v>471</v>
      </c>
      <c r="C141" s="60" t="s">
        <v>472</v>
      </c>
      <c r="D141" s="60" t="s">
        <v>473</v>
      </c>
      <c r="E141" s="61" t="s">
        <v>46</v>
      </c>
      <c r="F141" s="62" t="s">
        <v>46</v>
      </c>
      <c r="G141" s="63" t="s">
        <v>46</v>
      </c>
      <c r="H141" s="64"/>
      <c r="I141" s="64" t="s">
        <v>47</v>
      </c>
      <c r="J141" s="65">
        <v>1</v>
      </c>
      <c r="K141" s="66">
        <f>23230</f>
        <v>23230</v>
      </c>
      <c r="L141" s="67" t="s">
        <v>853</v>
      </c>
      <c r="M141" s="66">
        <f>24570</f>
        <v>24570</v>
      </c>
      <c r="N141" s="67" t="s">
        <v>873</v>
      </c>
      <c r="O141" s="66">
        <f>23000</f>
        <v>23000</v>
      </c>
      <c r="P141" s="67" t="s">
        <v>857</v>
      </c>
      <c r="Q141" s="66">
        <f>23950</f>
        <v>23950</v>
      </c>
      <c r="R141" s="67" t="s">
        <v>873</v>
      </c>
      <c r="S141" s="68">
        <f>23804</f>
        <v>23804</v>
      </c>
      <c r="T141" s="65">
        <f>3899</f>
        <v>3899</v>
      </c>
      <c r="U141" s="65" t="str">
        <f t="shared" si="2"/>
        <v>－</v>
      </c>
      <c r="V141" s="65">
        <f>93195880</f>
        <v>93195880</v>
      </c>
      <c r="W141" s="65" t="str">
        <f t="shared" si="3"/>
        <v>－</v>
      </c>
      <c r="X141" s="69">
        <f>20</f>
        <v>20</v>
      </c>
    </row>
    <row r="142" spans="1:24">
      <c r="A142" s="60" t="s">
        <v>934</v>
      </c>
      <c r="B142" s="60" t="s">
        <v>474</v>
      </c>
      <c r="C142" s="60" t="s">
        <v>475</v>
      </c>
      <c r="D142" s="60" t="s">
        <v>476</v>
      </c>
      <c r="E142" s="61" t="s">
        <v>46</v>
      </c>
      <c r="F142" s="62" t="s">
        <v>46</v>
      </c>
      <c r="G142" s="63" t="s">
        <v>46</v>
      </c>
      <c r="H142" s="64"/>
      <c r="I142" s="64" t="s">
        <v>47</v>
      </c>
      <c r="J142" s="65">
        <v>1</v>
      </c>
      <c r="K142" s="66">
        <f>16700</f>
        <v>16700</v>
      </c>
      <c r="L142" s="67" t="s">
        <v>853</v>
      </c>
      <c r="M142" s="66">
        <f>17700</f>
        <v>17700</v>
      </c>
      <c r="N142" s="67" t="s">
        <v>49</v>
      </c>
      <c r="O142" s="66">
        <f>15970</f>
        <v>15970</v>
      </c>
      <c r="P142" s="67" t="s">
        <v>132</v>
      </c>
      <c r="Q142" s="66">
        <f>16290</f>
        <v>16290</v>
      </c>
      <c r="R142" s="67" t="s">
        <v>873</v>
      </c>
      <c r="S142" s="68">
        <f>16885</f>
        <v>16885</v>
      </c>
      <c r="T142" s="65">
        <f>6279</f>
        <v>6279</v>
      </c>
      <c r="U142" s="65" t="str">
        <f t="shared" si="2"/>
        <v>－</v>
      </c>
      <c r="V142" s="65">
        <f>105897870</f>
        <v>105897870</v>
      </c>
      <c r="W142" s="65" t="str">
        <f t="shared" si="3"/>
        <v>－</v>
      </c>
      <c r="X142" s="69">
        <f>20</f>
        <v>20</v>
      </c>
    </row>
    <row r="143" spans="1:24">
      <c r="A143" s="60" t="s">
        <v>934</v>
      </c>
      <c r="B143" s="60" t="s">
        <v>477</v>
      </c>
      <c r="C143" s="60" t="s">
        <v>478</v>
      </c>
      <c r="D143" s="60" t="s">
        <v>479</v>
      </c>
      <c r="E143" s="61" t="s">
        <v>46</v>
      </c>
      <c r="F143" s="62" t="s">
        <v>46</v>
      </c>
      <c r="G143" s="63" t="s">
        <v>46</v>
      </c>
      <c r="H143" s="64"/>
      <c r="I143" s="64" t="s">
        <v>47</v>
      </c>
      <c r="J143" s="65">
        <v>1</v>
      </c>
      <c r="K143" s="66">
        <f>41550</f>
        <v>41550</v>
      </c>
      <c r="L143" s="67" t="s">
        <v>853</v>
      </c>
      <c r="M143" s="66">
        <f>45100</f>
        <v>45100</v>
      </c>
      <c r="N143" s="67" t="s">
        <v>49</v>
      </c>
      <c r="O143" s="66">
        <f>41000</f>
        <v>41000</v>
      </c>
      <c r="P143" s="67" t="s">
        <v>873</v>
      </c>
      <c r="Q143" s="66">
        <f>41200</f>
        <v>41200</v>
      </c>
      <c r="R143" s="67" t="s">
        <v>873</v>
      </c>
      <c r="S143" s="68">
        <f>43400</f>
        <v>43400</v>
      </c>
      <c r="T143" s="65">
        <f>953</f>
        <v>953</v>
      </c>
      <c r="U143" s="65" t="str">
        <f t="shared" si="2"/>
        <v>－</v>
      </c>
      <c r="V143" s="65">
        <f>41152450</f>
        <v>41152450</v>
      </c>
      <c r="W143" s="65" t="str">
        <f t="shared" si="3"/>
        <v>－</v>
      </c>
      <c r="X143" s="69">
        <f>20</f>
        <v>20</v>
      </c>
    </row>
    <row r="144" spans="1:24">
      <c r="A144" s="60" t="s">
        <v>934</v>
      </c>
      <c r="B144" s="60" t="s">
        <v>480</v>
      </c>
      <c r="C144" s="60" t="s">
        <v>481</v>
      </c>
      <c r="D144" s="60" t="s">
        <v>482</v>
      </c>
      <c r="E144" s="61" t="s">
        <v>46</v>
      </c>
      <c r="F144" s="62" t="s">
        <v>46</v>
      </c>
      <c r="G144" s="63" t="s">
        <v>46</v>
      </c>
      <c r="H144" s="64"/>
      <c r="I144" s="64" t="s">
        <v>47</v>
      </c>
      <c r="J144" s="65">
        <v>1</v>
      </c>
      <c r="K144" s="66">
        <f>29540</f>
        <v>29540</v>
      </c>
      <c r="L144" s="67" t="s">
        <v>853</v>
      </c>
      <c r="M144" s="66">
        <f>32650</f>
        <v>32650</v>
      </c>
      <c r="N144" s="67" t="s">
        <v>49</v>
      </c>
      <c r="O144" s="66">
        <f>29540</f>
        <v>29540</v>
      </c>
      <c r="P144" s="67" t="s">
        <v>853</v>
      </c>
      <c r="Q144" s="66">
        <f>31050</f>
        <v>31050</v>
      </c>
      <c r="R144" s="67" t="s">
        <v>873</v>
      </c>
      <c r="S144" s="68">
        <f>31582.5</f>
        <v>31582.5</v>
      </c>
      <c r="T144" s="65">
        <f>5595</f>
        <v>5595</v>
      </c>
      <c r="U144" s="65" t="str">
        <f t="shared" si="2"/>
        <v>－</v>
      </c>
      <c r="V144" s="65">
        <f>175812480</f>
        <v>175812480</v>
      </c>
      <c r="W144" s="65" t="str">
        <f t="shared" si="3"/>
        <v>－</v>
      </c>
      <c r="X144" s="69">
        <f>20</f>
        <v>20</v>
      </c>
    </row>
    <row r="145" spans="1:24">
      <c r="A145" s="60" t="s">
        <v>934</v>
      </c>
      <c r="B145" s="60" t="s">
        <v>483</v>
      </c>
      <c r="C145" s="60" t="s">
        <v>484</v>
      </c>
      <c r="D145" s="60" t="s">
        <v>485</v>
      </c>
      <c r="E145" s="61" t="s">
        <v>46</v>
      </c>
      <c r="F145" s="62" t="s">
        <v>46</v>
      </c>
      <c r="G145" s="63" t="s">
        <v>46</v>
      </c>
      <c r="H145" s="64"/>
      <c r="I145" s="64" t="s">
        <v>47</v>
      </c>
      <c r="J145" s="65">
        <v>1</v>
      </c>
      <c r="K145" s="66">
        <f>29250</f>
        <v>29250</v>
      </c>
      <c r="L145" s="67" t="s">
        <v>853</v>
      </c>
      <c r="M145" s="66">
        <f>31800</f>
        <v>31800</v>
      </c>
      <c r="N145" s="67" t="s">
        <v>49</v>
      </c>
      <c r="O145" s="66">
        <f>29250</f>
        <v>29250</v>
      </c>
      <c r="P145" s="67" t="s">
        <v>853</v>
      </c>
      <c r="Q145" s="66">
        <f>30750</f>
        <v>30750</v>
      </c>
      <c r="R145" s="67" t="s">
        <v>873</v>
      </c>
      <c r="S145" s="68">
        <f>30927.5</f>
        <v>30927.5</v>
      </c>
      <c r="T145" s="65">
        <f>3560</f>
        <v>3560</v>
      </c>
      <c r="U145" s="65" t="str">
        <f t="shared" si="2"/>
        <v>－</v>
      </c>
      <c r="V145" s="65">
        <f>109839080</f>
        <v>109839080</v>
      </c>
      <c r="W145" s="65" t="str">
        <f t="shared" si="3"/>
        <v>－</v>
      </c>
      <c r="X145" s="69">
        <f>20</f>
        <v>20</v>
      </c>
    </row>
    <row r="146" spans="1:24">
      <c r="A146" s="60" t="s">
        <v>934</v>
      </c>
      <c r="B146" s="60" t="s">
        <v>486</v>
      </c>
      <c r="C146" s="60" t="s">
        <v>487</v>
      </c>
      <c r="D146" s="60" t="s">
        <v>488</v>
      </c>
      <c r="E146" s="61" t="s">
        <v>46</v>
      </c>
      <c r="F146" s="62" t="s">
        <v>46</v>
      </c>
      <c r="G146" s="63" t="s">
        <v>46</v>
      </c>
      <c r="H146" s="64"/>
      <c r="I146" s="64" t="s">
        <v>47</v>
      </c>
      <c r="J146" s="65">
        <v>1</v>
      </c>
      <c r="K146" s="66">
        <f>5890</f>
        <v>5890</v>
      </c>
      <c r="L146" s="67" t="s">
        <v>853</v>
      </c>
      <c r="M146" s="66">
        <f>6210</f>
        <v>6210</v>
      </c>
      <c r="N146" s="67" t="s">
        <v>859</v>
      </c>
      <c r="O146" s="66">
        <f>5870</f>
        <v>5870</v>
      </c>
      <c r="P146" s="67" t="s">
        <v>853</v>
      </c>
      <c r="Q146" s="66">
        <f>5960</f>
        <v>5960</v>
      </c>
      <c r="R146" s="67" t="s">
        <v>873</v>
      </c>
      <c r="S146" s="68">
        <f>6054.5</f>
        <v>6054.5</v>
      </c>
      <c r="T146" s="65">
        <f>15847</f>
        <v>15847</v>
      </c>
      <c r="U146" s="65">
        <f>2</f>
        <v>2</v>
      </c>
      <c r="V146" s="65">
        <f>96340290</f>
        <v>96340290</v>
      </c>
      <c r="W146" s="65">
        <f>11440</f>
        <v>11440</v>
      </c>
      <c r="X146" s="69">
        <f>20</f>
        <v>20</v>
      </c>
    </row>
    <row r="147" spans="1:24">
      <c r="A147" s="60" t="s">
        <v>934</v>
      </c>
      <c r="B147" s="60" t="s">
        <v>489</v>
      </c>
      <c r="C147" s="60" t="s">
        <v>490</v>
      </c>
      <c r="D147" s="60" t="s">
        <v>491</v>
      </c>
      <c r="E147" s="61" t="s">
        <v>46</v>
      </c>
      <c r="F147" s="62" t="s">
        <v>46</v>
      </c>
      <c r="G147" s="63" t="s">
        <v>46</v>
      </c>
      <c r="H147" s="64"/>
      <c r="I147" s="64" t="s">
        <v>47</v>
      </c>
      <c r="J147" s="65">
        <v>1</v>
      </c>
      <c r="K147" s="66">
        <f>15300</f>
        <v>15300</v>
      </c>
      <c r="L147" s="67" t="s">
        <v>853</v>
      </c>
      <c r="M147" s="66">
        <f>16550</f>
        <v>16550</v>
      </c>
      <c r="N147" s="67" t="s">
        <v>73</v>
      </c>
      <c r="O147" s="66">
        <f>14700</f>
        <v>14700</v>
      </c>
      <c r="P147" s="67" t="s">
        <v>857</v>
      </c>
      <c r="Q147" s="66">
        <f>16050</f>
        <v>16050</v>
      </c>
      <c r="R147" s="67" t="s">
        <v>873</v>
      </c>
      <c r="S147" s="68">
        <f>15629</f>
        <v>15629</v>
      </c>
      <c r="T147" s="65">
        <f>36850</f>
        <v>36850</v>
      </c>
      <c r="U147" s="65">
        <f>1</f>
        <v>1</v>
      </c>
      <c r="V147" s="65">
        <f>578152280</f>
        <v>578152280</v>
      </c>
      <c r="W147" s="65">
        <f>15170</f>
        <v>15170</v>
      </c>
      <c r="X147" s="69">
        <f>20</f>
        <v>20</v>
      </c>
    </row>
    <row r="148" spans="1:24">
      <c r="A148" s="60" t="s">
        <v>934</v>
      </c>
      <c r="B148" s="60" t="s">
        <v>492</v>
      </c>
      <c r="C148" s="60" t="s">
        <v>493</v>
      </c>
      <c r="D148" s="60" t="s">
        <v>494</v>
      </c>
      <c r="E148" s="61" t="s">
        <v>46</v>
      </c>
      <c r="F148" s="62" t="s">
        <v>46</v>
      </c>
      <c r="G148" s="63" t="s">
        <v>46</v>
      </c>
      <c r="H148" s="64"/>
      <c r="I148" s="64" t="s">
        <v>47</v>
      </c>
      <c r="J148" s="65">
        <v>1</v>
      </c>
      <c r="K148" s="66">
        <f>38650</f>
        <v>38650</v>
      </c>
      <c r="L148" s="67" t="s">
        <v>853</v>
      </c>
      <c r="M148" s="66">
        <f>41500</f>
        <v>41500</v>
      </c>
      <c r="N148" s="67" t="s">
        <v>49</v>
      </c>
      <c r="O148" s="66">
        <f>38650</f>
        <v>38650</v>
      </c>
      <c r="P148" s="67" t="s">
        <v>853</v>
      </c>
      <c r="Q148" s="66">
        <f>40100</f>
        <v>40100</v>
      </c>
      <c r="R148" s="67" t="s">
        <v>873</v>
      </c>
      <c r="S148" s="68">
        <f>40150</f>
        <v>40150</v>
      </c>
      <c r="T148" s="65">
        <f>3771</f>
        <v>3771</v>
      </c>
      <c r="U148" s="65" t="str">
        <f>"－"</f>
        <v>－</v>
      </c>
      <c r="V148" s="65">
        <f>151352200</f>
        <v>151352200</v>
      </c>
      <c r="W148" s="65" t="str">
        <f>"－"</f>
        <v>－</v>
      </c>
      <c r="X148" s="69">
        <f>20</f>
        <v>20</v>
      </c>
    </row>
    <row r="149" spans="1:24">
      <c r="A149" s="60" t="s">
        <v>934</v>
      </c>
      <c r="B149" s="60" t="s">
        <v>495</v>
      </c>
      <c r="C149" s="60" t="s">
        <v>496</v>
      </c>
      <c r="D149" s="60" t="s">
        <v>497</v>
      </c>
      <c r="E149" s="61" t="s">
        <v>46</v>
      </c>
      <c r="F149" s="62" t="s">
        <v>46</v>
      </c>
      <c r="G149" s="63" t="s">
        <v>46</v>
      </c>
      <c r="H149" s="64"/>
      <c r="I149" s="64" t="s">
        <v>47</v>
      </c>
      <c r="J149" s="65">
        <v>1</v>
      </c>
      <c r="K149" s="66">
        <f>22880</f>
        <v>22880</v>
      </c>
      <c r="L149" s="67" t="s">
        <v>853</v>
      </c>
      <c r="M149" s="66">
        <f>24250</f>
        <v>24250</v>
      </c>
      <c r="N149" s="67" t="s">
        <v>73</v>
      </c>
      <c r="O149" s="66">
        <f>22880</f>
        <v>22880</v>
      </c>
      <c r="P149" s="67" t="s">
        <v>853</v>
      </c>
      <c r="Q149" s="66">
        <f>23920</f>
        <v>23920</v>
      </c>
      <c r="R149" s="67" t="s">
        <v>50</v>
      </c>
      <c r="S149" s="68">
        <f>23867.06</f>
        <v>23867.06</v>
      </c>
      <c r="T149" s="65">
        <f>276</f>
        <v>276</v>
      </c>
      <c r="U149" s="65" t="str">
        <f>"－"</f>
        <v>－</v>
      </c>
      <c r="V149" s="65">
        <f>6545640</f>
        <v>6545640</v>
      </c>
      <c r="W149" s="65" t="str">
        <f>"－"</f>
        <v>－</v>
      </c>
      <c r="X149" s="69">
        <f>17</f>
        <v>17</v>
      </c>
    </row>
    <row r="150" spans="1:24">
      <c r="A150" s="60" t="s">
        <v>934</v>
      </c>
      <c r="B150" s="60" t="s">
        <v>498</v>
      </c>
      <c r="C150" s="60" t="s">
        <v>499</v>
      </c>
      <c r="D150" s="60" t="s">
        <v>500</v>
      </c>
      <c r="E150" s="61" t="s">
        <v>46</v>
      </c>
      <c r="F150" s="62" t="s">
        <v>46</v>
      </c>
      <c r="G150" s="63" t="s">
        <v>46</v>
      </c>
      <c r="H150" s="64"/>
      <c r="I150" s="64" t="s">
        <v>47</v>
      </c>
      <c r="J150" s="65">
        <v>1</v>
      </c>
      <c r="K150" s="66">
        <f>7580</f>
        <v>7580</v>
      </c>
      <c r="L150" s="67" t="s">
        <v>853</v>
      </c>
      <c r="M150" s="66">
        <f>8390</f>
        <v>8390</v>
      </c>
      <c r="N150" s="67" t="s">
        <v>88</v>
      </c>
      <c r="O150" s="66">
        <f>7580</f>
        <v>7580</v>
      </c>
      <c r="P150" s="67" t="s">
        <v>853</v>
      </c>
      <c r="Q150" s="66">
        <f>8210</f>
        <v>8210</v>
      </c>
      <c r="R150" s="67" t="s">
        <v>873</v>
      </c>
      <c r="S150" s="68">
        <f>7999.5</f>
        <v>7999.5</v>
      </c>
      <c r="T150" s="65">
        <f>73309</f>
        <v>73309</v>
      </c>
      <c r="U150" s="65">
        <f>2</f>
        <v>2</v>
      </c>
      <c r="V150" s="65">
        <f>581445460</f>
        <v>581445460</v>
      </c>
      <c r="W150" s="65">
        <f>16520</f>
        <v>16520</v>
      </c>
      <c r="X150" s="69">
        <f>20</f>
        <v>20</v>
      </c>
    </row>
    <row r="151" spans="1:24">
      <c r="A151" s="60" t="s">
        <v>934</v>
      </c>
      <c r="B151" s="60" t="s">
        <v>501</v>
      </c>
      <c r="C151" s="60" t="s">
        <v>502</v>
      </c>
      <c r="D151" s="60" t="s">
        <v>503</v>
      </c>
      <c r="E151" s="61" t="s">
        <v>46</v>
      </c>
      <c r="F151" s="62" t="s">
        <v>46</v>
      </c>
      <c r="G151" s="63" t="s">
        <v>46</v>
      </c>
      <c r="H151" s="64"/>
      <c r="I151" s="64" t="s">
        <v>47</v>
      </c>
      <c r="J151" s="65">
        <v>1</v>
      </c>
      <c r="K151" s="66">
        <f>13050</f>
        <v>13050</v>
      </c>
      <c r="L151" s="67" t="s">
        <v>853</v>
      </c>
      <c r="M151" s="66">
        <f>14460</f>
        <v>14460</v>
      </c>
      <c r="N151" s="67" t="s">
        <v>49</v>
      </c>
      <c r="O151" s="66">
        <f>13000</f>
        <v>13000</v>
      </c>
      <c r="P151" s="67" t="s">
        <v>857</v>
      </c>
      <c r="Q151" s="66">
        <f>14100</f>
        <v>14100</v>
      </c>
      <c r="R151" s="67" t="s">
        <v>873</v>
      </c>
      <c r="S151" s="68">
        <f>13977.5</f>
        <v>13977.5</v>
      </c>
      <c r="T151" s="65">
        <f>3121</f>
        <v>3121</v>
      </c>
      <c r="U151" s="65" t="str">
        <f>"－"</f>
        <v>－</v>
      </c>
      <c r="V151" s="65">
        <f>43798820</f>
        <v>43798820</v>
      </c>
      <c r="W151" s="65" t="str">
        <f>"－"</f>
        <v>－</v>
      </c>
      <c r="X151" s="69">
        <f>20</f>
        <v>20</v>
      </c>
    </row>
    <row r="152" spans="1:24">
      <c r="A152" s="60" t="s">
        <v>934</v>
      </c>
      <c r="B152" s="60" t="s">
        <v>504</v>
      </c>
      <c r="C152" s="60" t="s">
        <v>505</v>
      </c>
      <c r="D152" s="60" t="s">
        <v>506</v>
      </c>
      <c r="E152" s="61" t="s">
        <v>46</v>
      </c>
      <c r="F152" s="62" t="s">
        <v>46</v>
      </c>
      <c r="G152" s="63" t="s">
        <v>46</v>
      </c>
      <c r="H152" s="64"/>
      <c r="I152" s="64" t="s">
        <v>47</v>
      </c>
      <c r="J152" s="65">
        <v>1</v>
      </c>
      <c r="K152" s="66">
        <f>29070</f>
        <v>29070</v>
      </c>
      <c r="L152" s="67" t="s">
        <v>853</v>
      </c>
      <c r="M152" s="66">
        <f>31350</f>
        <v>31350</v>
      </c>
      <c r="N152" s="67" t="s">
        <v>73</v>
      </c>
      <c r="O152" s="66">
        <f>28970</f>
        <v>28970</v>
      </c>
      <c r="P152" s="67" t="s">
        <v>853</v>
      </c>
      <c r="Q152" s="66">
        <f>31050</f>
        <v>31050</v>
      </c>
      <c r="R152" s="67" t="s">
        <v>873</v>
      </c>
      <c r="S152" s="68">
        <f>30431</f>
        <v>30431</v>
      </c>
      <c r="T152" s="65">
        <f>3168</f>
        <v>3168</v>
      </c>
      <c r="U152" s="65" t="str">
        <f>"－"</f>
        <v>－</v>
      </c>
      <c r="V152" s="65">
        <f>96090220</f>
        <v>96090220</v>
      </c>
      <c r="W152" s="65" t="str">
        <f>"－"</f>
        <v>－</v>
      </c>
      <c r="X152" s="69">
        <f>20</f>
        <v>20</v>
      </c>
    </row>
    <row r="153" spans="1:24">
      <c r="A153" s="60" t="s">
        <v>934</v>
      </c>
      <c r="B153" s="60" t="s">
        <v>507</v>
      </c>
      <c r="C153" s="60" t="s">
        <v>508</v>
      </c>
      <c r="D153" s="60" t="s">
        <v>509</v>
      </c>
      <c r="E153" s="61" t="s">
        <v>46</v>
      </c>
      <c r="F153" s="62" t="s">
        <v>46</v>
      </c>
      <c r="G153" s="63" t="s">
        <v>46</v>
      </c>
      <c r="H153" s="64"/>
      <c r="I153" s="64" t="s">
        <v>47</v>
      </c>
      <c r="J153" s="65">
        <v>10</v>
      </c>
      <c r="K153" s="66">
        <f>1069</f>
        <v>1069</v>
      </c>
      <c r="L153" s="67" t="s">
        <v>853</v>
      </c>
      <c r="M153" s="66">
        <f>1149</f>
        <v>1149</v>
      </c>
      <c r="N153" s="67" t="s">
        <v>88</v>
      </c>
      <c r="O153" s="66">
        <f>1059</f>
        <v>1059</v>
      </c>
      <c r="P153" s="67" t="s">
        <v>858</v>
      </c>
      <c r="Q153" s="66">
        <f>1133</f>
        <v>1133</v>
      </c>
      <c r="R153" s="67" t="s">
        <v>873</v>
      </c>
      <c r="S153" s="68">
        <f>1122.15</f>
        <v>1122.1500000000001</v>
      </c>
      <c r="T153" s="65">
        <f>166210</f>
        <v>166210</v>
      </c>
      <c r="U153" s="65">
        <f>40</f>
        <v>40</v>
      </c>
      <c r="V153" s="65">
        <f>186049600</f>
        <v>186049600</v>
      </c>
      <c r="W153" s="65">
        <f>45220</f>
        <v>45220</v>
      </c>
      <c r="X153" s="69">
        <f>20</f>
        <v>20</v>
      </c>
    </row>
    <row r="154" spans="1:24">
      <c r="A154" s="60" t="s">
        <v>934</v>
      </c>
      <c r="B154" s="60" t="s">
        <v>510</v>
      </c>
      <c r="C154" s="60" t="s">
        <v>511</v>
      </c>
      <c r="D154" s="60" t="s">
        <v>512</v>
      </c>
      <c r="E154" s="61" t="s">
        <v>46</v>
      </c>
      <c r="F154" s="62" t="s">
        <v>46</v>
      </c>
      <c r="G154" s="63" t="s">
        <v>46</v>
      </c>
      <c r="H154" s="64"/>
      <c r="I154" s="64" t="s">
        <v>47</v>
      </c>
      <c r="J154" s="65">
        <v>10</v>
      </c>
      <c r="K154" s="66">
        <f>2451</f>
        <v>2451</v>
      </c>
      <c r="L154" s="67" t="s">
        <v>857</v>
      </c>
      <c r="M154" s="66">
        <f>2616</f>
        <v>2616</v>
      </c>
      <c r="N154" s="67" t="s">
        <v>49</v>
      </c>
      <c r="O154" s="66">
        <f>2451</f>
        <v>2451</v>
      </c>
      <c r="P154" s="67" t="s">
        <v>857</v>
      </c>
      <c r="Q154" s="66">
        <f>2569</f>
        <v>2569</v>
      </c>
      <c r="R154" s="67" t="s">
        <v>88</v>
      </c>
      <c r="S154" s="68">
        <f>2566.14</f>
        <v>2566.14</v>
      </c>
      <c r="T154" s="65">
        <f>14960</f>
        <v>14960</v>
      </c>
      <c r="U154" s="65" t="str">
        <f>"－"</f>
        <v>－</v>
      </c>
      <c r="V154" s="65">
        <f>37636810</f>
        <v>37636810</v>
      </c>
      <c r="W154" s="65" t="str">
        <f>"－"</f>
        <v>－</v>
      </c>
      <c r="X154" s="69">
        <f>14</f>
        <v>14</v>
      </c>
    </row>
    <row r="155" spans="1:24">
      <c r="A155" s="60" t="s">
        <v>934</v>
      </c>
      <c r="B155" s="60" t="s">
        <v>513</v>
      </c>
      <c r="C155" s="60" t="s">
        <v>514</v>
      </c>
      <c r="D155" s="60" t="s">
        <v>515</v>
      </c>
      <c r="E155" s="61" t="s">
        <v>46</v>
      </c>
      <c r="F155" s="62" t="s">
        <v>46</v>
      </c>
      <c r="G155" s="63" t="s">
        <v>46</v>
      </c>
      <c r="H155" s="64"/>
      <c r="I155" s="64" t="s">
        <v>47</v>
      </c>
      <c r="J155" s="65">
        <v>10</v>
      </c>
      <c r="K155" s="66">
        <f>2508</f>
        <v>2508</v>
      </c>
      <c r="L155" s="67" t="s">
        <v>853</v>
      </c>
      <c r="M155" s="66">
        <f>2696</f>
        <v>2696</v>
      </c>
      <c r="N155" s="67" t="s">
        <v>49</v>
      </c>
      <c r="O155" s="66">
        <f>2508</f>
        <v>2508</v>
      </c>
      <c r="P155" s="67" t="s">
        <v>853</v>
      </c>
      <c r="Q155" s="66">
        <f>2617</f>
        <v>2617</v>
      </c>
      <c r="R155" s="67" t="s">
        <v>873</v>
      </c>
      <c r="S155" s="68">
        <f>2631.05</f>
        <v>2631.05</v>
      </c>
      <c r="T155" s="65">
        <f>89700</f>
        <v>89700</v>
      </c>
      <c r="U155" s="65">
        <f>81700</f>
        <v>81700</v>
      </c>
      <c r="V155" s="65">
        <f>230161250</f>
        <v>230161250</v>
      </c>
      <c r="W155" s="65">
        <f>209315400</f>
        <v>209315400</v>
      </c>
      <c r="X155" s="69">
        <f>20</f>
        <v>20</v>
      </c>
    </row>
    <row r="156" spans="1:24">
      <c r="A156" s="60" t="s">
        <v>934</v>
      </c>
      <c r="B156" s="60" t="s">
        <v>516</v>
      </c>
      <c r="C156" s="60" t="s">
        <v>517</v>
      </c>
      <c r="D156" s="60" t="s">
        <v>518</v>
      </c>
      <c r="E156" s="61" t="s">
        <v>46</v>
      </c>
      <c r="F156" s="62" t="s">
        <v>46</v>
      </c>
      <c r="G156" s="63" t="s">
        <v>46</v>
      </c>
      <c r="H156" s="64"/>
      <c r="I156" s="64" t="s">
        <v>47</v>
      </c>
      <c r="J156" s="65">
        <v>10</v>
      </c>
      <c r="K156" s="66">
        <f>1515</f>
        <v>1515</v>
      </c>
      <c r="L156" s="67" t="s">
        <v>853</v>
      </c>
      <c r="M156" s="66">
        <f>1622</f>
        <v>1622</v>
      </c>
      <c r="N156" s="67" t="s">
        <v>49</v>
      </c>
      <c r="O156" s="66">
        <f>1515</f>
        <v>1515</v>
      </c>
      <c r="P156" s="67" t="s">
        <v>853</v>
      </c>
      <c r="Q156" s="66">
        <f>1583</f>
        <v>1583</v>
      </c>
      <c r="R156" s="67" t="s">
        <v>873</v>
      </c>
      <c r="S156" s="68">
        <f>1589.26</f>
        <v>1589.26</v>
      </c>
      <c r="T156" s="65">
        <f>3800</f>
        <v>3800</v>
      </c>
      <c r="U156" s="65" t="str">
        <f>"－"</f>
        <v>－</v>
      </c>
      <c r="V156" s="65">
        <f>6015280</f>
        <v>6015280</v>
      </c>
      <c r="W156" s="65" t="str">
        <f>"－"</f>
        <v>－</v>
      </c>
      <c r="X156" s="69">
        <f>19</f>
        <v>19</v>
      </c>
    </row>
    <row r="157" spans="1:24">
      <c r="A157" s="60" t="s">
        <v>934</v>
      </c>
      <c r="B157" s="60" t="s">
        <v>519</v>
      </c>
      <c r="C157" s="60" t="s">
        <v>520</v>
      </c>
      <c r="D157" s="60" t="s">
        <v>521</v>
      </c>
      <c r="E157" s="61" t="s">
        <v>46</v>
      </c>
      <c r="F157" s="62" t="s">
        <v>46</v>
      </c>
      <c r="G157" s="63" t="s">
        <v>46</v>
      </c>
      <c r="H157" s="64"/>
      <c r="I157" s="64" t="s">
        <v>47</v>
      </c>
      <c r="J157" s="65">
        <v>1</v>
      </c>
      <c r="K157" s="66">
        <f>3575</f>
        <v>3575</v>
      </c>
      <c r="L157" s="67" t="s">
        <v>853</v>
      </c>
      <c r="M157" s="66">
        <f>3585</f>
        <v>3585</v>
      </c>
      <c r="N157" s="67" t="s">
        <v>853</v>
      </c>
      <c r="O157" s="66">
        <f>3390</f>
        <v>3390</v>
      </c>
      <c r="P157" s="67" t="s">
        <v>132</v>
      </c>
      <c r="Q157" s="66">
        <f>3515</f>
        <v>3515</v>
      </c>
      <c r="R157" s="67" t="s">
        <v>873</v>
      </c>
      <c r="S157" s="68">
        <f>3533.25</f>
        <v>3533.25</v>
      </c>
      <c r="T157" s="65">
        <f>5377540</f>
        <v>5377540</v>
      </c>
      <c r="U157" s="65">
        <f>196978</f>
        <v>196978</v>
      </c>
      <c r="V157" s="65">
        <f>18866786236</f>
        <v>18866786236</v>
      </c>
      <c r="W157" s="65">
        <f>681128431</f>
        <v>681128431</v>
      </c>
      <c r="X157" s="69">
        <f>20</f>
        <v>20</v>
      </c>
    </row>
    <row r="158" spans="1:24">
      <c r="A158" s="60" t="s">
        <v>934</v>
      </c>
      <c r="B158" s="60" t="s">
        <v>522</v>
      </c>
      <c r="C158" s="60" t="s">
        <v>523</v>
      </c>
      <c r="D158" s="60" t="s">
        <v>524</v>
      </c>
      <c r="E158" s="61" t="s">
        <v>46</v>
      </c>
      <c r="F158" s="62" t="s">
        <v>46</v>
      </c>
      <c r="G158" s="63" t="s">
        <v>46</v>
      </c>
      <c r="H158" s="64"/>
      <c r="I158" s="64" t="s">
        <v>47</v>
      </c>
      <c r="J158" s="65">
        <v>1</v>
      </c>
      <c r="K158" s="66">
        <f>2658</f>
        <v>2658</v>
      </c>
      <c r="L158" s="67" t="s">
        <v>853</v>
      </c>
      <c r="M158" s="66">
        <f>2661</f>
        <v>2661</v>
      </c>
      <c r="N158" s="67" t="s">
        <v>858</v>
      </c>
      <c r="O158" s="66">
        <f>2634</f>
        <v>2634</v>
      </c>
      <c r="P158" s="67" t="s">
        <v>132</v>
      </c>
      <c r="Q158" s="66">
        <f>2657</f>
        <v>2657</v>
      </c>
      <c r="R158" s="67" t="s">
        <v>873</v>
      </c>
      <c r="S158" s="68">
        <f>2649.55</f>
        <v>2649.55</v>
      </c>
      <c r="T158" s="65">
        <f>1770472</f>
        <v>1770472</v>
      </c>
      <c r="U158" s="65">
        <f>1060700</f>
        <v>1060700</v>
      </c>
      <c r="V158" s="65">
        <f>4688502573</f>
        <v>4688502573</v>
      </c>
      <c r="W158" s="65">
        <f>2811152879</f>
        <v>2811152879</v>
      </c>
      <c r="X158" s="69">
        <f>20</f>
        <v>20</v>
      </c>
    </row>
    <row r="159" spans="1:24">
      <c r="A159" s="60" t="s">
        <v>934</v>
      </c>
      <c r="B159" s="60" t="s">
        <v>525</v>
      </c>
      <c r="C159" s="60" t="s">
        <v>526</v>
      </c>
      <c r="D159" s="60" t="s">
        <v>527</v>
      </c>
      <c r="E159" s="61" t="s">
        <v>46</v>
      </c>
      <c r="F159" s="62" t="s">
        <v>46</v>
      </c>
      <c r="G159" s="63" t="s">
        <v>46</v>
      </c>
      <c r="H159" s="64"/>
      <c r="I159" s="64" t="s">
        <v>47</v>
      </c>
      <c r="J159" s="65">
        <v>1</v>
      </c>
      <c r="K159" s="66">
        <f>3170</f>
        <v>3170</v>
      </c>
      <c r="L159" s="67" t="s">
        <v>853</v>
      </c>
      <c r="M159" s="66">
        <f>3185</f>
        <v>3185</v>
      </c>
      <c r="N159" s="67" t="s">
        <v>172</v>
      </c>
      <c r="O159" s="66">
        <f>3005</f>
        <v>3005</v>
      </c>
      <c r="P159" s="67" t="s">
        <v>132</v>
      </c>
      <c r="Q159" s="66">
        <f>3105</f>
        <v>3105</v>
      </c>
      <c r="R159" s="67" t="s">
        <v>873</v>
      </c>
      <c r="S159" s="68">
        <f>3128.25</f>
        <v>3128.25</v>
      </c>
      <c r="T159" s="65">
        <f>73834</f>
        <v>73834</v>
      </c>
      <c r="U159" s="65">
        <f>1565</f>
        <v>1565</v>
      </c>
      <c r="V159" s="65">
        <f>230097134</f>
        <v>230097134</v>
      </c>
      <c r="W159" s="65">
        <f>4974039</f>
        <v>4974039</v>
      </c>
      <c r="X159" s="69">
        <f>20</f>
        <v>20</v>
      </c>
    </row>
    <row r="160" spans="1:24">
      <c r="A160" s="60" t="s">
        <v>934</v>
      </c>
      <c r="B160" s="60" t="s">
        <v>528</v>
      </c>
      <c r="C160" s="60" t="s">
        <v>529</v>
      </c>
      <c r="D160" s="60" t="s">
        <v>530</v>
      </c>
      <c r="E160" s="61" t="s">
        <v>46</v>
      </c>
      <c r="F160" s="62" t="s">
        <v>46</v>
      </c>
      <c r="G160" s="63" t="s">
        <v>46</v>
      </c>
      <c r="H160" s="64"/>
      <c r="I160" s="64" t="s">
        <v>47</v>
      </c>
      <c r="J160" s="65">
        <v>1</v>
      </c>
      <c r="K160" s="66">
        <f>2358</f>
        <v>2358</v>
      </c>
      <c r="L160" s="67" t="s">
        <v>853</v>
      </c>
      <c r="M160" s="66">
        <f>2419</f>
        <v>2419</v>
      </c>
      <c r="N160" s="67" t="s">
        <v>96</v>
      </c>
      <c r="O160" s="66">
        <f>2238</f>
        <v>2238</v>
      </c>
      <c r="P160" s="67" t="s">
        <v>132</v>
      </c>
      <c r="Q160" s="66">
        <f>2312</f>
        <v>2312</v>
      </c>
      <c r="R160" s="67" t="s">
        <v>873</v>
      </c>
      <c r="S160" s="68">
        <f>2340.65</f>
        <v>2340.65</v>
      </c>
      <c r="T160" s="65">
        <f>131640</f>
        <v>131640</v>
      </c>
      <c r="U160" s="65">
        <f>2</f>
        <v>2</v>
      </c>
      <c r="V160" s="65">
        <f>305993610</f>
        <v>305993610</v>
      </c>
      <c r="W160" s="65">
        <f>4767</f>
        <v>4767</v>
      </c>
      <c r="X160" s="69">
        <f>20</f>
        <v>20</v>
      </c>
    </row>
    <row r="161" spans="1:24">
      <c r="A161" s="60" t="s">
        <v>934</v>
      </c>
      <c r="B161" s="60" t="s">
        <v>531</v>
      </c>
      <c r="C161" s="60" t="s">
        <v>532</v>
      </c>
      <c r="D161" s="60" t="s">
        <v>533</v>
      </c>
      <c r="E161" s="61" t="s">
        <v>46</v>
      </c>
      <c r="F161" s="62" t="s">
        <v>46</v>
      </c>
      <c r="G161" s="63" t="s">
        <v>46</v>
      </c>
      <c r="H161" s="64"/>
      <c r="I161" s="64" t="s">
        <v>47</v>
      </c>
      <c r="J161" s="65">
        <v>1</v>
      </c>
      <c r="K161" s="66">
        <f>2551</f>
        <v>2551</v>
      </c>
      <c r="L161" s="67" t="s">
        <v>853</v>
      </c>
      <c r="M161" s="66">
        <f>2610</f>
        <v>2610</v>
      </c>
      <c r="N161" s="67" t="s">
        <v>858</v>
      </c>
      <c r="O161" s="66">
        <f>2451</f>
        <v>2451</v>
      </c>
      <c r="P161" s="67" t="s">
        <v>132</v>
      </c>
      <c r="Q161" s="66">
        <f>2504</f>
        <v>2504</v>
      </c>
      <c r="R161" s="67" t="s">
        <v>873</v>
      </c>
      <c r="S161" s="68">
        <f>2530.65</f>
        <v>2530.65</v>
      </c>
      <c r="T161" s="65">
        <f>330680</f>
        <v>330680</v>
      </c>
      <c r="U161" s="65" t="str">
        <f>"－"</f>
        <v>－</v>
      </c>
      <c r="V161" s="65">
        <f>834754675</f>
        <v>834754675</v>
      </c>
      <c r="W161" s="65" t="str">
        <f>"－"</f>
        <v>－</v>
      </c>
      <c r="X161" s="69">
        <f>20</f>
        <v>20</v>
      </c>
    </row>
    <row r="162" spans="1:24">
      <c r="A162" s="60" t="s">
        <v>934</v>
      </c>
      <c r="B162" s="60" t="s">
        <v>534</v>
      </c>
      <c r="C162" s="60" t="s">
        <v>535</v>
      </c>
      <c r="D162" s="60" t="s">
        <v>536</v>
      </c>
      <c r="E162" s="61" t="s">
        <v>46</v>
      </c>
      <c r="F162" s="62" t="s">
        <v>46</v>
      </c>
      <c r="G162" s="63" t="s">
        <v>46</v>
      </c>
      <c r="H162" s="64"/>
      <c r="I162" s="64" t="s">
        <v>47</v>
      </c>
      <c r="J162" s="65">
        <v>1</v>
      </c>
      <c r="K162" s="66">
        <f>12100</f>
        <v>12100</v>
      </c>
      <c r="L162" s="67" t="s">
        <v>853</v>
      </c>
      <c r="M162" s="66">
        <f>12100</f>
        <v>12100</v>
      </c>
      <c r="N162" s="67" t="s">
        <v>853</v>
      </c>
      <c r="O162" s="66">
        <f>11640</f>
        <v>11640</v>
      </c>
      <c r="P162" s="67" t="s">
        <v>132</v>
      </c>
      <c r="Q162" s="66">
        <f>11690</f>
        <v>11690</v>
      </c>
      <c r="R162" s="67" t="s">
        <v>873</v>
      </c>
      <c r="S162" s="68">
        <f>11875.5</f>
        <v>11875.5</v>
      </c>
      <c r="T162" s="65">
        <f>21824</f>
        <v>21824</v>
      </c>
      <c r="U162" s="65">
        <f>8449</f>
        <v>8449</v>
      </c>
      <c r="V162" s="65">
        <f>258640223</f>
        <v>258640223</v>
      </c>
      <c r="W162" s="65">
        <f>99899553</f>
        <v>99899553</v>
      </c>
      <c r="X162" s="69">
        <f>20</f>
        <v>20</v>
      </c>
    </row>
    <row r="163" spans="1:24">
      <c r="A163" s="60" t="s">
        <v>934</v>
      </c>
      <c r="B163" s="60" t="s">
        <v>541</v>
      </c>
      <c r="C163" s="60" t="s">
        <v>542</v>
      </c>
      <c r="D163" s="60" t="s">
        <v>543</v>
      </c>
      <c r="E163" s="61" t="s">
        <v>46</v>
      </c>
      <c r="F163" s="62" t="s">
        <v>46</v>
      </c>
      <c r="G163" s="63" t="s">
        <v>46</v>
      </c>
      <c r="H163" s="64"/>
      <c r="I163" s="64" t="s">
        <v>47</v>
      </c>
      <c r="J163" s="65">
        <v>1</v>
      </c>
      <c r="K163" s="66">
        <f>1479</f>
        <v>1479</v>
      </c>
      <c r="L163" s="67" t="s">
        <v>853</v>
      </c>
      <c r="M163" s="66">
        <f>1669</f>
        <v>1669</v>
      </c>
      <c r="N163" s="67" t="s">
        <v>88</v>
      </c>
      <c r="O163" s="66">
        <f>1457</f>
        <v>1457</v>
      </c>
      <c r="P163" s="67" t="s">
        <v>860</v>
      </c>
      <c r="Q163" s="66">
        <f>1642</f>
        <v>1642</v>
      </c>
      <c r="R163" s="67" t="s">
        <v>873</v>
      </c>
      <c r="S163" s="68">
        <f>1540.25</f>
        <v>1540.25</v>
      </c>
      <c r="T163" s="65">
        <f>24075250</f>
        <v>24075250</v>
      </c>
      <c r="U163" s="65">
        <f>21885</f>
        <v>21885</v>
      </c>
      <c r="V163" s="65">
        <f>37324901712</f>
        <v>37324901712</v>
      </c>
      <c r="W163" s="65">
        <f>33662356</f>
        <v>33662356</v>
      </c>
      <c r="X163" s="69">
        <f>20</f>
        <v>20</v>
      </c>
    </row>
    <row r="164" spans="1:24">
      <c r="A164" s="60" t="s">
        <v>934</v>
      </c>
      <c r="B164" s="60" t="s">
        <v>544</v>
      </c>
      <c r="C164" s="60" t="s">
        <v>545</v>
      </c>
      <c r="D164" s="60" t="s">
        <v>546</v>
      </c>
      <c r="E164" s="61" t="s">
        <v>46</v>
      </c>
      <c r="F164" s="62" t="s">
        <v>46</v>
      </c>
      <c r="G164" s="63" t="s">
        <v>46</v>
      </c>
      <c r="H164" s="64"/>
      <c r="I164" s="64" t="s">
        <v>47</v>
      </c>
      <c r="J164" s="65">
        <v>1</v>
      </c>
      <c r="K164" s="66">
        <f>18830</f>
        <v>18830</v>
      </c>
      <c r="L164" s="67" t="s">
        <v>853</v>
      </c>
      <c r="M164" s="66">
        <f>19000</f>
        <v>19000</v>
      </c>
      <c r="N164" s="67" t="s">
        <v>77</v>
      </c>
      <c r="O164" s="66">
        <f>18200</f>
        <v>18200</v>
      </c>
      <c r="P164" s="67" t="s">
        <v>855</v>
      </c>
      <c r="Q164" s="66">
        <f>18310</f>
        <v>18310</v>
      </c>
      <c r="R164" s="67" t="s">
        <v>873</v>
      </c>
      <c r="S164" s="68">
        <f>18560.5</f>
        <v>18560.5</v>
      </c>
      <c r="T164" s="65">
        <f>2543</f>
        <v>2543</v>
      </c>
      <c r="U164" s="65" t="str">
        <f>"－"</f>
        <v>－</v>
      </c>
      <c r="V164" s="65">
        <f>47048240</f>
        <v>47048240</v>
      </c>
      <c r="W164" s="65" t="str">
        <f>"－"</f>
        <v>－</v>
      </c>
      <c r="X164" s="69">
        <f>20</f>
        <v>20</v>
      </c>
    </row>
    <row r="165" spans="1:24">
      <c r="A165" s="60" t="s">
        <v>934</v>
      </c>
      <c r="B165" s="60" t="s">
        <v>547</v>
      </c>
      <c r="C165" s="60" t="s">
        <v>548</v>
      </c>
      <c r="D165" s="60" t="s">
        <v>549</v>
      </c>
      <c r="E165" s="61" t="s">
        <v>46</v>
      </c>
      <c r="F165" s="62" t="s">
        <v>46</v>
      </c>
      <c r="G165" s="63" t="s">
        <v>46</v>
      </c>
      <c r="H165" s="64"/>
      <c r="I165" s="64" t="s">
        <v>47</v>
      </c>
      <c r="J165" s="65">
        <v>10</v>
      </c>
      <c r="K165" s="66">
        <f>2460</f>
        <v>2460</v>
      </c>
      <c r="L165" s="67" t="s">
        <v>853</v>
      </c>
      <c r="M165" s="66">
        <f>2578</f>
        <v>2578</v>
      </c>
      <c r="N165" s="67" t="s">
        <v>77</v>
      </c>
      <c r="O165" s="66">
        <f>2236</f>
        <v>2236</v>
      </c>
      <c r="P165" s="67" t="s">
        <v>873</v>
      </c>
      <c r="Q165" s="66">
        <f>2240</f>
        <v>2240</v>
      </c>
      <c r="R165" s="67" t="s">
        <v>873</v>
      </c>
      <c r="S165" s="68">
        <f>2405.2</f>
        <v>2405.1999999999998</v>
      </c>
      <c r="T165" s="65">
        <f>39040</f>
        <v>39040</v>
      </c>
      <c r="U165" s="65" t="str">
        <f>"－"</f>
        <v>－</v>
      </c>
      <c r="V165" s="65">
        <f>95267000</f>
        <v>95267000</v>
      </c>
      <c r="W165" s="65" t="str">
        <f>"－"</f>
        <v>－</v>
      </c>
      <c r="X165" s="69">
        <f>20</f>
        <v>20</v>
      </c>
    </row>
    <row r="166" spans="1:24">
      <c r="A166" s="60" t="s">
        <v>934</v>
      </c>
      <c r="B166" s="60" t="s">
        <v>550</v>
      </c>
      <c r="C166" s="60" t="s">
        <v>551</v>
      </c>
      <c r="D166" s="60" t="s">
        <v>552</v>
      </c>
      <c r="E166" s="61" t="s">
        <v>46</v>
      </c>
      <c r="F166" s="62" t="s">
        <v>46</v>
      </c>
      <c r="G166" s="63" t="s">
        <v>46</v>
      </c>
      <c r="H166" s="64"/>
      <c r="I166" s="64" t="s">
        <v>47</v>
      </c>
      <c r="J166" s="65">
        <v>1</v>
      </c>
      <c r="K166" s="66">
        <f>10340</f>
        <v>10340</v>
      </c>
      <c r="L166" s="67" t="s">
        <v>853</v>
      </c>
      <c r="M166" s="66">
        <f>10580</f>
        <v>10580</v>
      </c>
      <c r="N166" s="67" t="s">
        <v>77</v>
      </c>
      <c r="O166" s="66">
        <f>9230</f>
        <v>9230</v>
      </c>
      <c r="P166" s="67" t="s">
        <v>268</v>
      </c>
      <c r="Q166" s="66">
        <f>9980</f>
        <v>9980</v>
      </c>
      <c r="R166" s="67" t="s">
        <v>873</v>
      </c>
      <c r="S166" s="68">
        <f>10043</f>
        <v>10043</v>
      </c>
      <c r="T166" s="65">
        <f>12823</f>
        <v>12823</v>
      </c>
      <c r="U166" s="65" t="str">
        <f>"－"</f>
        <v>－</v>
      </c>
      <c r="V166" s="65">
        <f>129212780</f>
        <v>129212780</v>
      </c>
      <c r="W166" s="65" t="str">
        <f>"－"</f>
        <v>－</v>
      </c>
      <c r="X166" s="69">
        <f>20</f>
        <v>20</v>
      </c>
    </row>
    <row r="167" spans="1:24">
      <c r="A167" s="60" t="s">
        <v>934</v>
      </c>
      <c r="B167" s="60" t="s">
        <v>553</v>
      </c>
      <c r="C167" s="60" t="s">
        <v>554</v>
      </c>
      <c r="D167" s="60" t="s">
        <v>555</v>
      </c>
      <c r="E167" s="61" t="s">
        <v>46</v>
      </c>
      <c r="F167" s="62" t="s">
        <v>46</v>
      </c>
      <c r="G167" s="63" t="s">
        <v>46</v>
      </c>
      <c r="H167" s="64"/>
      <c r="I167" s="64" t="s">
        <v>47</v>
      </c>
      <c r="J167" s="65">
        <v>1</v>
      </c>
      <c r="K167" s="66">
        <f>25140</f>
        <v>25140</v>
      </c>
      <c r="L167" s="67" t="s">
        <v>853</v>
      </c>
      <c r="M167" s="66">
        <f>25710</f>
        <v>25710</v>
      </c>
      <c r="N167" s="67" t="s">
        <v>77</v>
      </c>
      <c r="O167" s="66">
        <f>18800</f>
        <v>18800</v>
      </c>
      <c r="P167" s="67" t="s">
        <v>268</v>
      </c>
      <c r="Q167" s="66">
        <f>19710</f>
        <v>19710</v>
      </c>
      <c r="R167" s="67" t="s">
        <v>873</v>
      </c>
      <c r="S167" s="68">
        <f>22143</f>
        <v>22143</v>
      </c>
      <c r="T167" s="65">
        <f>4504</f>
        <v>4504</v>
      </c>
      <c r="U167" s="65" t="str">
        <f>"－"</f>
        <v>－</v>
      </c>
      <c r="V167" s="65">
        <f>95605050</f>
        <v>95605050</v>
      </c>
      <c r="W167" s="65" t="str">
        <f>"－"</f>
        <v>－</v>
      </c>
      <c r="X167" s="69">
        <f>20</f>
        <v>20</v>
      </c>
    </row>
    <row r="168" spans="1:24">
      <c r="A168" s="60" t="s">
        <v>934</v>
      </c>
      <c r="B168" s="60" t="s">
        <v>556</v>
      </c>
      <c r="C168" s="60" t="s">
        <v>557</v>
      </c>
      <c r="D168" s="60" t="s">
        <v>558</v>
      </c>
      <c r="E168" s="61" t="s">
        <v>46</v>
      </c>
      <c r="F168" s="62" t="s">
        <v>46</v>
      </c>
      <c r="G168" s="63" t="s">
        <v>46</v>
      </c>
      <c r="H168" s="64"/>
      <c r="I168" s="64" t="s">
        <v>47</v>
      </c>
      <c r="J168" s="65">
        <v>1</v>
      </c>
      <c r="K168" s="66">
        <f>16500</f>
        <v>16500</v>
      </c>
      <c r="L168" s="67" t="s">
        <v>853</v>
      </c>
      <c r="M168" s="66">
        <f>16500</f>
        <v>16500</v>
      </c>
      <c r="N168" s="67" t="s">
        <v>853</v>
      </c>
      <c r="O168" s="66">
        <f>14300</f>
        <v>14300</v>
      </c>
      <c r="P168" s="67" t="s">
        <v>50</v>
      </c>
      <c r="Q168" s="66">
        <f>14570</f>
        <v>14570</v>
      </c>
      <c r="R168" s="67" t="s">
        <v>873</v>
      </c>
      <c r="S168" s="68">
        <f>15748.18</f>
        <v>15748.18</v>
      </c>
      <c r="T168" s="65">
        <f>141</f>
        <v>141</v>
      </c>
      <c r="U168" s="65" t="str">
        <f>"－"</f>
        <v>－</v>
      </c>
      <c r="V168" s="65">
        <f>2229350</f>
        <v>2229350</v>
      </c>
      <c r="W168" s="65" t="str">
        <f>"－"</f>
        <v>－</v>
      </c>
      <c r="X168" s="69">
        <f>11</f>
        <v>11</v>
      </c>
    </row>
    <row r="169" spans="1:24">
      <c r="A169" s="60" t="s">
        <v>934</v>
      </c>
      <c r="B169" s="60" t="s">
        <v>559</v>
      </c>
      <c r="C169" s="60" t="s">
        <v>560</v>
      </c>
      <c r="D169" s="60" t="s">
        <v>561</v>
      </c>
      <c r="E169" s="61" t="s">
        <v>46</v>
      </c>
      <c r="F169" s="62" t="s">
        <v>46</v>
      </c>
      <c r="G169" s="63" t="s">
        <v>46</v>
      </c>
      <c r="H169" s="64"/>
      <c r="I169" s="64" t="s">
        <v>47</v>
      </c>
      <c r="J169" s="65">
        <v>10</v>
      </c>
      <c r="K169" s="66">
        <f>52000</f>
        <v>52000</v>
      </c>
      <c r="L169" s="67" t="s">
        <v>853</v>
      </c>
      <c r="M169" s="66">
        <f>52100</f>
        <v>52100</v>
      </c>
      <c r="N169" s="67" t="s">
        <v>858</v>
      </c>
      <c r="O169" s="66">
        <f>51300</f>
        <v>51300</v>
      </c>
      <c r="P169" s="67" t="s">
        <v>854</v>
      </c>
      <c r="Q169" s="66">
        <f>51600</f>
        <v>51600</v>
      </c>
      <c r="R169" s="67" t="s">
        <v>873</v>
      </c>
      <c r="S169" s="68">
        <f>51725</f>
        <v>51725</v>
      </c>
      <c r="T169" s="65">
        <f>23760</f>
        <v>23760</v>
      </c>
      <c r="U169" s="65">
        <f>17300</f>
        <v>17300</v>
      </c>
      <c r="V169" s="65">
        <f>1231188070</f>
        <v>1231188070</v>
      </c>
      <c r="W169" s="65">
        <f>897107070</f>
        <v>897107070</v>
      </c>
      <c r="X169" s="69">
        <f>20</f>
        <v>20</v>
      </c>
    </row>
    <row r="170" spans="1:24">
      <c r="A170" s="60" t="s">
        <v>934</v>
      </c>
      <c r="B170" s="60" t="s">
        <v>562</v>
      </c>
      <c r="C170" s="60" t="s">
        <v>563</v>
      </c>
      <c r="D170" s="60" t="s">
        <v>564</v>
      </c>
      <c r="E170" s="61" t="s">
        <v>46</v>
      </c>
      <c r="F170" s="62" t="s">
        <v>46</v>
      </c>
      <c r="G170" s="63" t="s">
        <v>46</v>
      </c>
      <c r="H170" s="64"/>
      <c r="I170" s="64" t="s">
        <v>47</v>
      </c>
      <c r="J170" s="65">
        <v>100</v>
      </c>
      <c r="K170" s="66">
        <f>230</f>
        <v>230</v>
      </c>
      <c r="L170" s="67" t="s">
        <v>853</v>
      </c>
      <c r="M170" s="66">
        <f>242</f>
        <v>242</v>
      </c>
      <c r="N170" s="67" t="s">
        <v>88</v>
      </c>
      <c r="O170" s="66">
        <f>229</f>
        <v>229</v>
      </c>
      <c r="P170" s="67" t="s">
        <v>857</v>
      </c>
      <c r="Q170" s="66">
        <f>237</f>
        <v>237</v>
      </c>
      <c r="R170" s="67" t="s">
        <v>873</v>
      </c>
      <c r="S170" s="68">
        <f>233.4</f>
        <v>233.4</v>
      </c>
      <c r="T170" s="65">
        <f>18441900</f>
        <v>18441900</v>
      </c>
      <c r="U170" s="65">
        <f>80300</f>
        <v>80300</v>
      </c>
      <c r="V170" s="65">
        <f>4312552100</f>
        <v>4312552100</v>
      </c>
      <c r="W170" s="65">
        <f>18006600</f>
        <v>18006600</v>
      </c>
      <c r="X170" s="69">
        <f>20</f>
        <v>20</v>
      </c>
    </row>
    <row r="171" spans="1:24">
      <c r="A171" s="60" t="s">
        <v>934</v>
      </c>
      <c r="B171" s="60" t="s">
        <v>565</v>
      </c>
      <c r="C171" s="60" t="s">
        <v>566</v>
      </c>
      <c r="D171" s="60" t="s">
        <v>567</v>
      </c>
      <c r="E171" s="61" t="s">
        <v>46</v>
      </c>
      <c r="F171" s="62" t="s">
        <v>46</v>
      </c>
      <c r="G171" s="63" t="s">
        <v>46</v>
      </c>
      <c r="H171" s="64"/>
      <c r="I171" s="64" t="s">
        <v>47</v>
      </c>
      <c r="J171" s="65">
        <v>10</v>
      </c>
      <c r="K171" s="66">
        <f>34250</f>
        <v>34250</v>
      </c>
      <c r="L171" s="67" t="s">
        <v>853</v>
      </c>
      <c r="M171" s="66">
        <f>34350</f>
        <v>34350</v>
      </c>
      <c r="N171" s="67" t="s">
        <v>853</v>
      </c>
      <c r="O171" s="66">
        <f>32400</f>
        <v>32400</v>
      </c>
      <c r="P171" s="67" t="s">
        <v>132</v>
      </c>
      <c r="Q171" s="66">
        <f>34050</f>
        <v>34050</v>
      </c>
      <c r="R171" s="67" t="s">
        <v>873</v>
      </c>
      <c r="S171" s="68">
        <f>33802.63</f>
        <v>33802.629999999997</v>
      </c>
      <c r="T171" s="65">
        <f>11490</f>
        <v>11490</v>
      </c>
      <c r="U171" s="65">
        <f>20</f>
        <v>20</v>
      </c>
      <c r="V171" s="65">
        <f>385433500</f>
        <v>385433500</v>
      </c>
      <c r="W171" s="65">
        <f>681500</f>
        <v>681500</v>
      </c>
      <c r="X171" s="69">
        <f>19</f>
        <v>19</v>
      </c>
    </row>
    <row r="172" spans="1:24">
      <c r="A172" s="60" t="s">
        <v>934</v>
      </c>
      <c r="B172" s="60" t="s">
        <v>568</v>
      </c>
      <c r="C172" s="60" t="s">
        <v>569</v>
      </c>
      <c r="D172" s="60" t="s">
        <v>570</v>
      </c>
      <c r="E172" s="61" t="s">
        <v>46</v>
      </c>
      <c r="F172" s="62" t="s">
        <v>46</v>
      </c>
      <c r="G172" s="63" t="s">
        <v>46</v>
      </c>
      <c r="H172" s="64"/>
      <c r="I172" s="64" t="s">
        <v>47</v>
      </c>
      <c r="J172" s="65">
        <v>10</v>
      </c>
      <c r="K172" s="66">
        <f>3670</f>
        <v>3670</v>
      </c>
      <c r="L172" s="67" t="s">
        <v>853</v>
      </c>
      <c r="M172" s="66">
        <f>3690</f>
        <v>3690</v>
      </c>
      <c r="N172" s="67" t="s">
        <v>858</v>
      </c>
      <c r="O172" s="66">
        <f>3480</f>
        <v>3480</v>
      </c>
      <c r="P172" s="67" t="s">
        <v>132</v>
      </c>
      <c r="Q172" s="66">
        <f>3590</f>
        <v>3590</v>
      </c>
      <c r="R172" s="67" t="s">
        <v>873</v>
      </c>
      <c r="S172" s="68">
        <f>3625</f>
        <v>3625</v>
      </c>
      <c r="T172" s="65">
        <f>306270</f>
        <v>306270</v>
      </c>
      <c r="U172" s="65">
        <f>30040</f>
        <v>30040</v>
      </c>
      <c r="V172" s="65">
        <f>1101136550</f>
        <v>1101136550</v>
      </c>
      <c r="W172" s="65">
        <f>108713700</f>
        <v>108713700</v>
      </c>
      <c r="X172" s="69">
        <f>20</f>
        <v>20</v>
      </c>
    </row>
    <row r="173" spans="1:24">
      <c r="A173" s="60" t="s">
        <v>934</v>
      </c>
      <c r="B173" s="60" t="s">
        <v>571</v>
      </c>
      <c r="C173" s="60" t="s">
        <v>572</v>
      </c>
      <c r="D173" s="60" t="s">
        <v>573</v>
      </c>
      <c r="E173" s="61" t="s">
        <v>46</v>
      </c>
      <c r="F173" s="62" t="s">
        <v>46</v>
      </c>
      <c r="G173" s="63" t="s">
        <v>46</v>
      </c>
      <c r="H173" s="64"/>
      <c r="I173" s="64" t="s">
        <v>47</v>
      </c>
      <c r="J173" s="65">
        <v>10</v>
      </c>
      <c r="K173" s="66">
        <f>1801</f>
        <v>1801</v>
      </c>
      <c r="L173" s="67" t="s">
        <v>853</v>
      </c>
      <c r="M173" s="66">
        <f>1850</f>
        <v>1850</v>
      </c>
      <c r="N173" s="67" t="s">
        <v>96</v>
      </c>
      <c r="O173" s="66">
        <f>1716</f>
        <v>1716</v>
      </c>
      <c r="P173" s="67" t="s">
        <v>268</v>
      </c>
      <c r="Q173" s="66">
        <f>1752</f>
        <v>1752</v>
      </c>
      <c r="R173" s="67" t="s">
        <v>873</v>
      </c>
      <c r="S173" s="68">
        <f>1791.75</f>
        <v>1791.75</v>
      </c>
      <c r="T173" s="65">
        <f>236070</f>
        <v>236070</v>
      </c>
      <c r="U173" s="65" t="str">
        <f>"－"</f>
        <v>－</v>
      </c>
      <c r="V173" s="65">
        <f>419069920</f>
        <v>419069920</v>
      </c>
      <c r="W173" s="65" t="str">
        <f>"－"</f>
        <v>－</v>
      </c>
      <c r="X173" s="69">
        <f>20</f>
        <v>20</v>
      </c>
    </row>
    <row r="174" spans="1:24">
      <c r="A174" s="60" t="s">
        <v>934</v>
      </c>
      <c r="B174" s="60" t="s">
        <v>574</v>
      </c>
      <c r="C174" s="60" t="s">
        <v>575</v>
      </c>
      <c r="D174" s="60" t="s">
        <v>576</v>
      </c>
      <c r="E174" s="61" t="s">
        <v>46</v>
      </c>
      <c r="F174" s="62" t="s">
        <v>46</v>
      </c>
      <c r="G174" s="63" t="s">
        <v>46</v>
      </c>
      <c r="H174" s="64"/>
      <c r="I174" s="64" t="s">
        <v>47</v>
      </c>
      <c r="J174" s="65">
        <v>100</v>
      </c>
      <c r="K174" s="66">
        <f>190</f>
        <v>190</v>
      </c>
      <c r="L174" s="67" t="s">
        <v>853</v>
      </c>
      <c r="M174" s="66">
        <f>195</f>
        <v>195</v>
      </c>
      <c r="N174" s="67" t="s">
        <v>77</v>
      </c>
      <c r="O174" s="66">
        <f>171</f>
        <v>171</v>
      </c>
      <c r="P174" s="67" t="s">
        <v>268</v>
      </c>
      <c r="Q174" s="66">
        <f>181</f>
        <v>181</v>
      </c>
      <c r="R174" s="67" t="s">
        <v>873</v>
      </c>
      <c r="S174" s="68">
        <f>184.05</f>
        <v>184.05</v>
      </c>
      <c r="T174" s="65">
        <f>810100</f>
        <v>810100</v>
      </c>
      <c r="U174" s="65" t="str">
        <f>"－"</f>
        <v>－</v>
      </c>
      <c r="V174" s="65">
        <f>149627300</f>
        <v>149627300</v>
      </c>
      <c r="W174" s="65" t="str">
        <f>"－"</f>
        <v>－</v>
      </c>
      <c r="X174" s="69">
        <f>20</f>
        <v>20</v>
      </c>
    </row>
    <row r="175" spans="1:24">
      <c r="A175" s="60" t="s">
        <v>934</v>
      </c>
      <c r="B175" s="60" t="s">
        <v>577</v>
      </c>
      <c r="C175" s="60" t="s">
        <v>578</v>
      </c>
      <c r="D175" s="60" t="s">
        <v>579</v>
      </c>
      <c r="E175" s="61" t="s">
        <v>46</v>
      </c>
      <c r="F175" s="62" t="s">
        <v>46</v>
      </c>
      <c r="G175" s="63" t="s">
        <v>46</v>
      </c>
      <c r="H175" s="64"/>
      <c r="I175" s="64" t="s">
        <v>47</v>
      </c>
      <c r="J175" s="65">
        <v>10</v>
      </c>
      <c r="K175" s="66">
        <f>1126</f>
        <v>1126</v>
      </c>
      <c r="L175" s="67" t="s">
        <v>77</v>
      </c>
      <c r="M175" s="66">
        <f>1150</f>
        <v>1150</v>
      </c>
      <c r="N175" s="67" t="s">
        <v>88</v>
      </c>
      <c r="O175" s="66">
        <f>1094</f>
        <v>1094</v>
      </c>
      <c r="P175" s="67" t="s">
        <v>49</v>
      </c>
      <c r="Q175" s="66">
        <f>1150</f>
        <v>1150</v>
      </c>
      <c r="R175" s="67" t="s">
        <v>88</v>
      </c>
      <c r="S175" s="68">
        <f>1112.67</f>
        <v>1112.67</v>
      </c>
      <c r="T175" s="65">
        <f>120</f>
        <v>120</v>
      </c>
      <c r="U175" s="65">
        <f>10</f>
        <v>10</v>
      </c>
      <c r="V175" s="65">
        <f>132830</f>
        <v>132830</v>
      </c>
      <c r="W175" s="65">
        <f>10970</f>
        <v>10970</v>
      </c>
      <c r="X175" s="69">
        <f>6</f>
        <v>6</v>
      </c>
    </row>
    <row r="176" spans="1:24">
      <c r="A176" s="60" t="s">
        <v>934</v>
      </c>
      <c r="B176" s="60" t="s">
        <v>580</v>
      </c>
      <c r="C176" s="60" t="s">
        <v>581</v>
      </c>
      <c r="D176" s="60" t="s">
        <v>582</v>
      </c>
      <c r="E176" s="61" t="s">
        <v>46</v>
      </c>
      <c r="F176" s="62" t="s">
        <v>46</v>
      </c>
      <c r="G176" s="63" t="s">
        <v>46</v>
      </c>
      <c r="H176" s="64"/>
      <c r="I176" s="64" t="s">
        <v>47</v>
      </c>
      <c r="J176" s="65">
        <v>10</v>
      </c>
      <c r="K176" s="66">
        <f>351</f>
        <v>351</v>
      </c>
      <c r="L176" s="67" t="s">
        <v>853</v>
      </c>
      <c r="M176" s="66">
        <f>430</f>
        <v>430</v>
      </c>
      <c r="N176" s="67" t="s">
        <v>50</v>
      </c>
      <c r="O176" s="66">
        <f>350</f>
        <v>350</v>
      </c>
      <c r="P176" s="67" t="s">
        <v>857</v>
      </c>
      <c r="Q176" s="66">
        <f>404</f>
        <v>404</v>
      </c>
      <c r="R176" s="67" t="s">
        <v>873</v>
      </c>
      <c r="S176" s="68">
        <f>376.55</f>
        <v>376.55</v>
      </c>
      <c r="T176" s="65">
        <f>40120</f>
        <v>40120</v>
      </c>
      <c r="U176" s="65" t="str">
        <f>"－"</f>
        <v>－</v>
      </c>
      <c r="V176" s="65">
        <f>15670060</f>
        <v>15670060</v>
      </c>
      <c r="W176" s="65" t="str">
        <f>"－"</f>
        <v>－</v>
      </c>
      <c r="X176" s="69">
        <f>20</f>
        <v>20</v>
      </c>
    </row>
    <row r="177" spans="1:24">
      <c r="A177" s="60" t="s">
        <v>934</v>
      </c>
      <c r="B177" s="60" t="s">
        <v>583</v>
      </c>
      <c r="C177" s="60" t="s">
        <v>584</v>
      </c>
      <c r="D177" s="60" t="s">
        <v>585</v>
      </c>
      <c r="E177" s="61" t="s">
        <v>46</v>
      </c>
      <c r="F177" s="62" t="s">
        <v>46</v>
      </c>
      <c r="G177" s="63" t="s">
        <v>46</v>
      </c>
      <c r="H177" s="64"/>
      <c r="I177" s="64" t="s">
        <v>47</v>
      </c>
      <c r="J177" s="65">
        <v>10</v>
      </c>
      <c r="K177" s="66">
        <f>1737</f>
        <v>1737</v>
      </c>
      <c r="L177" s="67" t="s">
        <v>858</v>
      </c>
      <c r="M177" s="66">
        <f>1905</f>
        <v>1905</v>
      </c>
      <c r="N177" s="67" t="s">
        <v>49</v>
      </c>
      <c r="O177" s="66">
        <f>1678</f>
        <v>1678</v>
      </c>
      <c r="P177" s="67" t="s">
        <v>268</v>
      </c>
      <c r="Q177" s="66">
        <f>1829</f>
        <v>1829</v>
      </c>
      <c r="R177" s="67" t="s">
        <v>873</v>
      </c>
      <c r="S177" s="68">
        <f>1785.78</f>
        <v>1785.78</v>
      </c>
      <c r="T177" s="65">
        <f>6940</f>
        <v>6940</v>
      </c>
      <c r="U177" s="65" t="str">
        <f>"－"</f>
        <v>－</v>
      </c>
      <c r="V177" s="65">
        <f>12210240</f>
        <v>12210240</v>
      </c>
      <c r="W177" s="65" t="str">
        <f>"－"</f>
        <v>－</v>
      </c>
      <c r="X177" s="69">
        <f>18</f>
        <v>18</v>
      </c>
    </row>
    <row r="178" spans="1:24">
      <c r="A178" s="60" t="s">
        <v>934</v>
      </c>
      <c r="B178" s="60" t="s">
        <v>586</v>
      </c>
      <c r="C178" s="60" t="s">
        <v>587</v>
      </c>
      <c r="D178" s="60" t="s">
        <v>588</v>
      </c>
      <c r="E178" s="61" t="s">
        <v>46</v>
      </c>
      <c r="F178" s="62" t="s">
        <v>46</v>
      </c>
      <c r="G178" s="63" t="s">
        <v>46</v>
      </c>
      <c r="H178" s="64"/>
      <c r="I178" s="64" t="s">
        <v>47</v>
      </c>
      <c r="J178" s="65">
        <v>10</v>
      </c>
      <c r="K178" s="66">
        <f>627</f>
        <v>627</v>
      </c>
      <c r="L178" s="67" t="s">
        <v>853</v>
      </c>
      <c r="M178" s="66">
        <f>627</f>
        <v>627</v>
      </c>
      <c r="N178" s="67" t="s">
        <v>853</v>
      </c>
      <c r="O178" s="66">
        <f>585</f>
        <v>585</v>
      </c>
      <c r="P178" s="67" t="s">
        <v>268</v>
      </c>
      <c r="Q178" s="66">
        <f>620</f>
        <v>620</v>
      </c>
      <c r="R178" s="67" t="s">
        <v>873</v>
      </c>
      <c r="S178" s="68">
        <f>605.45</f>
        <v>605.45000000000005</v>
      </c>
      <c r="T178" s="65">
        <f>40290</f>
        <v>40290</v>
      </c>
      <c r="U178" s="65" t="str">
        <f>"－"</f>
        <v>－</v>
      </c>
      <c r="V178" s="65">
        <f>24339850</f>
        <v>24339850</v>
      </c>
      <c r="W178" s="65" t="str">
        <f>"－"</f>
        <v>－</v>
      </c>
      <c r="X178" s="69">
        <f>20</f>
        <v>20</v>
      </c>
    </row>
    <row r="179" spans="1:24">
      <c r="A179" s="60" t="s">
        <v>934</v>
      </c>
      <c r="B179" s="60" t="s">
        <v>589</v>
      </c>
      <c r="C179" s="60" t="s">
        <v>590</v>
      </c>
      <c r="D179" s="60" t="s">
        <v>591</v>
      </c>
      <c r="E179" s="61" t="s">
        <v>46</v>
      </c>
      <c r="F179" s="62" t="s">
        <v>46</v>
      </c>
      <c r="G179" s="63" t="s">
        <v>46</v>
      </c>
      <c r="H179" s="64"/>
      <c r="I179" s="64" t="s">
        <v>47</v>
      </c>
      <c r="J179" s="65">
        <v>10</v>
      </c>
      <c r="K179" s="66">
        <f>436</f>
        <v>436</v>
      </c>
      <c r="L179" s="67" t="s">
        <v>853</v>
      </c>
      <c r="M179" s="66">
        <f>443</f>
        <v>443</v>
      </c>
      <c r="N179" s="67" t="s">
        <v>88</v>
      </c>
      <c r="O179" s="66">
        <f>420</f>
        <v>420</v>
      </c>
      <c r="P179" s="67" t="s">
        <v>268</v>
      </c>
      <c r="Q179" s="66">
        <f>441</f>
        <v>441</v>
      </c>
      <c r="R179" s="67" t="s">
        <v>873</v>
      </c>
      <c r="S179" s="68">
        <f>431.4</f>
        <v>431.4</v>
      </c>
      <c r="T179" s="65">
        <f>130340</f>
        <v>130340</v>
      </c>
      <c r="U179" s="65" t="str">
        <f>"－"</f>
        <v>－</v>
      </c>
      <c r="V179" s="65">
        <f>56045010</f>
        <v>56045010</v>
      </c>
      <c r="W179" s="65" t="str">
        <f>"－"</f>
        <v>－</v>
      </c>
      <c r="X179" s="69">
        <f>20</f>
        <v>20</v>
      </c>
    </row>
    <row r="180" spans="1:24">
      <c r="A180" s="60" t="s">
        <v>934</v>
      </c>
      <c r="B180" s="60" t="s">
        <v>592</v>
      </c>
      <c r="C180" s="60" t="s">
        <v>593</v>
      </c>
      <c r="D180" s="60" t="s">
        <v>594</v>
      </c>
      <c r="E180" s="61" t="s">
        <v>46</v>
      </c>
      <c r="F180" s="62" t="s">
        <v>46</v>
      </c>
      <c r="G180" s="63" t="s">
        <v>46</v>
      </c>
      <c r="H180" s="64"/>
      <c r="I180" s="64" t="s">
        <v>47</v>
      </c>
      <c r="J180" s="65">
        <v>100</v>
      </c>
      <c r="K180" s="66">
        <f>2</f>
        <v>2</v>
      </c>
      <c r="L180" s="67" t="s">
        <v>853</v>
      </c>
      <c r="M180" s="66">
        <f>3</f>
        <v>3</v>
      </c>
      <c r="N180" s="67" t="s">
        <v>853</v>
      </c>
      <c r="O180" s="66">
        <f>2</f>
        <v>2</v>
      </c>
      <c r="P180" s="67" t="s">
        <v>853</v>
      </c>
      <c r="Q180" s="66">
        <f>2</f>
        <v>2</v>
      </c>
      <c r="R180" s="67" t="s">
        <v>873</v>
      </c>
      <c r="S180" s="68">
        <f>2.7</f>
        <v>2.7</v>
      </c>
      <c r="T180" s="65">
        <f>185795200</f>
        <v>185795200</v>
      </c>
      <c r="U180" s="65">
        <f>5000</f>
        <v>5000</v>
      </c>
      <c r="V180" s="65">
        <f>480052900</f>
        <v>480052900</v>
      </c>
      <c r="W180" s="65">
        <f>10000</f>
        <v>10000</v>
      </c>
      <c r="X180" s="69">
        <f>20</f>
        <v>20</v>
      </c>
    </row>
    <row r="181" spans="1:24">
      <c r="A181" s="60" t="s">
        <v>934</v>
      </c>
      <c r="B181" s="60" t="s">
        <v>595</v>
      </c>
      <c r="C181" s="60" t="s">
        <v>596</v>
      </c>
      <c r="D181" s="60" t="s">
        <v>597</v>
      </c>
      <c r="E181" s="61" t="s">
        <v>46</v>
      </c>
      <c r="F181" s="62" t="s">
        <v>46</v>
      </c>
      <c r="G181" s="63" t="s">
        <v>46</v>
      </c>
      <c r="H181" s="64"/>
      <c r="I181" s="64" t="s">
        <v>47</v>
      </c>
      <c r="J181" s="65">
        <v>10</v>
      </c>
      <c r="K181" s="66">
        <f>696</f>
        <v>696</v>
      </c>
      <c r="L181" s="67" t="s">
        <v>853</v>
      </c>
      <c r="M181" s="66">
        <f>785</f>
        <v>785</v>
      </c>
      <c r="N181" s="67" t="s">
        <v>88</v>
      </c>
      <c r="O181" s="66">
        <f>687</f>
        <v>687</v>
      </c>
      <c r="P181" s="67" t="s">
        <v>860</v>
      </c>
      <c r="Q181" s="66">
        <f>772</f>
        <v>772</v>
      </c>
      <c r="R181" s="67" t="s">
        <v>873</v>
      </c>
      <c r="S181" s="68">
        <f>724.95</f>
        <v>724.95</v>
      </c>
      <c r="T181" s="65">
        <f>411790</f>
        <v>411790</v>
      </c>
      <c r="U181" s="65" t="str">
        <f>"－"</f>
        <v>－</v>
      </c>
      <c r="V181" s="65">
        <f>301472960</f>
        <v>301472960</v>
      </c>
      <c r="W181" s="65" t="str">
        <f>"－"</f>
        <v>－</v>
      </c>
      <c r="X181" s="69">
        <f>20</f>
        <v>20</v>
      </c>
    </row>
    <row r="182" spans="1:24">
      <c r="A182" s="60" t="s">
        <v>934</v>
      </c>
      <c r="B182" s="60" t="s">
        <v>598</v>
      </c>
      <c r="C182" s="60" t="s">
        <v>599</v>
      </c>
      <c r="D182" s="60" t="s">
        <v>600</v>
      </c>
      <c r="E182" s="61" t="s">
        <v>46</v>
      </c>
      <c r="F182" s="62" t="s">
        <v>46</v>
      </c>
      <c r="G182" s="63" t="s">
        <v>46</v>
      </c>
      <c r="H182" s="64"/>
      <c r="I182" s="64" t="s">
        <v>47</v>
      </c>
      <c r="J182" s="65">
        <v>1</v>
      </c>
      <c r="K182" s="66">
        <f>3200</f>
        <v>3200</v>
      </c>
      <c r="L182" s="67" t="s">
        <v>853</v>
      </c>
      <c r="M182" s="66">
        <f>3415</f>
        <v>3415</v>
      </c>
      <c r="N182" s="67" t="s">
        <v>50</v>
      </c>
      <c r="O182" s="66">
        <f>3100</f>
        <v>3100</v>
      </c>
      <c r="P182" s="67" t="s">
        <v>860</v>
      </c>
      <c r="Q182" s="66">
        <f>3360</f>
        <v>3360</v>
      </c>
      <c r="R182" s="67" t="s">
        <v>50</v>
      </c>
      <c r="S182" s="68">
        <f>3211.07</f>
        <v>3211.07</v>
      </c>
      <c r="T182" s="65">
        <f>1444</f>
        <v>1444</v>
      </c>
      <c r="U182" s="65" t="str">
        <f>"－"</f>
        <v>－</v>
      </c>
      <c r="V182" s="65">
        <f>4695590</f>
        <v>4695590</v>
      </c>
      <c r="W182" s="65" t="str">
        <f>"－"</f>
        <v>－</v>
      </c>
      <c r="X182" s="69">
        <f>14</f>
        <v>14</v>
      </c>
    </row>
    <row r="183" spans="1:24">
      <c r="A183" s="60" t="s">
        <v>934</v>
      </c>
      <c r="B183" s="60" t="s">
        <v>601</v>
      </c>
      <c r="C183" s="60" t="s">
        <v>602</v>
      </c>
      <c r="D183" s="60" t="s">
        <v>603</v>
      </c>
      <c r="E183" s="61" t="s">
        <v>46</v>
      </c>
      <c r="F183" s="62" t="s">
        <v>46</v>
      </c>
      <c r="G183" s="63" t="s">
        <v>46</v>
      </c>
      <c r="H183" s="64"/>
      <c r="I183" s="64" t="s">
        <v>47</v>
      </c>
      <c r="J183" s="65">
        <v>100</v>
      </c>
      <c r="K183" s="66">
        <f>420</f>
        <v>420</v>
      </c>
      <c r="L183" s="67" t="s">
        <v>853</v>
      </c>
      <c r="M183" s="66">
        <f>644</f>
        <v>644</v>
      </c>
      <c r="N183" s="67" t="s">
        <v>873</v>
      </c>
      <c r="O183" s="66">
        <f>413</f>
        <v>413</v>
      </c>
      <c r="P183" s="67" t="s">
        <v>857</v>
      </c>
      <c r="Q183" s="66">
        <f>505</f>
        <v>505</v>
      </c>
      <c r="R183" s="67" t="s">
        <v>873</v>
      </c>
      <c r="S183" s="68">
        <f>447.05</f>
        <v>447.05</v>
      </c>
      <c r="T183" s="65">
        <f>202800</f>
        <v>202800</v>
      </c>
      <c r="U183" s="65" t="str">
        <f>"－"</f>
        <v>－</v>
      </c>
      <c r="V183" s="65">
        <f>97210700</f>
        <v>97210700</v>
      </c>
      <c r="W183" s="65" t="str">
        <f>"－"</f>
        <v>－</v>
      </c>
      <c r="X183" s="69">
        <f>20</f>
        <v>20</v>
      </c>
    </row>
    <row r="184" spans="1:24">
      <c r="A184" s="60" t="s">
        <v>934</v>
      </c>
      <c r="B184" s="60" t="s">
        <v>604</v>
      </c>
      <c r="C184" s="60" t="s">
        <v>605</v>
      </c>
      <c r="D184" s="60" t="s">
        <v>606</v>
      </c>
      <c r="E184" s="61" t="s">
        <v>46</v>
      </c>
      <c r="F184" s="62" t="s">
        <v>46</v>
      </c>
      <c r="G184" s="63" t="s">
        <v>46</v>
      </c>
      <c r="H184" s="64"/>
      <c r="I184" s="64" t="s">
        <v>47</v>
      </c>
      <c r="J184" s="65">
        <v>10</v>
      </c>
      <c r="K184" s="66">
        <f>4240</f>
        <v>4240</v>
      </c>
      <c r="L184" s="67" t="s">
        <v>853</v>
      </c>
      <c r="M184" s="66">
        <f>4325</f>
        <v>4325</v>
      </c>
      <c r="N184" s="67" t="s">
        <v>92</v>
      </c>
      <c r="O184" s="66">
        <f>3950</f>
        <v>3950</v>
      </c>
      <c r="P184" s="67" t="s">
        <v>268</v>
      </c>
      <c r="Q184" s="66">
        <f>4150</f>
        <v>4150</v>
      </c>
      <c r="R184" s="67" t="s">
        <v>873</v>
      </c>
      <c r="S184" s="68">
        <f>4176.5</f>
        <v>4176.5</v>
      </c>
      <c r="T184" s="65">
        <f>18210</f>
        <v>18210</v>
      </c>
      <c r="U184" s="65" t="str">
        <f>"－"</f>
        <v>－</v>
      </c>
      <c r="V184" s="65">
        <f>76147500</f>
        <v>76147500</v>
      </c>
      <c r="W184" s="65" t="str">
        <f>"－"</f>
        <v>－</v>
      </c>
      <c r="X184" s="69">
        <f>20</f>
        <v>20</v>
      </c>
    </row>
    <row r="185" spans="1:24">
      <c r="A185" s="60" t="s">
        <v>934</v>
      </c>
      <c r="B185" s="60" t="s">
        <v>607</v>
      </c>
      <c r="C185" s="60" t="s">
        <v>608</v>
      </c>
      <c r="D185" s="60" t="s">
        <v>609</v>
      </c>
      <c r="E185" s="61" t="s">
        <v>46</v>
      </c>
      <c r="F185" s="62" t="s">
        <v>46</v>
      </c>
      <c r="G185" s="63" t="s">
        <v>46</v>
      </c>
      <c r="H185" s="64"/>
      <c r="I185" s="64" t="s">
        <v>47</v>
      </c>
      <c r="J185" s="65">
        <v>10</v>
      </c>
      <c r="K185" s="66">
        <f>2010</f>
        <v>2010</v>
      </c>
      <c r="L185" s="67" t="s">
        <v>853</v>
      </c>
      <c r="M185" s="66">
        <f>2099</f>
        <v>2099</v>
      </c>
      <c r="N185" s="67" t="s">
        <v>860</v>
      </c>
      <c r="O185" s="66">
        <f>1904</f>
        <v>1904</v>
      </c>
      <c r="P185" s="67" t="s">
        <v>873</v>
      </c>
      <c r="Q185" s="66">
        <f>1920</f>
        <v>1920</v>
      </c>
      <c r="R185" s="67" t="s">
        <v>873</v>
      </c>
      <c r="S185" s="68">
        <f>1988.3</f>
        <v>1988.3</v>
      </c>
      <c r="T185" s="65">
        <f>39980</f>
        <v>39980</v>
      </c>
      <c r="U185" s="65" t="str">
        <f>"－"</f>
        <v>－</v>
      </c>
      <c r="V185" s="65">
        <f>79536620</f>
        <v>79536620</v>
      </c>
      <c r="W185" s="65" t="str">
        <f>"－"</f>
        <v>－</v>
      </c>
      <c r="X185" s="69">
        <f>20</f>
        <v>20</v>
      </c>
    </row>
    <row r="186" spans="1:24">
      <c r="A186" s="60" t="s">
        <v>934</v>
      </c>
      <c r="B186" s="60" t="s">
        <v>610</v>
      </c>
      <c r="C186" s="60" t="s">
        <v>611</v>
      </c>
      <c r="D186" s="60" t="s">
        <v>612</v>
      </c>
      <c r="E186" s="61" t="s">
        <v>46</v>
      </c>
      <c r="F186" s="62" t="s">
        <v>46</v>
      </c>
      <c r="G186" s="63" t="s">
        <v>46</v>
      </c>
      <c r="H186" s="64"/>
      <c r="I186" s="64" t="s">
        <v>47</v>
      </c>
      <c r="J186" s="65">
        <v>100</v>
      </c>
      <c r="K186" s="66">
        <f>86</f>
        <v>86</v>
      </c>
      <c r="L186" s="67" t="s">
        <v>853</v>
      </c>
      <c r="M186" s="66">
        <f>87</f>
        <v>87</v>
      </c>
      <c r="N186" s="67" t="s">
        <v>853</v>
      </c>
      <c r="O186" s="66">
        <f>81</f>
        <v>81</v>
      </c>
      <c r="P186" s="67" t="s">
        <v>92</v>
      </c>
      <c r="Q186" s="66">
        <f>85</f>
        <v>85</v>
      </c>
      <c r="R186" s="67" t="s">
        <v>873</v>
      </c>
      <c r="S186" s="68">
        <f>84.25</f>
        <v>84.25</v>
      </c>
      <c r="T186" s="65">
        <f>2278300</f>
        <v>2278300</v>
      </c>
      <c r="U186" s="65">
        <f>100</f>
        <v>100</v>
      </c>
      <c r="V186" s="65">
        <f>191773000</f>
        <v>191773000</v>
      </c>
      <c r="W186" s="65">
        <f>8600</f>
        <v>8600</v>
      </c>
      <c r="X186" s="69">
        <f>20</f>
        <v>20</v>
      </c>
    </row>
    <row r="187" spans="1:24">
      <c r="A187" s="60" t="s">
        <v>934</v>
      </c>
      <c r="B187" s="60" t="s">
        <v>614</v>
      </c>
      <c r="C187" s="60" t="s">
        <v>615</v>
      </c>
      <c r="D187" s="60" t="s">
        <v>616</v>
      </c>
      <c r="E187" s="61" t="s">
        <v>46</v>
      </c>
      <c r="F187" s="62" t="s">
        <v>46</v>
      </c>
      <c r="G187" s="63" t="s">
        <v>46</v>
      </c>
      <c r="H187" s="64"/>
      <c r="I187" s="64" t="s">
        <v>47</v>
      </c>
      <c r="J187" s="65">
        <v>100</v>
      </c>
      <c r="K187" s="66">
        <f>113</f>
        <v>113</v>
      </c>
      <c r="L187" s="67" t="s">
        <v>853</v>
      </c>
      <c r="M187" s="66">
        <f>115</f>
        <v>115</v>
      </c>
      <c r="N187" s="67" t="s">
        <v>50</v>
      </c>
      <c r="O187" s="66">
        <f>107</f>
        <v>107</v>
      </c>
      <c r="P187" s="67" t="s">
        <v>859</v>
      </c>
      <c r="Q187" s="66">
        <f>115</f>
        <v>115</v>
      </c>
      <c r="R187" s="67" t="s">
        <v>873</v>
      </c>
      <c r="S187" s="68">
        <f>110.45</f>
        <v>110.45</v>
      </c>
      <c r="T187" s="65">
        <f>1592800</f>
        <v>1592800</v>
      </c>
      <c r="U187" s="65" t="str">
        <f>"－"</f>
        <v>－</v>
      </c>
      <c r="V187" s="65">
        <f>175027500</f>
        <v>175027500</v>
      </c>
      <c r="W187" s="65" t="str">
        <f>"－"</f>
        <v>－</v>
      </c>
      <c r="X187" s="69">
        <f>20</f>
        <v>20</v>
      </c>
    </row>
    <row r="188" spans="1:24">
      <c r="A188" s="60" t="s">
        <v>934</v>
      </c>
      <c r="B188" s="60" t="s">
        <v>617</v>
      </c>
      <c r="C188" s="60" t="s">
        <v>618</v>
      </c>
      <c r="D188" s="60" t="s">
        <v>619</v>
      </c>
      <c r="E188" s="61" t="s">
        <v>46</v>
      </c>
      <c r="F188" s="62" t="s">
        <v>46</v>
      </c>
      <c r="G188" s="63" t="s">
        <v>46</v>
      </c>
      <c r="H188" s="64"/>
      <c r="I188" s="64" t="s">
        <v>47</v>
      </c>
      <c r="J188" s="65">
        <v>10</v>
      </c>
      <c r="K188" s="66">
        <f>2659</f>
        <v>2659</v>
      </c>
      <c r="L188" s="67" t="s">
        <v>853</v>
      </c>
      <c r="M188" s="66">
        <f>2659</f>
        <v>2659</v>
      </c>
      <c r="N188" s="67" t="s">
        <v>853</v>
      </c>
      <c r="O188" s="66">
        <f>2552</f>
        <v>2552</v>
      </c>
      <c r="P188" s="67" t="s">
        <v>268</v>
      </c>
      <c r="Q188" s="66">
        <f>2647</f>
        <v>2647</v>
      </c>
      <c r="R188" s="67" t="s">
        <v>873</v>
      </c>
      <c r="S188" s="68">
        <f>2621.25</f>
        <v>2621.25</v>
      </c>
      <c r="T188" s="65">
        <f>8550</f>
        <v>8550</v>
      </c>
      <c r="U188" s="65" t="str">
        <f>"－"</f>
        <v>－</v>
      </c>
      <c r="V188" s="65">
        <f>22381200</f>
        <v>22381200</v>
      </c>
      <c r="W188" s="65" t="str">
        <f>"－"</f>
        <v>－</v>
      </c>
      <c r="X188" s="69">
        <f>20</f>
        <v>20</v>
      </c>
    </row>
    <row r="189" spans="1:24">
      <c r="A189" s="60" t="s">
        <v>934</v>
      </c>
      <c r="B189" s="60" t="s">
        <v>620</v>
      </c>
      <c r="C189" s="60" t="s">
        <v>621</v>
      </c>
      <c r="D189" s="60" t="s">
        <v>622</v>
      </c>
      <c r="E189" s="61" t="s">
        <v>46</v>
      </c>
      <c r="F189" s="62" t="s">
        <v>46</v>
      </c>
      <c r="G189" s="63" t="s">
        <v>46</v>
      </c>
      <c r="H189" s="64"/>
      <c r="I189" s="64" t="s">
        <v>47</v>
      </c>
      <c r="J189" s="65">
        <v>10</v>
      </c>
      <c r="K189" s="66">
        <f>1840</f>
        <v>1840</v>
      </c>
      <c r="L189" s="67" t="s">
        <v>853</v>
      </c>
      <c r="M189" s="66">
        <f>1950</f>
        <v>1950</v>
      </c>
      <c r="N189" s="67" t="s">
        <v>88</v>
      </c>
      <c r="O189" s="66">
        <f>1836</f>
        <v>1836</v>
      </c>
      <c r="P189" s="67" t="s">
        <v>96</v>
      </c>
      <c r="Q189" s="66">
        <f>1918</f>
        <v>1918</v>
      </c>
      <c r="R189" s="67" t="s">
        <v>873</v>
      </c>
      <c r="S189" s="68">
        <f>1912.3</f>
        <v>1912.3</v>
      </c>
      <c r="T189" s="65">
        <f>40740</f>
        <v>40740</v>
      </c>
      <c r="U189" s="65">
        <f>30</f>
        <v>30</v>
      </c>
      <c r="V189" s="65">
        <f>77665430</f>
        <v>77665430</v>
      </c>
      <c r="W189" s="65">
        <f>57250</f>
        <v>57250</v>
      </c>
      <c r="X189" s="69">
        <f>20</f>
        <v>20</v>
      </c>
    </row>
    <row r="190" spans="1:24">
      <c r="A190" s="60" t="s">
        <v>934</v>
      </c>
      <c r="B190" s="60" t="s">
        <v>623</v>
      </c>
      <c r="C190" s="60" t="s">
        <v>624</v>
      </c>
      <c r="D190" s="60" t="s">
        <v>625</v>
      </c>
      <c r="E190" s="61" t="s">
        <v>46</v>
      </c>
      <c r="F190" s="62" t="s">
        <v>46</v>
      </c>
      <c r="G190" s="63" t="s">
        <v>46</v>
      </c>
      <c r="H190" s="64"/>
      <c r="I190" s="64" t="s">
        <v>47</v>
      </c>
      <c r="J190" s="65">
        <v>10</v>
      </c>
      <c r="K190" s="66">
        <f>185</f>
        <v>185</v>
      </c>
      <c r="L190" s="67" t="s">
        <v>853</v>
      </c>
      <c r="M190" s="66">
        <f>209</f>
        <v>209</v>
      </c>
      <c r="N190" s="67" t="s">
        <v>88</v>
      </c>
      <c r="O190" s="66">
        <f>182</f>
        <v>182</v>
      </c>
      <c r="P190" s="67" t="s">
        <v>860</v>
      </c>
      <c r="Q190" s="66">
        <f>206</f>
        <v>206</v>
      </c>
      <c r="R190" s="67" t="s">
        <v>873</v>
      </c>
      <c r="S190" s="68">
        <f>192.45</f>
        <v>192.45</v>
      </c>
      <c r="T190" s="65">
        <f>88211100</f>
        <v>88211100</v>
      </c>
      <c r="U190" s="65">
        <f>162620</f>
        <v>162620</v>
      </c>
      <c r="V190" s="65">
        <f>17125517496</f>
        <v>17125517496</v>
      </c>
      <c r="W190" s="65">
        <f>32132466</f>
        <v>32132466</v>
      </c>
      <c r="X190" s="69">
        <f>20</f>
        <v>20</v>
      </c>
    </row>
    <row r="191" spans="1:24">
      <c r="A191" s="60" t="s">
        <v>934</v>
      </c>
      <c r="B191" s="60" t="s">
        <v>626</v>
      </c>
      <c r="C191" s="60" t="s">
        <v>627</v>
      </c>
      <c r="D191" s="60" t="s">
        <v>628</v>
      </c>
      <c r="E191" s="61" t="s">
        <v>46</v>
      </c>
      <c r="F191" s="62" t="s">
        <v>46</v>
      </c>
      <c r="G191" s="63" t="s">
        <v>46</v>
      </c>
      <c r="H191" s="64"/>
      <c r="I191" s="64" t="s">
        <v>629</v>
      </c>
      <c r="J191" s="65">
        <v>1</v>
      </c>
      <c r="K191" s="66">
        <f>9320</f>
        <v>9320</v>
      </c>
      <c r="L191" s="67" t="s">
        <v>853</v>
      </c>
      <c r="M191" s="66">
        <f>10100</f>
        <v>10100</v>
      </c>
      <c r="N191" s="67" t="s">
        <v>96</v>
      </c>
      <c r="O191" s="66">
        <f>7840</f>
        <v>7840</v>
      </c>
      <c r="P191" s="67" t="s">
        <v>268</v>
      </c>
      <c r="Q191" s="66">
        <f>8540</f>
        <v>8540</v>
      </c>
      <c r="R191" s="67" t="s">
        <v>873</v>
      </c>
      <c r="S191" s="68">
        <f>9056</f>
        <v>9056</v>
      </c>
      <c r="T191" s="65">
        <f>18621</f>
        <v>18621</v>
      </c>
      <c r="U191" s="65" t="str">
        <f>"－"</f>
        <v>－</v>
      </c>
      <c r="V191" s="65">
        <f>166306630</f>
        <v>166306630</v>
      </c>
      <c r="W191" s="65" t="str">
        <f>"－"</f>
        <v>－</v>
      </c>
      <c r="X191" s="69">
        <f>20</f>
        <v>20</v>
      </c>
    </row>
    <row r="192" spans="1:24">
      <c r="A192" s="60" t="s">
        <v>934</v>
      </c>
      <c r="B192" s="60" t="s">
        <v>630</v>
      </c>
      <c r="C192" s="60" t="s">
        <v>631</v>
      </c>
      <c r="D192" s="60" t="s">
        <v>632</v>
      </c>
      <c r="E192" s="61" t="s">
        <v>46</v>
      </c>
      <c r="F192" s="62" t="s">
        <v>46</v>
      </c>
      <c r="G192" s="63" t="s">
        <v>46</v>
      </c>
      <c r="H192" s="64"/>
      <c r="I192" s="64" t="s">
        <v>629</v>
      </c>
      <c r="J192" s="65">
        <v>1</v>
      </c>
      <c r="K192" s="66">
        <f>5740</f>
        <v>5740</v>
      </c>
      <c r="L192" s="67" t="s">
        <v>853</v>
      </c>
      <c r="M192" s="66">
        <f>6370</f>
        <v>6370</v>
      </c>
      <c r="N192" s="67" t="s">
        <v>268</v>
      </c>
      <c r="O192" s="66">
        <f>5520</f>
        <v>5520</v>
      </c>
      <c r="P192" s="67" t="s">
        <v>96</v>
      </c>
      <c r="Q192" s="66">
        <f>6090</f>
        <v>6090</v>
      </c>
      <c r="R192" s="67" t="s">
        <v>873</v>
      </c>
      <c r="S192" s="68">
        <f>5824.5</f>
        <v>5824.5</v>
      </c>
      <c r="T192" s="65">
        <f>13621</f>
        <v>13621</v>
      </c>
      <c r="U192" s="65" t="str">
        <f>"－"</f>
        <v>－</v>
      </c>
      <c r="V192" s="65">
        <f>82076560</f>
        <v>82076560</v>
      </c>
      <c r="W192" s="65" t="str">
        <f>"－"</f>
        <v>－</v>
      </c>
      <c r="X192" s="69">
        <f>20</f>
        <v>20</v>
      </c>
    </row>
    <row r="193" spans="1:24">
      <c r="A193" s="60" t="s">
        <v>934</v>
      </c>
      <c r="B193" s="60" t="s">
        <v>633</v>
      </c>
      <c r="C193" s="60" t="s">
        <v>634</v>
      </c>
      <c r="D193" s="60" t="s">
        <v>635</v>
      </c>
      <c r="E193" s="61" t="s">
        <v>46</v>
      </c>
      <c r="F193" s="62" t="s">
        <v>46</v>
      </c>
      <c r="G193" s="63" t="s">
        <v>46</v>
      </c>
      <c r="H193" s="64"/>
      <c r="I193" s="64" t="s">
        <v>629</v>
      </c>
      <c r="J193" s="65">
        <v>1</v>
      </c>
      <c r="K193" s="66">
        <f>18160</f>
        <v>18160</v>
      </c>
      <c r="L193" s="67" t="s">
        <v>853</v>
      </c>
      <c r="M193" s="66">
        <f>18460</f>
        <v>18460</v>
      </c>
      <c r="N193" s="67" t="s">
        <v>853</v>
      </c>
      <c r="O193" s="66">
        <f>16550</f>
        <v>16550</v>
      </c>
      <c r="P193" s="67" t="s">
        <v>50</v>
      </c>
      <c r="Q193" s="66">
        <f>16750</f>
        <v>16750</v>
      </c>
      <c r="R193" s="67" t="s">
        <v>873</v>
      </c>
      <c r="S193" s="68">
        <f>17707.22</f>
        <v>17707.22</v>
      </c>
      <c r="T193" s="65">
        <f>311</f>
        <v>311</v>
      </c>
      <c r="U193" s="65" t="str">
        <f>"－"</f>
        <v>－</v>
      </c>
      <c r="V193" s="65">
        <f>5405480</f>
        <v>5405480</v>
      </c>
      <c r="W193" s="65" t="str">
        <f>"－"</f>
        <v>－</v>
      </c>
      <c r="X193" s="69">
        <f>18</f>
        <v>18</v>
      </c>
    </row>
    <row r="194" spans="1:24">
      <c r="A194" s="60" t="s">
        <v>934</v>
      </c>
      <c r="B194" s="60" t="s">
        <v>636</v>
      </c>
      <c r="C194" s="60" t="s">
        <v>637</v>
      </c>
      <c r="D194" s="60" t="s">
        <v>638</v>
      </c>
      <c r="E194" s="61" t="s">
        <v>46</v>
      </c>
      <c r="F194" s="62" t="s">
        <v>46</v>
      </c>
      <c r="G194" s="63" t="s">
        <v>46</v>
      </c>
      <c r="H194" s="64"/>
      <c r="I194" s="64" t="s">
        <v>629</v>
      </c>
      <c r="J194" s="65">
        <v>1</v>
      </c>
      <c r="K194" s="66">
        <f>5890</f>
        <v>5890</v>
      </c>
      <c r="L194" s="67" t="s">
        <v>853</v>
      </c>
      <c r="M194" s="66">
        <f>6010</f>
        <v>6010</v>
      </c>
      <c r="N194" s="67" t="s">
        <v>873</v>
      </c>
      <c r="O194" s="66">
        <f>5750</f>
        <v>5750</v>
      </c>
      <c r="P194" s="67" t="s">
        <v>858</v>
      </c>
      <c r="Q194" s="66">
        <f>5970</f>
        <v>5970</v>
      </c>
      <c r="R194" s="67" t="s">
        <v>873</v>
      </c>
      <c r="S194" s="68">
        <f>5880.5</f>
        <v>5880.5</v>
      </c>
      <c r="T194" s="65">
        <f>25522</f>
        <v>25522</v>
      </c>
      <c r="U194" s="65" t="str">
        <f>"－"</f>
        <v>－</v>
      </c>
      <c r="V194" s="65">
        <f>149942240</f>
        <v>149942240</v>
      </c>
      <c r="W194" s="65" t="str">
        <f>"－"</f>
        <v>－</v>
      </c>
      <c r="X194" s="69">
        <f>20</f>
        <v>20</v>
      </c>
    </row>
    <row r="195" spans="1:24">
      <c r="A195" s="60" t="s">
        <v>934</v>
      </c>
      <c r="B195" s="60" t="s">
        <v>639</v>
      </c>
      <c r="C195" s="60" t="s">
        <v>640</v>
      </c>
      <c r="D195" s="60" t="s">
        <v>641</v>
      </c>
      <c r="E195" s="61" t="s">
        <v>46</v>
      </c>
      <c r="F195" s="62" t="s">
        <v>46</v>
      </c>
      <c r="G195" s="63" t="s">
        <v>46</v>
      </c>
      <c r="H195" s="64"/>
      <c r="I195" s="64" t="s">
        <v>629</v>
      </c>
      <c r="J195" s="65">
        <v>1</v>
      </c>
      <c r="K195" s="66">
        <f>161</f>
        <v>161</v>
      </c>
      <c r="L195" s="67" t="s">
        <v>853</v>
      </c>
      <c r="M195" s="66">
        <f>161</f>
        <v>161</v>
      </c>
      <c r="N195" s="67" t="s">
        <v>853</v>
      </c>
      <c r="O195" s="66">
        <f>139</f>
        <v>139</v>
      </c>
      <c r="P195" s="67" t="s">
        <v>77</v>
      </c>
      <c r="Q195" s="66">
        <f>145</f>
        <v>145</v>
      </c>
      <c r="R195" s="67" t="s">
        <v>873</v>
      </c>
      <c r="S195" s="68">
        <f>147.15</f>
        <v>147.15</v>
      </c>
      <c r="T195" s="65">
        <f>17155071</f>
        <v>17155071</v>
      </c>
      <c r="U195" s="65">
        <f>8</f>
        <v>8</v>
      </c>
      <c r="V195" s="65">
        <f>2546264699</f>
        <v>2546264699</v>
      </c>
      <c r="W195" s="65">
        <f>1080</f>
        <v>1080</v>
      </c>
      <c r="X195" s="69">
        <f>20</f>
        <v>20</v>
      </c>
    </row>
    <row r="196" spans="1:24">
      <c r="A196" s="60" t="s">
        <v>934</v>
      </c>
      <c r="B196" s="60" t="s">
        <v>642</v>
      </c>
      <c r="C196" s="60" t="s">
        <v>643</v>
      </c>
      <c r="D196" s="60" t="s">
        <v>644</v>
      </c>
      <c r="E196" s="61" t="s">
        <v>46</v>
      </c>
      <c r="F196" s="62" t="s">
        <v>46</v>
      </c>
      <c r="G196" s="63" t="s">
        <v>46</v>
      </c>
      <c r="H196" s="64"/>
      <c r="I196" s="64" t="s">
        <v>629</v>
      </c>
      <c r="J196" s="65">
        <v>1</v>
      </c>
      <c r="K196" s="66">
        <f>17860</f>
        <v>17860</v>
      </c>
      <c r="L196" s="67" t="s">
        <v>853</v>
      </c>
      <c r="M196" s="66">
        <f>18210</f>
        <v>18210</v>
      </c>
      <c r="N196" s="67" t="s">
        <v>77</v>
      </c>
      <c r="O196" s="66">
        <f>16600</f>
        <v>16600</v>
      </c>
      <c r="P196" s="67" t="s">
        <v>856</v>
      </c>
      <c r="Q196" s="66">
        <f>16800</f>
        <v>16800</v>
      </c>
      <c r="R196" s="67" t="s">
        <v>873</v>
      </c>
      <c r="S196" s="68">
        <f>17324.5</f>
        <v>17324.5</v>
      </c>
      <c r="T196" s="65">
        <f>23632</f>
        <v>23632</v>
      </c>
      <c r="U196" s="65" t="str">
        <f>"－"</f>
        <v>－</v>
      </c>
      <c r="V196" s="65">
        <f>407401980</f>
        <v>407401980</v>
      </c>
      <c r="W196" s="65" t="str">
        <f>"－"</f>
        <v>－</v>
      </c>
      <c r="X196" s="69">
        <f>20</f>
        <v>20</v>
      </c>
    </row>
    <row r="197" spans="1:24">
      <c r="A197" s="60" t="s">
        <v>934</v>
      </c>
      <c r="B197" s="60" t="s">
        <v>645</v>
      </c>
      <c r="C197" s="60" t="s">
        <v>646</v>
      </c>
      <c r="D197" s="60" t="s">
        <v>647</v>
      </c>
      <c r="E197" s="61" t="s">
        <v>46</v>
      </c>
      <c r="F197" s="62" t="s">
        <v>46</v>
      </c>
      <c r="G197" s="63" t="s">
        <v>46</v>
      </c>
      <c r="H197" s="64"/>
      <c r="I197" s="64" t="s">
        <v>629</v>
      </c>
      <c r="J197" s="65">
        <v>1</v>
      </c>
      <c r="K197" s="66">
        <f>5470</f>
        <v>5470</v>
      </c>
      <c r="L197" s="67" t="s">
        <v>853</v>
      </c>
      <c r="M197" s="66">
        <f>5680</f>
        <v>5680</v>
      </c>
      <c r="N197" s="67" t="s">
        <v>856</v>
      </c>
      <c r="O197" s="66">
        <f>5400</f>
        <v>5400</v>
      </c>
      <c r="P197" s="67" t="s">
        <v>77</v>
      </c>
      <c r="Q197" s="66">
        <f>5630</f>
        <v>5630</v>
      </c>
      <c r="R197" s="67" t="s">
        <v>873</v>
      </c>
      <c r="S197" s="68">
        <f>5531</f>
        <v>5531</v>
      </c>
      <c r="T197" s="65">
        <f>12283</f>
        <v>12283</v>
      </c>
      <c r="U197" s="65" t="str">
        <f>"－"</f>
        <v>－</v>
      </c>
      <c r="V197" s="65">
        <f>68215380</f>
        <v>68215380</v>
      </c>
      <c r="W197" s="65" t="str">
        <f>"－"</f>
        <v>－</v>
      </c>
      <c r="X197" s="69">
        <f>20</f>
        <v>20</v>
      </c>
    </row>
    <row r="198" spans="1:24">
      <c r="A198" s="60" t="s">
        <v>934</v>
      </c>
      <c r="B198" s="60" t="s">
        <v>648</v>
      </c>
      <c r="C198" s="60" t="s">
        <v>649</v>
      </c>
      <c r="D198" s="60" t="s">
        <v>650</v>
      </c>
      <c r="E198" s="61" t="s">
        <v>46</v>
      </c>
      <c r="F198" s="62" t="s">
        <v>46</v>
      </c>
      <c r="G198" s="63" t="s">
        <v>46</v>
      </c>
      <c r="H198" s="64"/>
      <c r="I198" s="64" t="s">
        <v>629</v>
      </c>
      <c r="J198" s="65">
        <v>1</v>
      </c>
      <c r="K198" s="66">
        <f>588</f>
        <v>588</v>
      </c>
      <c r="L198" s="67" t="s">
        <v>853</v>
      </c>
      <c r="M198" s="66">
        <f>729</f>
        <v>729</v>
      </c>
      <c r="N198" s="67" t="s">
        <v>88</v>
      </c>
      <c r="O198" s="66">
        <f>570</f>
        <v>570</v>
      </c>
      <c r="P198" s="67" t="s">
        <v>860</v>
      </c>
      <c r="Q198" s="66">
        <f>707</f>
        <v>707</v>
      </c>
      <c r="R198" s="67" t="s">
        <v>873</v>
      </c>
      <c r="S198" s="68">
        <f>628.95</f>
        <v>628.95000000000005</v>
      </c>
      <c r="T198" s="65">
        <f>128680205</f>
        <v>128680205</v>
      </c>
      <c r="U198" s="65">
        <f>500000</f>
        <v>500000</v>
      </c>
      <c r="V198" s="65">
        <f>81933698128</f>
        <v>81933698128</v>
      </c>
      <c r="W198" s="65">
        <f>343500000</f>
        <v>343500000</v>
      </c>
      <c r="X198" s="69">
        <f>20</f>
        <v>20</v>
      </c>
    </row>
    <row r="199" spans="1:24">
      <c r="A199" s="60" t="s">
        <v>934</v>
      </c>
      <c r="B199" s="60" t="s">
        <v>651</v>
      </c>
      <c r="C199" s="60" t="s">
        <v>652</v>
      </c>
      <c r="D199" s="60" t="s">
        <v>653</v>
      </c>
      <c r="E199" s="61" t="s">
        <v>46</v>
      </c>
      <c r="F199" s="62" t="s">
        <v>46</v>
      </c>
      <c r="G199" s="63" t="s">
        <v>46</v>
      </c>
      <c r="H199" s="64"/>
      <c r="I199" s="64" t="s">
        <v>629</v>
      </c>
      <c r="J199" s="65">
        <v>1</v>
      </c>
      <c r="K199" s="66">
        <f>3265</f>
        <v>3265</v>
      </c>
      <c r="L199" s="67" t="s">
        <v>853</v>
      </c>
      <c r="M199" s="66">
        <f>3300</f>
        <v>3300</v>
      </c>
      <c r="N199" s="67" t="s">
        <v>860</v>
      </c>
      <c r="O199" s="66">
        <f>2944</f>
        <v>2944</v>
      </c>
      <c r="P199" s="67" t="s">
        <v>88</v>
      </c>
      <c r="Q199" s="66">
        <f>2986</f>
        <v>2986</v>
      </c>
      <c r="R199" s="67" t="s">
        <v>873</v>
      </c>
      <c r="S199" s="68">
        <f>3162.05</f>
        <v>3162.05</v>
      </c>
      <c r="T199" s="65">
        <f>650678</f>
        <v>650678</v>
      </c>
      <c r="U199" s="65" t="str">
        <f>"－"</f>
        <v>－</v>
      </c>
      <c r="V199" s="65">
        <f>2030922087</f>
        <v>2030922087</v>
      </c>
      <c r="W199" s="65" t="str">
        <f>"－"</f>
        <v>－</v>
      </c>
      <c r="X199" s="69">
        <f>20</f>
        <v>20</v>
      </c>
    </row>
    <row r="200" spans="1:24">
      <c r="A200" s="60" t="s">
        <v>934</v>
      </c>
      <c r="B200" s="60" t="s">
        <v>654</v>
      </c>
      <c r="C200" s="60" t="s">
        <v>655</v>
      </c>
      <c r="D200" s="60" t="s">
        <v>656</v>
      </c>
      <c r="E200" s="61" t="s">
        <v>46</v>
      </c>
      <c r="F200" s="62" t="s">
        <v>46</v>
      </c>
      <c r="G200" s="63" t="s">
        <v>46</v>
      </c>
      <c r="H200" s="64"/>
      <c r="I200" s="64" t="s">
        <v>629</v>
      </c>
      <c r="J200" s="65">
        <v>1</v>
      </c>
      <c r="K200" s="66">
        <f>32250</f>
        <v>32250</v>
      </c>
      <c r="L200" s="67" t="s">
        <v>853</v>
      </c>
      <c r="M200" s="66">
        <f>32400</f>
        <v>32400</v>
      </c>
      <c r="N200" s="67" t="s">
        <v>858</v>
      </c>
      <c r="O200" s="66">
        <f>29750</f>
        <v>29750</v>
      </c>
      <c r="P200" s="67" t="s">
        <v>132</v>
      </c>
      <c r="Q200" s="66">
        <f>31050</f>
        <v>31050</v>
      </c>
      <c r="R200" s="67" t="s">
        <v>873</v>
      </c>
      <c r="S200" s="68">
        <f>31572.5</f>
        <v>31572.5</v>
      </c>
      <c r="T200" s="65">
        <f>142370</f>
        <v>142370</v>
      </c>
      <c r="U200" s="65">
        <f>2</f>
        <v>2</v>
      </c>
      <c r="V200" s="65">
        <f>4450669750</f>
        <v>4450669750</v>
      </c>
      <c r="W200" s="65">
        <f>61500</f>
        <v>61500</v>
      </c>
      <c r="X200" s="69">
        <f>20</f>
        <v>20</v>
      </c>
    </row>
    <row r="201" spans="1:24">
      <c r="A201" s="60" t="s">
        <v>934</v>
      </c>
      <c r="B201" s="60" t="s">
        <v>657</v>
      </c>
      <c r="C201" s="60" t="s">
        <v>658</v>
      </c>
      <c r="D201" s="60" t="s">
        <v>659</v>
      </c>
      <c r="E201" s="61" t="s">
        <v>46</v>
      </c>
      <c r="F201" s="62" t="s">
        <v>46</v>
      </c>
      <c r="G201" s="63" t="s">
        <v>46</v>
      </c>
      <c r="H201" s="64"/>
      <c r="I201" s="64" t="s">
        <v>629</v>
      </c>
      <c r="J201" s="65">
        <v>1</v>
      </c>
      <c r="K201" s="66">
        <f>2903</f>
        <v>2903</v>
      </c>
      <c r="L201" s="67" t="s">
        <v>853</v>
      </c>
      <c r="M201" s="66">
        <f>3025</f>
        <v>3025</v>
      </c>
      <c r="N201" s="67" t="s">
        <v>132</v>
      </c>
      <c r="O201" s="66">
        <f>2877</f>
        <v>2877</v>
      </c>
      <c r="P201" s="67" t="s">
        <v>96</v>
      </c>
      <c r="Q201" s="66">
        <f>2944</f>
        <v>2944</v>
      </c>
      <c r="R201" s="67" t="s">
        <v>873</v>
      </c>
      <c r="S201" s="68">
        <f>2928.25</f>
        <v>2928.25</v>
      </c>
      <c r="T201" s="65">
        <f>650427</f>
        <v>650427</v>
      </c>
      <c r="U201" s="65" t="str">
        <f>"－"</f>
        <v>－</v>
      </c>
      <c r="V201" s="65">
        <f>1909911011</f>
        <v>1909911011</v>
      </c>
      <c r="W201" s="65" t="str">
        <f>"－"</f>
        <v>－</v>
      </c>
      <c r="X201" s="69">
        <f>20</f>
        <v>20</v>
      </c>
    </row>
    <row r="202" spans="1:24">
      <c r="A202" s="60" t="s">
        <v>934</v>
      </c>
      <c r="B202" s="60" t="s">
        <v>660</v>
      </c>
      <c r="C202" s="60" t="s">
        <v>661</v>
      </c>
      <c r="D202" s="60" t="s">
        <v>662</v>
      </c>
      <c r="E202" s="61" t="s">
        <v>46</v>
      </c>
      <c r="F202" s="62" t="s">
        <v>46</v>
      </c>
      <c r="G202" s="63" t="s">
        <v>46</v>
      </c>
      <c r="H202" s="64"/>
      <c r="I202" s="64" t="s">
        <v>629</v>
      </c>
      <c r="J202" s="65">
        <v>1</v>
      </c>
      <c r="K202" s="66">
        <f>12260</f>
        <v>12260</v>
      </c>
      <c r="L202" s="67" t="s">
        <v>853</v>
      </c>
      <c r="M202" s="66">
        <f>12670</f>
        <v>12670</v>
      </c>
      <c r="N202" s="67" t="s">
        <v>49</v>
      </c>
      <c r="O202" s="66">
        <f>11750</f>
        <v>11750</v>
      </c>
      <c r="P202" s="67" t="s">
        <v>858</v>
      </c>
      <c r="Q202" s="66">
        <f>12050</f>
        <v>12050</v>
      </c>
      <c r="R202" s="67" t="s">
        <v>873</v>
      </c>
      <c r="S202" s="68">
        <f>12191</f>
        <v>12191</v>
      </c>
      <c r="T202" s="65">
        <f>66752</f>
        <v>66752</v>
      </c>
      <c r="U202" s="65">
        <f>4300</f>
        <v>4300</v>
      </c>
      <c r="V202" s="65">
        <f>813803550</f>
        <v>813803550</v>
      </c>
      <c r="W202" s="65">
        <f>53392700</f>
        <v>53392700</v>
      </c>
      <c r="X202" s="69">
        <f>20</f>
        <v>20</v>
      </c>
    </row>
    <row r="203" spans="1:24">
      <c r="A203" s="60" t="s">
        <v>934</v>
      </c>
      <c r="B203" s="60" t="s">
        <v>663</v>
      </c>
      <c r="C203" s="60" t="s">
        <v>664</v>
      </c>
      <c r="D203" s="60" t="s">
        <v>665</v>
      </c>
      <c r="E203" s="61" t="s">
        <v>46</v>
      </c>
      <c r="F203" s="62" t="s">
        <v>46</v>
      </c>
      <c r="G203" s="63" t="s">
        <v>46</v>
      </c>
      <c r="H203" s="64"/>
      <c r="I203" s="64" t="s">
        <v>629</v>
      </c>
      <c r="J203" s="65">
        <v>1</v>
      </c>
      <c r="K203" s="66">
        <f>13050</f>
        <v>13050</v>
      </c>
      <c r="L203" s="67" t="s">
        <v>853</v>
      </c>
      <c r="M203" s="66">
        <f>13280</f>
        <v>13280</v>
      </c>
      <c r="N203" s="67" t="s">
        <v>172</v>
      </c>
      <c r="O203" s="66">
        <f>12550</f>
        <v>12550</v>
      </c>
      <c r="P203" s="67" t="s">
        <v>268</v>
      </c>
      <c r="Q203" s="66">
        <f>12810</f>
        <v>12810</v>
      </c>
      <c r="R203" s="67" t="s">
        <v>873</v>
      </c>
      <c r="S203" s="68">
        <f>12910</f>
        <v>12910</v>
      </c>
      <c r="T203" s="65">
        <f>176</f>
        <v>176</v>
      </c>
      <c r="U203" s="65">
        <f>1</f>
        <v>1</v>
      </c>
      <c r="V203" s="65">
        <f>2254000</f>
        <v>2254000</v>
      </c>
      <c r="W203" s="65">
        <f>13050</f>
        <v>13050</v>
      </c>
      <c r="X203" s="69">
        <f>15</f>
        <v>15</v>
      </c>
    </row>
    <row r="204" spans="1:24">
      <c r="A204" s="60" t="s">
        <v>934</v>
      </c>
      <c r="B204" s="60" t="s">
        <v>666</v>
      </c>
      <c r="C204" s="60" t="s">
        <v>667</v>
      </c>
      <c r="D204" s="60" t="s">
        <v>668</v>
      </c>
      <c r="E204" s="61" t="s">
        <v>46</v>
      </c>
      <c r="F204" s="62" t="s">
        <v>46</v>
      </c>
      <c r="G204" s="63" t="s">
        <v>46</v>
      </c>
      <c r="H204" s="64"/>
      <c r="I204" s="64" t="s">
        <v>629</v>
      </c>
      <c r="J204" s="65">
        <v>1</v>
      </c>
      <c r="K204" s="66">
        <f>19270</f>
        <v>19270</v>
      </c>
      <c r="L204" s="67" t="s">
        <v>853</v>
      </c>
      <c r="M204" s="66">
        <f>19380</f>
        <v>19380</v>
      </c>
      <c r="N204" s="67" t="s">
        <v>858</v>
      </c>
      <c r="O204" s="66">
        <f>18150</f>
        <v>18150</v>
      </c>
      <c r="P204" s="67" t="s">
        <v>132</v>
      </c>
      <c r="Q204" s="66">
        <f>19020</f>
        <v>19020</v>
      </c>
      <c r="R204" s="67" t="s">
        <v>873</v>
      </c>
      <c r="S204" s="68">
        <f>18945.5</f>
        <v>18945.5</v>
      </c>
      <c r="T204" s="65">
        <f>17179</f>
        <v>17179</v>
      </c>
      <c r="U204" s="65" t="str">
        <f>"－"</f>
        <v>－</v>
      </c>
      <c r="V204" s="65">
        <f>323785300</f>
        <v>323785300</v>
      </c>
      <c r="W204" s="65" t="str">
        <f>"－"</f>
        <v>－</v>
      </c>
      <c r="X204" s="69">
        <f>20</f>
        <v>20</v>
      </c>
    </row>
    <row r="205" spans="1:24">
      <c r="A205" s="60" t="s">
        <v>934</v>
      </c>
      <c r="B205" s="60" t="s">
        <v>669</v>
      </c>
      <c r="C205" s="60" t="s">
        <v>670</v>
      </c>
      <c r="D205" s="60" t="s">
        <v>671</v>
      </c>
      <c r="E205" s="61" t="s">
        <v>46</v>
      </c>
      <c r="F205" s="62" t="s">
        <v>46</v>
      </c>
      <c r="G205" s="63" t="s">
        <v>46</v>
      </c>
      <c r="H205" s="64"/>
      <c r="I205" s="64" t="s">
        <v>629</v>
      </c>
      <c r="J205" s="65">
        <v>1</v>
      </c>
      <c r="K205" s="66">
        <f>13860</f>
        <v>13860</v>
      </c>
      <c r="L205" s="67" t="s">
        <v>853</v>
      </c>
      <c r="M205" s="66">
        <f>13990</f>
        <v>13990</v>
      </c>
      <c r="N205" s="67" t="s">
        <v>172</v>
      </c>
      <c r="O205" s="66">
        <f>13320</f>
        <v>13320</v>
      </c>
      <c r="P205" s="67" t="s">
        <v>268</v>
      </c>
      <c r="Q205" s="66">
        <f>13550</f>
        <v>13550</v>
      </c>
      <c r="R205" s="67" t="s">
        <v>50</v>
      </c>
      <c r="S205" s="68">
        <f>13725</f>
        <v>13725</v>
      </c>
      <c r="T205" s="65">
        <f>329</f>
        <v>329</v>
      </c>
      <c r="U205" s="65" t="str">
        <f>"－"</f>
        <v>－</v>
      </c>
      <c r="V205" s="65">
        <f>4508710</f>
        <v>4508710</v>
      </c>
      <c r="W205" s="65" t="str">
        <f>"－"</f>
        <v>－</v>
      </c>
      <c r="X205" s="69">
        <f>18</f>
        <v>18</v>
      </c>
    </row>
    <row r="206" spans="1:24">
      <c r="A206" s="60" t="s">
        <v>934</v>
      </c>
      <c r="B206" s="60" t="s">
        <v>672</v>
      </c>
      <c r="C206" s="60" t="s">
        <v>673</v>
      </c>
      <c r="D206" s="60" t="s">
        <v>674</v>
      </c>
      <c r="E206" s="61" t="s">
        <v>46</v>
      </c>
      <c r="F206" s="62" t="s">
        <v>46</v>
      </c>
      <c r="G206" s="63" t="s">
        <v>46</v>
      </c>
      <c r="H206" s="64"/>
      <c r="I206" s="64" t="s">
        <v>629</v>
      </c>
      <c r="J206" s="65">
        <v>1</v>
      </c>
      <c r="K206" s="66">
        <f>17190</f>
        <v>17190</v>
      </c>
      <c r="L206" s="67" t="s">
        <v>853</v>
      </c>
      <c r="M206" s="66">
        <f>19190</f>
        <v>19190</v>
      </c>
      <c r="N206" s="67" t="s">
        <v>73</v>
      </c>
      <c r="O206" s="66">
        <f>17000</f>
        <v>17000</v>
      </c>
      <c r="P206" s="67" t="s">
        <v>857</v>
      </c>
      <c r="Q206" s="66">
        <f>18570</f>
        <v>18570</v>
      </c>
      <c r="R206" s="67" t="s">
        <v>873</v>
      </c>
      <c r="S206" s="68">
        <f>17944.5</f>
        <v>17944.5</v>
      </c>
      <c r="T206" s="65">
        <f>63981</f>
        <v>63981</v>
      </c>
      <c r="U206" s="65">
        <f>13</f>
        <v>13</v>
      </c>
      <c r="V206" s="65">
        <f>1150277650</f>
        <v>1150277650</v>
      </c>
      <c r="W206" s="65">
        <f>234140</f>
        <v>234140</v>
      </c>
      <c r="X206" s="69">
        <f>20</f>
        <v>20</v>
      </c>
    </row>
    <row r="207" spans="1:24">
      <c r="A207" s="60" t="s">
        <v>934</v>
      </c>
      <c r="B207" s="60" t="s">
        <v>675</v>
      </c>
      <c r="C207" s="60" t="s">
        <v>676</v>
      </c>
      <c r="D207" s="60" t="s">
        <v>677</v>
      </c>
      <c r="E207" s="61" t="s">
        <v>46</v>
      </c>
      <c r="F207" s="62" t="s">
        <v>46</v>
      </c>
      <c r="G207" s="63" t="s">
        <v>46</v>
      </c>
      <c r="H207" s="64"/>
      <c r="I207" s="64" t="s">
        <v>629</v>
      </c>
      <c r="J207" s="65">
        <v>1</v>
      </c>
      <c r="K207" s="66">
        <f>4040</f>
        <v>4040</v>
      </c>
      <c r="L207" s="67" t="s">
        <v>853</v>
      </c>
      <c r="M207" s="66">
        <f>4080</f>
        <v>4080</v>
      </c>
      <c r="N207" s="67" t="s">
        <v>853</v>
      </c>
      <c r="O207" s="66">
        <f>3815</f>
        <v>3815</v>
      </c>
      <c r="P207" s="67" t="s">
        <v>73</v>
      </c>
      <c r="Q207" s="66">
        <f>3900</f>
        <v>3900</v>
      </c>
      <c r="R207" s="67" t="s">
        <v>873</v>
      </c>
      <c r="S207" s="68">
        <f>3931.5</f>
        <v>3931.5</v>
      </c>
      <c r="T207" s="65">
        <f>12635</f>
        <v>12635</v>
      </c>
      <c r="U207" s="65" t="str">
        <f t="shared" ref="U207:U212" si="4">"－"</f>
        <v>－</v>
      </c>
      <c r="V207" s="65">
        <f>49229270</f>
        <v>49229270</v>
      </c>
      <c r="W207" s="65" t="str">
        <f t="shared" ref="W207:W212" si="5">"－"</f>
        <v>－</v>
      </c>
      <c r="X207" s="69">
        <f>20</f>
        <v>20</v>
      </c>
    </row>
    <row r="208" spans="1:24">
      <c r="A208" s="60" t="s">
        <v>934</v>
      </c>
      <c r="B208" s="60" t="s">
        <v>678</v>
      </c>
      <c r="C208" s="60" t="s">
        <v>679</v>
      </c>
      <c r="D208" s="60" t="s">
        <v>680</v>
      </c>
      <c r="E208" s="61" t="s">
        <v>46</v>
      </c>
      <c r="F208" s="62" t="s">
        <v>46</v>
      </c>
      <c r="G208" s="63" t="s">
        <v>46</v>
      </c>
      <c r="H208" s="64"/>
      <c r="I208" s="64" t="s">
        <v>629</v>
      </c>
      <c r="J208" s="65">
        <v>1</v>
      </c>
      <c r="K208" s="66">
        <f>11000</f>
        <v>11000</v>
      </c>
      <c r="L208" s="67" t="s">
        <v>853</v>
      </c>
      <c r="M208" s="66">
        <f>11920</f>
        <v>11920</v>
      </c>
      <c r="N208" s="67" t="s">
        <v>88</v>
      </c>
      <c r="O208" s="66">
        <f>11000</f>
        <v>11000</v>
      </c>
      <c r="P208" s="67" t="s">
        <v>853</v>
      </c>
      <c r="Q208" s="66">
        <f>11920</f>
        <v>11920</v>
      </c>
      <c r="R208" s="67" t="s">
        <v>88</v>
      </c>
      <c r="S208" s="68">
        <f>11547.65</f>
        <v>11547.65</v>
      </c>
      <c r="T208" s="65">
        <f>9523</f>
        <v>9523</v>
      </c>
      <c r="U208" s="65" t="str">
        <f t="shared" si="4"/>
        <v>－</v>
      </c>
      <c r="V208" s="65">
        <f>108272310</f>
        <v>108272310</v>
      </c>
      <c r="W208" s="65" t="str">
        <f t="shared" si="5"/>
        <v>－</v>
      </c>
      <c r="X208" s="69">
        <f>17</f>
        <v>17</v>
      </c>
    </row>
    <row r="209" spans="1:24">
      <c r="A209" s="60" t="s">
        <v>934</v>
      </c>
      <c r="B209" s="60" t="s">
        <v>681</v>
      </c>
      <c r="C209" s="60" t="s">
        <v>682</v>
      </c>
      <c r="D209" s="60" t="s">
        <v>683</v>
      </c>
      <c r="E209" s="61" t="s">
        <v>46</v>
      </c>
      <c r="F209" s="62" t="s">
        <v>46</v>
      </c>
      <c r="G209" s="63" t="s">
        <v>46</v>
      </c>
      <c r="H209" s="64"/>
      <c r="I209" s="64" t="s">
        <v>629</v>
      </c>
      <c r="J209" s="65">
        <v>1</v>
      </c>
      <c r="K209" s="66">
        <f>13080</f>
        <v>13080</v>
      </c>
      <c r="L209" s="67" t="s">
        <v>77</v>
      </c>
      <c r="M209" s="66">
        <f>13600</f>
        <v>13600</v>
      </c>
      <c r="N209" s="67" t="s">
        <v>49</v>
      </c>
      <c r="O209" s="66">
        <f>13080</f>
        <v>13080</v>
      </c>
      <c r="P209" s="67" t="s">
        <v>77</v>
      </c>
      <c r="Q209" s="66">
        <f>13170</f>
        <v>13170</v>
      </c>
      <c r="R209" s="67" t="s">
        <v>50</v>
      </c>
      <c r="S209" s="68">
        <f>13372.86</f>
        <v>13372.86</v>
      </c>
      <c r="T209" s="65">
        <f>347</f>
        <v>347</v>
      </c>
      <c r="U209" s="65" t="str">
        <f t="shared" si="4"/>
        <v>－</v>
      </c>
      <c r="V209" s="65">
        <f>4578310</f>
        <v>4578310</v>
      </c>
      <c r="W209" s="65" t="str">
        <f t="shared" si="5"/>
        <v>－</v>
      </c>
      <c r="X209" s="69">
        <f>7</f>
        <v>7</v>
      </c>
    </row>
    <row r="210" spans="1:24">
      <c r="A210" s="60" t="s">
        <v>934</v>
      </c>
      <c r="B210" s="60" t="s">
        <v>684</v>
      </c>
      <c r="C210" s="60" t="s">
        <v>685</v>
      </c>
      <c r="D210" s="60" t="s">
        <v>686</v>
      </c>
      <c r="E210" s="61" t="s">
        <v>46</v>
      </c>
      <c r="F210" s="62" t="s">
        <v>46</v>
      </c>
      <c r="G210" s="63" t="s">
        <v>46</v>
      </c>
      <c r="H210" s="64"/>
      <c r="I210" s="64" t="s">
        <v>629</v>
      </c>
      <c r="J210" s="65">
        <v>1</v>
      </c>
      <c r="K210" s="66">
        <f>12760</f>
        <v>12760</v>
      </c>
      <c r="L210" s="67" t="s">
        <v>853</v>
      </c>
      <c r="M210" s="66">
        <f>13520</f>
        <v>13520</v>
      </c>
      <c r="N210" s="67" t="s">
        <v>855</v>
      </c>
      <c r="O210" s="66">
        <f>12760</f>
        <v>12760</v>
      </c>
      <c r="P210" s="67" t="s">
        <v>853</v>
      </c>
      <c r="Q210" s="66">
        <f>13520</f>
        <v>13520</v>
      </c>
      <c r="R210" s="67" t="s">
        <v>855</v>
      </c>
      <c r="S210" s="68">
        <f>13040</f>
        <v>13040</v>
      </c>
      <c r="T210" s="65">
        <f>263</f>
        <v>263</v>
      </c>
      <c r="U210" s="65" t="str">
        <f t="shared" si="4"/>
        <v>－</v>
      </c>
      <c r="V210" s="65">
        <f>3396320</f>
        <v>3396320</v>
      </c>
      <c r="W210" s="65" t="str">
        <f t="shared" si="5"/>
        <v>－</v>
      </c>
      <c r="X210" s="69">
        <f>5</f>
        <v>5</v>
      </c>
    </row>
    <row r="211" spans="1:24">
      <c r="A211" s="60" t="s">
        <v>934</v>
      </c>
      <c r="B211" s="60" t="s">
        <v>687</v>
      </c>
      <c r="C211" s="60" t="s">
        <v>688</v>
      </c>
      <c r="D211" s="60" t="s">
        <v>689</v>
      </c>
      <c r="E211" s="61" t="s">
        <v>46</v>
      </c>
      <c r="F211" s="62" t="s">
        <v>46</v>
      </c>
      <c r="G211" s="63" t="s">
        <v>46</v>
      </c>
      <c r="H211" s="64"/>
      <c r="I211" s="64" t="s">
        <v>629</v>
      </c>
      <c r="J211" s="65">
        <v>1</v>
      </c>
      <c r="K211" s="66">
        <f>14290</f>
        <v>14290</v>
      </c>
      <c r="L211" s="67" t="s">
        <v>853</v>
      </c>
      <c r="M211" s="66">
        <f>14290</f>
        <v>14290</v>
      </c>
      <c r="N211" s="67" t="s">
        <v>853</v>
      </c>
      <c r="O211" s="66">
        <f>13950</f>
        <v>13950</v>
      </c>
      <c r="P211" s="67" t="s">
        <v>268</v>
      </c>
      <c r="Q211" s="66">
        <f>14050</f>
        <v>14050</v>
      </c>
      <c r="R211" s="67" t="s">
        <v>88</v>
      </c>
      <c r="S211" s="68">
        <f>14121.25</f>
        <v>14121.25</v>
      </c>
      <c r="T211" s="65">
        <f>229</f>
        <v>229</v>
      </c>
      <c r="U211" s="65" t="str">
        <f t="shared" si="4"/>
        <v>－</v>
      </c>
      <c r="V211" s="65">
        <f>3265180</f>
        <v>3265180</v>
      </c>
      <c r="W211" s="65" t="str">
        <f t="shared" si="5"/>
        <v>－</v>
      </c>
      <c r="X211" s="69">
        <f>8</f>
        <v>8</v>
      </c>
    </row>
    <row r="212" spans="1:24">
      <c r="A212" s="60" t="s">
        <v>934</v>
      </c>
      <c r="B212" s="60" t="s">
        <v>690</v>
      </c>
      <c r="C212" s="60" t="s">
        <v>691</v>
      </c>
      <c r="D212" s="60" t="s">
        <v>692</v>
      </c>
      <c r="E212" s="61" t="s">
        <v>46</v>
      </c>
      <c r="F212" s="62" t="s">
        <v>46</v>
      </c>
      <c r="G212" s="63" t="s">
        <v>46</v>
      </c>
      <c r="H212" s="64"/>
      <c r="I212" s="64" t="s">
        <v>629</v>
      </c>
      <c r="J212" s="65">
        <v>1</v>
      </c>
      <c r="K212" s="66">
        <f>12660</f>
        <v>12660</v>
      </c>
      <c r="L212" s="67" t="s">
        <v>853</v>
      </c>
      <c r="M212" s="66">
        <f>13420</f>
        <v>13420</v>
      </c>
      <c r="N212" s="67" t="s">
        <v>49</v>
      </c>
      <c r="O212" s="66">
        <f>12620</f>
        <v>12620</v>
      </c>
      <c r="P212" s="67" t="s">
        <v>857</v>
      </c>
      <c r="Q212" s="66">
        <f>13130</f>
        <v>13130</v>
      </c>
      <c r="R212" s="67" t="s">
        <v>873</v>
      </c>
      <c r="S212" s="68">
        <f>13101.5</f>
        <v>13101.5</v>
      </c>
      <c r="T212" s="65">
        <f>8296</f>
        <v>8296</v>
      </c>
      <c r="U212" s="65" t="str">
        <f t="shared" si="4"/>
        <v>－</v>
      </c>
      <c r="V212" s="65">
        <f>108816030</f>
        <v>108816030</v>
      </c>
      <c r="W212" s="65" t="str">
        <f t="shared" si="5"/>
        <v>－</v>
      </c>
      <c r="X212" s="69">
        <f>20</f>
        <v>20</v>
      </c>
    </row>
    <row r="213" spans="1:24">
      <c r="A213" s="60" t="s">
        <v>934</v>
      </c>
      <c r="B213" s="60" t="s">
        <v>693</v>
      </c>
      <c r="C213" s="60" t="s">
        <v>694</v>
      </c>
      <c r="D213" s="60" t="s">
        <v>695</v>
      </c>
      <c r="E213" s="61" t="s">
        <v>46</v>
      </c>
      <c r="F213" s="62" t="s">
        <v>46</v>
      </c>
      <c r="G213" s="63" t="s">
        <v>46</v>
      </c>
      <c r="H213" s="64"/>
      <c r="I213" s="64" t="s">
        <v>629</v>
      </c>
      <c r="J213" s="65">
        <v>1</v>
      </c>
      <c r="K213" s="66">
        <f>14370</f>
        <v>14370</v>
      </c>
      <c r="L213" s="67" t="s">
        <v>77</v>
      </c>
      <c r="M213" s="66">
        <f>15310</f>
        <v>15310</v>
      </c>
      <c r="N213" s="67" t="s">
        <v>49</v>
      </c>
      <c r="O213" s="66">
        <f>14270</f>
        <v>14270</v>
      </c>
      <c r="P213" s="67" t="s">
        <v>873</v>
      </c>
      <c r="Q213" s="66">
        <f>14270</f>
        <v>14270</v>
      </c>
      <c r="R213" s="67" t="s">
        <v>873</v>
      </c>
      <c r="S213" s="68">
        <f>14808.75</f>
        <v>14808.75</v>
      </c>
      <c r="T213" s="65">
        <f>1069</f>
        <v>1069</v>
      </c>
      <c r="U213" s="65">
        <f>1</f>
        <v>1</v>
      </c>
      <c r="V213" s="65">
        <f>16015710</f>
        <v>16015710</v>
      </c>
      <c r="W213" s="65">
        <f>14830</f>
        <v>14830</v>
      </c>
      <c r="X213" s="69">
        <f>8</f>
        <v>8</v>
      </c>
    </row>
    <row r="214" spans="1:24">
      <c r="A214" s="60" t="s">
        <v>934</v>
      </c>
      <c r="B214" s="60" t="s">
        <v>696</v>
      </c>
      <c r="C214" s="60" t="s">
        <v>697</v>
      </c>
      <c r="D214" s="60" t="s">
        <v>698</v>
      </c>
      <c r="E214" s="61" t="s">
        <v>46</v>
      </c>
      <c r="F214" s="62" t="s">
        <v>46</v>
      </c>
      <c r="G214" s="63" t="s">
        <v>46</v>
      </c>
      <c r="H214" s="64"/>
      <c r="I214" s="64" t="s">
        <v>629</v>
      </c>
      <c r="J214" s="65">
        <v>1</v>
      </c>
      <c r="K214" s="66">
        <f>13440</f>
        <v>13440</v>
      </c>
      <c r="L214" s="67" t="s">
        <v>77</v>
      </c>
      <c r="M214" s="66">
        <f>13810</f>
        <v>13810</v>
      </c>
      <c r="N214" s="67" t="s">
        <v>92</v>
      </c>
      <c r="O214" s="66">
        <f>13390</f>
        <v>13390</v>
      </c>
      <c r="P214" s="67" t="s">
        <v>77</v>
      </c>
      <c r="Q214" s="66">
        <f>13700</f>
        <v>13700</v>
      </c>
      <c r="R214" s="67" t="s">
        <v>854</v>
      </c>
      <c r="S214" s="68">
        <f>13622</f>
        <v>13622</v>
      </c>
      <c r="T214" s="65">
        <f>439</f>
        <v>439</v>
      </c>
      <c r="U214" s="65" t="str">
        <f>"－"</f>
        <v>－</v>
      </c>
      <c r="V214" s="65">
        <f>6022640</f>
        <v>6022640</v>
      </c>
      <c r="W214" s="65" t="str">
        <f>"－"</f>
        <v>－</v>
      </c>
      <c r="X214" s="69">
        <f>5</f>
        <v>5</v>
      </c>
    </row>
    <row r="215" spans="1:24">
      <c r="A215" s="60" t="s">
        <v>934</v>
      </c>
      <c r="B215" s="60" t="s">
        <v>699</v>
      </c>
      <c r="C215" s="60" t="s">
        <v>700</v>
      </c>
      <c r="D215" s="60" t="s">
        <v>701</v>
      </c>
      <c r="E215" s="61" t="s">
        <v>46</v>
      </c>
      <c r="F215" s="62" t="s">
        <v>46</v>
      </c>
      <c r="G215" s="63" t="s">
        <v>46</v>
      </c>
      <c r="H215" s="64"/>
      <c r="I215" s="64" t="s">
        <v>629</v>
      </c>
      <c r="J215" s="65">
        <v>1</v>
      </c>
      <c r="K215" s="66">
        <f>10480</f>
        <v>10480</v>
      </c>
      <c r="L215" s="67" t="s">
        <v>853</v>
      </c>
      <c r="M215" s="66">
        <f>11210</f>
        <v>11210</v>
      </c>
      <c r="N215" s="67" t="s">
        <v>49</v>
      </c>
      <c r="O215" s="66">
        <f>10480</f>
        <v>10480</v>
      </c>
      <c r="P215" s="67" t="s">
        <v>853</v>
      </c>
      <c r="Q215" s="66">
        <f>10790</f>
        <v>10790</v>
      </c>
      <c r="R215" s="67" t="s">
        <v>873</v>
      </c>
      <c r="S215" s="68">
        <f>10943</f>
        <v>10943</v>
      </c>
      <c r="T215" s="65">
        <f>38648</f>
        <v>38648</v>
      </c>
      <c r="U215" s="65" t="str">
        <f>"－"</f>
        <v>－</v>
      </c>
      <c r="V215" s="65">
        <f>421627530</f>
        <v>421627530</v>
      </c>
      <c r="W215" s="65" t="str">
        <f>"－"</f>
        <v>－</v>
      </c>
      <c r="X215" s="69">
        <f>20</f>
        <v>20</v>
      </c>
    </row>
    <row r="216" spans="1:24">
      <c r="A216" s="60" t="s">
        <v>934</v>
      </c>
      <c r="B216" s="60" t="s">
        <v>702</v>
      </c>
      <c r="C216" s="60" t="s">
        <v>703</v>
      </c>
      <c r="D216" s="60" t="s">
        <v>704</v>
      </c>
      <c r="E216" s="61" t="s">
        <v>46</v>
      </c>
      <c r="F216" s="62" t="s">
        <v>46</v>
      </c>
      <c r="G216" s="63" t="s">
        <v>46</v>
      </c>
      <c r="H216" s="64"/>
      <c r="I216" s="64" t="s">
        <v>629</v>
      </c>
      <c r="J216" s="65">
        <v>1</v>
      </c>
      <c r="K216" s="66">
        <f>11530</f>
        <v>11530</v>
      </c>
      <c r="L216" s="67" t="s">
        <v>853</v>
      </c>
      <c r="M216" s="66">
        <f>12760</f>
        <v>12760</v>
      </c>
      <c r="N216" s="67" t="s">
        <v>49</v>
      </c>
      <c r="O216" s="66">
        <f>11520</f>
        <v>11520</v>
      </c>
      <c r="P216" s="67" t="s">
        <v>853</v>
      </c>
      <c r="Q216" s="66">
        <f>12140</f>
        <v>12140</v>
      </c>
      <c r="R216" s="67" t="s">
        <v>873</v>
      </c>
      <c r="S216" s="68">
        <f>12310</f>
        <v>12310</v>
      </c>
      <c r="T216" s="65">
        <f>158618</f>
        <v>158618</v>
      </c>
      <c r="U216" s="65" t="str">
        <f>"－"</f>
        <v>－</v>
      </c>
      <c r="V216" s="65">
        <f>1949945790</f>
        <v>1949945790</v>
      </c>
      <c r="W216" s="65" t="str">
        <f>"－"</f>
        <v>－</v>
      </c>
      <c r="X216" s="69">
        <f>20</f>
        <v>20</v>
      </c>
    </row>
    <row r="217" spans="1:24">
      <c r="A217" s="60" t="s">
        <v>934</v>
      </c>
      <c r="B217" s="60" t="s">
        <v>705</v>
      </c>
      <c r="C217" s="60" t="s">
        <v>706</v>
      </c>
      <c r="D217" s="60" t="s">
        <v>707</v>
      </c>
      <c r="E217" s="61" t="s">
        <v>46</v>
      </c>
      <c r="F217" s="62" t="s">
        <v>46</v>
      </c>
      <c r="G217" s="63" t="s">
        <v>46</v>
      </c>
      <c r="H217" s="64"/>
      <c r="I217" s="64" t="s">
        <v>629</v>
      </c>
      <c r="J217" s="65">
        <v>1</v>
      </c>
      <c r="K217" s="66">
        <f>10460</f>
        <v>10460</v>
      </c>
      <c r="L217" s="67" t="s">
        <v>853</v>
      </c>
      <c r="M217" s="66">
        <f>11080</f>
        <v>11080</v>
      </c>
      <c r="N217" s="67" t="s">
        <v>49</v>
      </c>
      <c r="O217" s="66">
        <f>10410</f>
        <v>10410</v>
      </c>
      <c r="P217" s="67" t="s">
        <v>853</v>
      </c>
      <c r="Q217" s="66">
        <f>10670</f>
        <v>10670</v>
      </c>
      <c r="R217" s="67" t="s">
        <v>873</v>
      </c>
      <c r="S217" s="68">
        <f>10824.74</f>
        <v>10824.74</v>
      </c>
      <c r="T217" s="65">
        <f>37618</f>
        <v>37618</v>
      </c>
      <c r="U217" s="65">
        <f>1</f>
        <v>1</v>
      </c>
      <c r="V217" s="65">
        <f>407173690</f>
        <v>407173690</v>
      </c>
      <c r="W217" s="65">
        <f>10880</f>
        <v>10880</v>
      </c>
      <c r="X217" s="69">
        <f>19</f>
        <v>19</v>
      </c>
    </row>
    <row r="218" spans="1:24">
      <c r="A218" s="60" t="s">
        <v>934</v>
      </c>
      <c r="B218" s="60" t="s">
        <v>708</v>
      </c>
      <c r="C218" s="60" t="s">
        <v>709</v>
      </c>
      <c r="D218" s="60" t="s">
        <v>710</v>
      </c>
      <c r="E218" s="61" t="s">
        <v>46</v>
      </c>
      <c r="F218" s="62" t="s">
        <v>46</v>
      </c>
      <c r="G218" s="63" t="s">
        <v>46</v>
      </c>
      <c r="H218" s="64"/>
      <c r="I218" s="64" t="s">
        <v>47</v>
      </c>
      <c r="J218" s="65">
        <v>10</v>
      </c>
      <c r="K218" s="66">
        <f>999</f>
        <v>999</v>
      </c>
      <c r="L218" s="67" t="s">
        <v>853</v>
      </c>
      <c r="M218" s="66">
        <f>1000</f>
        <v>1000</v>
      </c>
      <c r="N218" s="67" t="s">
        <v>853</v>
      </c>
      <c r="O218" s="66">
        <f>992</f>
        <v>992</v>
      </c>
      <c r="P218" s="67" t="s">
        <v>88</v>
      </c>
      <c r="Q218" s="66">
        <f>993</f>
        <v>993</v>
      </c>
      <c r="R218" s="67" t="s">
        <v>873</v>
      </c>
      <c r="S218" s="68">
        <f>995.4</f>
        <v>995.4</v>
      </c>
      <c r="T218" s="65">
        <f>3889440</f>
        <v>3889440</v>
      </c>
      <c r="U218" s="65">
        <f>3274240</f>
        <v>3274240</v>
      </c>
      <c r="V218" s="65">
        <f>3874027589</f>
        <v>3874027589</v>
      </c>
      <c r="W218" s="65">
        <f>3261396709</f>
        <v>3261396709</v>
      </c>
      <c r="X218" s="69">
        <f>20</f>
        <v>20</v>
      </c>
    </row>
    <row r="219" spans="1:24">
      <c r="A219" s="60" t="s">
        <v>934</v>
      </c>
      <c r="B219" s="60" t="s">
        <v>711</v>
      </c>
      <c r="C219" s="60" t="s">
        <v>712</v>
      </c>
      <c r="D219" s="60" t="s">
        <v>713</v>
      </c>
      <c r="E219" s="61" t="s">
        <v>46</v>
      </c>
      <c r="F219" s="62" t="s">
        <v>46</v>
      </c>
      <c r="G219" s="63" t="s">
        <v>46</v>
      </c>
      <c r="H219" s="64"/>
      <c r="I219" s="64" t="s">
        <v>47</v>
      </c>
      <c r="J219" s="65">
        <v>10</v>
      </c>
      <c r="K219" s="66">
        <f>1026</f>
        <v>1026</v>
      </c>
      <c r="L219" s="67" t="s">
        <v>853</v>
      </c>
      <c r="M219" s="66">
        <f>1030</f>
        <v>1030</v>
      </c>
      <c r="N219" s="67" t="s">
        <v>858</v>
      </c>
      <c r="O219" s="66">
        <f>1001</f>
        <v>1001</v>
      </c>
      <c r="P219" s="67" t="s">
        <v>132</v>
      </c>
      <c r="Q219" s="66">
        <f>1010</f>
        <v>1010</v>
      </c>
      <c r="R219" s="67" t="s">
        <v>873</v>
      </c>
      <c r="S219" s="68">
        <f>1013.7</f>
        <v>1013.7</v>
      </c>
      <c r="T219" s="65">
        <f>1419050</f>
        <v>1419050</v>
      </c>
      <c r="U219" s="65">
        <f>296950</f>
        <v>296950</v>
      </c>
      <c r="V219" s="65">
        <f>1437085029</f>
        <v>1437085029</v>
      </c>
      <c r="W219" s="65">
        <f>299839039</f>
        <v>299839039</v>
      </c>
      <c r="X219" s="69">
        <f>20</f>
        <v>20</v>
      </c>
    </row>
    <row r="220" spans="1:24">
      <c r="A220" s="60" t="s">
        <v>934</v>
      </c>
      <c r="B220" s="60" t="s">
        <v>714</v>
      </c>
      <c r="C220" s="60" t="s">
        <v>715</v>
      </c>
      <c r="D220" s="60" t="s">
        <v>716</v>
      </c>
      <c r="E220" s="61" t="s">
        <v>46</v>
      </c>
      <c r="F220" s="62" t="s">
        <v>46</v>
      </c>
      <c r="G220" s="63" t="s">
        <v>46</v>
      </c>
      <c r="H220" s="64"/>
      <c r="I220" s="64" t="s">
        <v>47</v>
      </c>
      <c r="J220" s="65">
        <v>10</v>
      </c>
      <c r="K220" s="66">
        <f>1034</f>
        <v>1034</v>
      </c>
      <c r="L220" s="67" t="s">
        <v>853</v>
      </c>
      <c r="M220" s="66">
        <f>1035</f>
        <v>1035</v>
      </c>
      <c r="N220" s="67" t="s">
        <v>858</v>
      </c>
      <c r="O220" s="66">
        <f>1012</f>
        <v>1012</v>
      </c>
      <c r="P220" s="67" t="s">
        <v>50</v>
      </c>
      <c r="Q220" s="66">
        <f>1016</f>
        <v>1016</v>
      </c>
      <c r="R220" s="67" t="s">
        <v>873</v>
      </c>
      <c r="S220" s="68">
        <f>1024.7</f>
        <v>1024.7</v>
      </c>
      <c r="T220" s="65">
        <f>10174950</f>
        <v>10174950</v>
      </c>
      <c r="U220" s="65">
        <f>9934420</f>
        <v>9934420</v>
      </c>
      <c r="V220" s="65">
        <f>10398908640</f>
        <v>10398908640</v>
      </c>
      <c r="W220" s="65">
        <f>10153240690</f>
        <v>10153240690</v>
      </c>
      <c r="X220" s="69">
        <f>20</f>
        <v>20</v>
      </c>
    </row>
    <row r="221" spans="1:24">
      <c r="A221" s="60" t="s">
        <v>934</v>
      </c>
      <c r="B221" s="60" t="s">
        <v>717</v>
      </c>
      <c r="C221" s="60" t="s">
        <v>718</v>
      </c>
      <c r="D221" s="60" t="s">
        <v>719</v>
      </c>
      <c r="E221" s="61" t="s">
        <v>46</v>
      </c>
      <c r="F221" s="62" t="s">
        <v>46</v>
      </c>
      <c r="G221" s="63" t="s">
        <v>46</v>
      </c>
      <c r="H221" s="64"/>
      <c r="I221" s="64" t="s">
        <v>47</v>
      </c>
      <c r="J221" s="65">
        <v>10</v>
      </c>
      <c r="K221" s="66">
        <f>1571</f>
        <v>1571</v>
      </c>
      <c r="L221" s="67" t="s">
        <v>853</v>
      </c>
      <c r="M221" s="66">
        <f>1585</f>
        <v>1585</v>
      </c>
      <c r="N221" s="67" t="s">
        <v>858</v>
      </c>
      <c r="O221" s="66">
        <f>1485</f>
        <v>1485</v>
      </c>
      <c r="P221" s="67" t="s">
        <v>132</v>
      </c>
      <c r="Q221" s="66">
        <f>1533</f>
        <v>1533</v>
      </c>
      <c r="R221" s="67" t="s">
        <v>873</v>
      </c>
      <c r="S221" s="68">
        <f>1546.75</f>
        <v>1546.75</v>
      </c>
      <c r="T221" s="65">
        <f>2997210</f>
        <v>2997210</v>
      </c>
      <c r="U221" s="65">
        <f>1845040</f>
        <v>1845040</v>
      </c>
      <c r="V221" s="65">
        <f>4597463448</f>
        <v>4597463448</v>
      </c>
      <c r="W221" s="65">
        <f>2828583128</f>
        <v>2828583128</v>
      </c>
      <c r="X221" s="69">
        <f>20</f>
        <v>20</v>
      </c>
    </row>
    <row r="222" spans="1:24">
      <c r="A222" s="60" t="s">
        <v>934</v>
      </c>
      <c r="B222" s="60" t="s">
        <v>720</v>
      </c>
      <c r="C222" s="60" t="s">
        <v>721</v>
      </c>
      <c r="D222" s="60" t="s">
        <v>722</v>
      </c>
      <c r="E222" s="61" t="s">
        <v>46</v>
      </c>
      <c r="F222" s="62" t="s">
        <v>46</v>
      </c>
      <c r="G222" s="63" t="s">
        <v>46</v>
      </c>
      <c r="H222" s="64"/>
      <c r="I222" s="64" t="s">
        <v>47</v>
      </c>
      <c r="J222" s="65">
        <v>10</v>
      </c>
      <c r="K222" s="66">
        <f>1554</f>
        <v>1554</v>
      </c>
      <c r="L222" s="67" t="s">
        <v>853</v>
      </c>
      <c r="M222" s="66">
        <f>1583</f>
        <v>1583</v>
      </c>
      <c r="N222" s="67" t="s">
        <v>77</v>
      </c>
      <c r="O222" s="66">
        <f>1471</f>
        <v>1471</v>
      </c>
      <c r="P222" s="67" t="s">
        <v>132</v>
      </c>
      <c r="Q222" s="66">
        <f>1482</f>
        <v>1482</v>
      </c>
      <c r="R222" s="67" t="s">
        <v>873</v>
      </c>
      <c r="S222" s="68">
        <f>1516.05</f>
        <v>1516.05</v>
      </c>
      <c r="T222" s="65">
        <f>1092130</f>
        <v>1092130</v>
      </c>
      <c r="U222" s="65" t="str">
        <f>"－"</f>
        <v>－</v>
      </c>
      <c r="V222" s="65">
        <f>1645574900</f>
        <v>1645574900</v>
      </c>
      <c r="W222" s="65" t="str">
        <f>"－"</f>
        <v>－</v>
      </c>
      <c r="X222" s="69">
        <f>20</f>
        <v>20</v>
      </c>
    </row>
    <row r="223" spans="1:24">
      <c r="A223" s="60" t="s">
        <v>934</v>
      </c>
      <c r="B223" s="60" t="s">
        <v>723</v>
      </c>
      <c r="C223" s="60" t="s">
        <v>724</v>
      </c>
      <c r="D223" s="60" t="s">
        <v>725</v>
      </c>
      <c r="E223" s="61" t="s">
        <v>46</v>
      </c>
      <c r="F223" s="62" t="s">
        <v>46</v>
      </c>
      <c r="G223" s="63" t="s">
        <v>46</v>
      </c>
      <c r="H223" s="64"/>
      <c r="I223" s="64" t="s">
        <v>47</v>
      </c>
      <c r="J223" s="65">
        <v>10</v>
      </c>
      <c r="K223" s="66">
        <f>1201</f>
        <v>1201</v>
      </c>
      <c r="L223" s="67" t="s">
        <v>853</v>
      </c>
      <c r="M223" s="66">
        <f>1226</f>
        <v>1226</v>
      </c>
      <c r="N223" s="67" t="s">
        <v>857</v>
      </c>
      <c r="O223" s="66">
        <f>1140</f>
        <v>1140</v>
      </c>
      <c r="P223" s="67" t="s">
        <v>132</v>
      </c>
      <c r="Q223" s="66">
        <f>1160</f>
        <v>1160</v>
      </c>
      <c r="R223" s="67" t="s">
        <v>873</v>
      </c>
      <c r="S223" s="68">
        <f>1180.2</f>
        <v>1180.2</v>
      </c>
      <c r="T223" s="65">
        <f>969100</f>
        <v>969100</v>
      </c>
      <c r="U223" s="65">
        <f>634540</f>
        <v>634540</v>
      </c>
      <c r="V223" s="65">
        <f>1137186943</f>
        <v>1137186943</v>
      </c>
      <c r="W223" s="65">
        <f>743050993</f>
        <v>743050993</v>
      </c>
      <c r="X223" s="69">
        <f>20</f>
        <v>20</v>
      </c>
    </row>
    <row r="224" spans="1:24">
      <c r="A224" s="60" t="s">
        <v>934</v>
      </c>
      <c r="B224" s="60" t="s">
        <v>726</v>
      </c>
      <c r="C224" s="60" t="s">
        <v>727</v>
      </c>
      <c r="D224" s="60" t="s">
        <v>728</v>
      </c>
      <c r="E224" s="61" t="s">
        <v>46</v>
      </c>
      <c r="F224" s="62" t="s">
        <v>46</v>
      </c>
      <c r="G224" s="63" t="s">
        <v>46</v>
      </c>
      <c r="H224" s="64"/>
      <c r="I224" s="64" t="s">
        <v>47</v>
      </c>
      <c r="J224" s="65">
        <v>10</v>
      </c>
      <c r="K224" s="66">
        <f>861</f>
        <v>861</v>
      </c>
      <c r="L224" s="67" t="s">
        <v>853</v>
      </c>
      <c r="M224" s="66">
        <f>917</f>
        <v>917</v>
      </c>
      <c r="N224" s="67" t="s">
        <v>49</v>
      </c>
      <c r="O224" s="66">
        <f>844</f>
        <v>844</v>
      </c>
      <c r="P224" s="67" t="s">
        <v>858</v>
      </c>
      <c r="Q224" s="66">
        <f>867</f>
        <v>867</v>
      </c>
      <c r="R224" s="67" t="s">
        <v>873</v>
      </c>
      <c r="S224" s="68">
        <f>878.85</f>
        <v>878.85</v>
      </c>
      <c r="T224" s="65">
        <f>16712470</f>
        <v>16712470</v>
      </c>
      <c r="U224" s="65">
        <f>99880</f>
        <v>99880</v>
      </c>
      <c r="V224" s="65">
        <f>14650416500</f>
        <v>14650416500</v>
      </c>
      <c r="W224" s="65">
        <f>88387990</f>
        <v>88387990</v>
      </c>
      <c r="X224" s="69">
        <f>20</f>
        <v>20</v>
      </c>
    </row>
    <row r="225" spans="1:24">
      <c r="A225" s="60" t="s">
        <v>934</v>
      </c>
      <c r="B225" s="60" t="s">
        <v>729</v>
      </c>
      <c r="C225" s="60" t="s">
        <v>730</v>
      </c>
      <c r="D225" s="60" t="s">
        <v>731</v>
      </c>
      <c r="E225" s="61" t="s">
        <v>46</v>
      </c>
      <c r="F225" s="62" t="s">
        <v>46</v>
      </c>
      <c r="G225" s="63" t="s">
        <v>46</v>
      </c>
      <c r="H225" s="64"/>
      <c r="I225" s="64" t="s">
        <v>47</v>
      </c>
      <c r="J225" s="65">
        <v>10</v>
      </c>
      <c r="K225" s="66">
        <f>1249</f>
        <v>1249</v>
      </c>
      <c r="L225" s="67" t="s">
        <v>853</v>
      </c>
      <c r="M225" s="66">
        <f>1261</f>
        <v>1261</v>
      </c>
      <c r="N225" s="67" t="s">
        <v>77</v>
      </c>
      <c r="O225" s="66">
        <f>1212</f>
        <v>1212</v>
      </c>
      <c r="P225" s="67" t="s">
        <v>132</v>
      </c>
      <c r="Q225" s="66">
        <f>1218</f>
        <v>1218</v>
      </c>
      <c r="R225" s="67" t="s">
        <v>873</v>
      </c>
      <c r="S225" s="68">
        <f>1238</f>
        <v>1238</v>
      </c>
      <c r="T225" s="65">
        <f>325200</f>
        <v>325200</v>
      </c>
      <c r="U225" s="65" t="str">
        <f>"－"</f>
        <v>－</v>
      </c>
      <c r="V225" s="65">
        <f>403229960</f>
        <v>403229960</v>
      </c>
      <c r="W225" s="65" t="str">
        <f>"－"</f>
        <v>－</v>
      </c>
      <c r="X225" s="69">
        <f>20</f>
        <v>20</v>
      </c>
    </row>
    <row r="226" spans="1:24">
      <c r="A226" s="60" t="s">
        <v>934</v>
      </c>
      <c r="B226" s="60" t="s">
        <v>732</v>
      </c>
      <c r="C226" s="60" t="s">
        <v>733</v>
      </c>
      <c r="D226" s="60" t="s">
        <v>734</v>
      </c>
      <c r="E226" s="61" t="s">
        <v>46</v>
      </c>
      <c r="F226" s="62" t="s">
        <v>46</v>
      </c>
      <c r="G226" s="63" t="s">
        <v>46</v>
      </c>
      <c r="H226" s="64"/>
      <c r="I226" s="64" t="s">
        <v>47</v>
      </c>
      <c r="J226" s="65">
        <v>1</v>
      </c>
      <c r="K226" s="66">
        <f>1138</f>
        <v>1138</v>
      </c>
      <c r="L226" s="67" t="s">
        <v>853</v>
      </c>
      <c r="M226" s="66">
        <f>1233</f>
        <v>1233</v>
      </c>
      <c r="N226" s="67" t="s">
        <v>49</v>
      </c>
      <c r="O226" s="66">
        <f>1137</f>
        <v>1137</v>
      </c>
      <c r="P226" s="67" t="s">
        <v>853</v>
      </c>
      <c r="Q226" s="66">
        <f>1182</f>
        <v>1182</v>
      </c>
      <c r="R226" s="67" t="s">
        <v>873</v>
      </c>
      <c r="S226" s="68">
        <f>1199.2</f>
        <v>1199.2</v>
      </c>
      <c r="T226" s="65">
        <f>56067</f>
        <v>56067</v>
      </c>
      <c r="U226" s="65" t="str">
        <f>"－"</f>
        <v>－</v>
      </c>
      <c r="V226" s="65">
        <f>67678581</f>
        <v>67678581</v>
      </c>
      <c r="W226" s="65" t="str">
        <f>"－"</f>
        <v>－</v>
      </c>
      <c r="X226" s="69">
        <f>20</f>
        <v>20</v>
      </c>
    </row>
    <row r="227" spans="1:24">
      <c r="A227" s="60" t="s">
        <v>934</v>
      </c>
      <c r="B227" s="60" t="s">
        <v>735</v>
      </c>
      <c r="C227" s="60" t="s">
        <v>736</v>
      </c>
      <c r="D227" s="60" t="s">
        <v>737</v>
      </c>
      <c r="E227" s="61" t="s">
        <v>46</v>
      </c>
      <c r="F227" s="62" t="s">
        <v>46</v>
      </c>
      <c r="G227" s="63" t="s">
        <v>46</v>
      </c>
      <c r="H227" s="64"/>
      <c r="I227" s="64" t="s">
        <v>47</v>
      </c>
      <c r="J227" s="65">
        <v>10</v>
      </c>
      <c r="K227" s="66">
        <f>1065</f>
        <v>1065</v>
      </c>
      <c r="L227" s="67" t="s">
        <v>853</v>
      </c>
      <c r="M227" s="66">
        <f>1085</f>
        <v>1085</v>
      </c>
      <c r="N227" s="67" t="s">
        <v>77</v>
      </c>
      <c r="O227" s="66">
        <f>1029</f>
        <v>1029</v>
      </c>
      <c r="P227" s="67" t="s">
        <v>132</v>
      </c>
      <c r="Q227" s="66">
        <f>1040</f>
        <v>1040</v>
      </c>
      <c r="R227" s="67" t="s">
        <v>873</v>
      </c>
      <c r="S227" s="68">
        <f>1049.05</f>
        <v>1049.05</v>
      </c>
      <c r="T227" s="65">
        <f>237110</f>
        <v>237110</v>
      </c>
      <c r="U227" s="65">
        <f>169720</f>
        <v>169720</v>
      </c>
      <c r="V227" s="65">
        <f>248368714</f>
        <v>248368714</v>
      </c>
      <c r="W227" s="65">
        <f>177396034</f>
        <v>177396034</v>
      </c>
      <c r="X227" s="69">
        <f>20</f>
        <v>20</v>
      </c>
    </row>
    <row r="228" spans="1:24">
      <c r="A228" s="60" t="s">
        <v>934</v>
      </c>
      <c r="B228" s="60" t="s">
        <v>738</v>
      </c>
      <c r="C228" s="60" t="s">
        <v>739</v>
      </c>
      <c r="D228" s="60" t="s">
        <v>740</v>
      </c>
      <c r="E228" s="61" t="s">
        <v>46</v>
      </c>
      <c r="F228" s="62" t="s">
        <v>46</v>
      </c>
      <c r="G228" s="63" t="s">
        <v>46</v>
      </c>
      <c r="H228" s="64"/>
      <c r="I228" s="64" t="s">
        <v>47</v>
      </c>
      <c r="J228" s="65">
        <v>10</v>
      </c>
      <c r="K228" s="66">
        <f>1205</f>
        <v>1205</v>
      </c>
      <c r="L228" s="67" t="s">
        <v>853</v>
      </c>
      <c r="M228" s="66">
        <f>1261</f>
        <v>1261</v>
      </c>
      <c r="N228" s="67" t="s">
        <v>853</v>
      </c>
      <c r="O228" s="66">
        <f>1166</f>
        <v>1166</v>
      </c>
      <c r="P228" s="67" t="s">
        <v>268</v>
      </c>
      <c r="Q228" s="66">
        <f>1204</f>
        <v>1204</v>
      </c>
      <c r="R228" s="67" t="s">
        <v>873</v>
      </c>
      <c r="S228" s="68">
        <f>1225.05</f>
        <v>1225.05</v>
      </c>
      <c r="T228" s="65">
        <f>157650</f>
        <v>157650</v>
      </c>
      <c r="U228" s="65">
        <f>85440</f>
        <v>85440</v>
      </c>
      <c r="V228" s="65">
        <f>191976136</f>
        <v>191976136</v>
      </c>
      <c r="W228" s="65">
        <f>104236466</f>
        <v>104236466</v>
      </c>
      <c r="X228" s="69">
        <f>20</f>
        <v>20</v>
      </c>
    </row>
    <row r="229" spans="1:24">
      <c r="A229" s="60" t="s">
        <v>934</v>
      </c>
      <c r="B229" s="60" t="s">
        <v>741</v>
      </c>
      <c r="C229" s="60" t="s">
        <v>742</v>
      </c>
      <c r="D229" s="60" t="s">
        <v>743</v>
      </c>
      <c r="E229" s="61" t="s">
        <v>46</v>
      </c>
      <c r="F229" s="62" t="s">
        <v>46</v>
      </c>
      <c r="G229" s="63" t="s">
        <v>46</v>
      </c>
      <c r="H229" s="64"/>
      <c r="I229" s="64" t="s">
        <v>47</v>
      </c>
      <c r="J229" s="65">
        <v>10</v>
      </c>
      <c r="K229" s="66">
        <f>1583</f>
        <v>1583</v>
      </c>
      <c r="L229" s="67" t="s">
        <v>853</v>
      </c>
      <c r="M229" s="66">
        <f>1589</f>
        <v>1589</v>
      </c>
      <c r="N229" s="67" t="s">
        <v>858</v>
      </c>
      <c r="O229" s="66">
        <f>1514</f>
        <v>1514</v>
      </c>
      <c r="P229" s="67" t="s">
        <v>132</v>
      </c>
      <c r="Q229" s="66">
        <f>1531</f>
        <v>1531</v>
      </c>
      <c r="R229" s="67" t="s">
        <v>873</v>
      </c>
      <c r="S229" s="68">
        <f>1561.95</f>
        <v>1561.95</v>
      </c>
      <c r="T229" s="65">
        <f>10886020</f>
        <v>10886020</v>
      </c>
      <c r="U229" s="65">
        <f>3037860</f>
        <v>3037860</v>
      </c>
      <c r="V229" s="65">
        <f>16932453408</f>
        <v>16932453408</v>
      </c>
      <c r="W229" s="65">
        <f>4753710718</f>
        <v>4753710718</v>
      </c>
      <c r="X229" s="69">
        <f>20</f>
        <v>20</v>
      </c>
    </row>
    <row r="230" spans="1:24">
      <c r="A230" s="60" t="s">
        <v>934</v>
      </c>
      <c r="B230" s="60" t="s">
        <v>744</v>
      </c>
      <c r="C230" s="60" t="s">
        <v>745</v>
      </c>
      <c r="D230" s="60" t="s">
        <v>746</v>
      </c>
      <c r="E230" s="61" t="s">
        <v>46</v>
      </c>
      <c r="F230" s="62" t="s">
        <v>46</v>
      </c>
      <c r="G230" s="63" t="s">
        <v>46</v>
      </c>
      <c r="H230" s="64"/>
      <c r="I230" s="64" t="s">
        <v>47</v>
      </c>
      <c r="J230" s="65">
        <v>1</v>
      </c>
      <c r="K230" s="66">
        <f>4025</f>
        <v>4025</v>
      </c>
      <c r="L230" s="67" t="s">
        <v>853</v>
      </c>
      <c r="M230" s="66">
        <f>4170</f>
        <v>4170</v>
      </c>
      <c r="N230" s="67" t="s">
        <v>172</v>
      </c>
      <c r="O230" s="66">
        <f>3910</f>
        <v>3910</v>
      </c>
      <c r="P230" s="67" t="s">
        <v>873</v>
      </c>
      <c r="Q230" s="66">
        <f>3950</f>
        <v>3950</v>
      </c>
      <c r="R230" s="67" t="s">
        <v>873</v>
      </c>
      <c r="S230" s="68">
        <f>4075.5</f>
        <v>4075.5</v>
      </c>
      <c r="T230" s="65">
        <f>87580</f>
        <v>87580</v>
      </c>
      <c r="U230" s="65" t="str">
        <f>"－"</f>
        <v>－</v>
      </c>
      <c r="V230" s="65">
        <f>353558385</f>
        <v>353558385</v>
      </c>
      <c r="W230" s="65" t="str">
        <f>"－"</f>
        <v>－</v>
      </c>
      <c r="X230" s="69">
        <f>20</f>
        <v>20</v>
      </c>
    </row>
    <row r="231" spans="1:24">
      <c r="A231" s="60" t="s">
        <v>934</v>
      </c>
      <c r="B231" s="60" t="s">
        <v>747</v>
      </c>
      <c r="C231" s="60" t="s">
        <v>748</v>
      </c>
      <c r="D231" s="60" t="s">
        <v>749</v>
      </c>
      <c r="E231" s="61" t="s">
        <v>46</v>
      </c>
      <c r="F231" s="62" t="s">
        <v>46</v>
      </c>
      <c r="G231" s="63" t="s">
        <v>46</v>
      </c>
      <c r="H231" s="64"/>
      <c r="I231" s="64" t="s">
        <v>47</v>
      </c>
      <c r="J231" s="65">
        <v>10</v>
      </c>
      <c r="K231" s="66">
        <f>1629</f>
        <v>1629</v>
      </c>
      <c r="L231" s="67" t="s">
        <v>853</v>
      </c>
      <c r="M231" s="66">
        <f>1758</f>
        <v>1758</v>
      </c>
      <c r="N231" s="67" t="s">
        <v>77</v>
      </c>
      <c r="O231" s="66">
        <f>1629</f>
        <v>1629</v>
      </c>
      <c r="P231" s="67" t="s">
        <v>853</v>
      </c>
      <c r="Q231" s="66">
        <f>1709</f>
        <v>1709</v>
      </c>
      <c r="R231" s="67" t="s">
        <v>873</v>
      </c>
      <c r="S231" s="68">
        <f>1709.35</f>
        <v>1709.35</v>
      </c>
      <c r="T231" s="65">
        <f>13610</f>
        <v>13610</v>
      </c>
      <c r="U231" s="65">
        <f>20</f>
        <v>20</v>
      </c>
      <c r="V231" s="65">
        <f>23210070</f>
        <v>23210070</v>
      </c>
      <c r="W231" s="65">
        <f>32180</f>
        <v>32180</v>
      </c>
      <c r="X231" s="69">
        <f>20</f>
        <v>20</v>
      </c>
    </row>
    <row r="232" spans="1:24">
      <c r="A232" s="60" t="s">
        <v>934</v>
      </c>
      <c r="B232" s="60" t="s">
        <v>750</v>
      </c>
      <c r="C232" s="60" t="s">
        <v>751</v>
      </c>
      <c r="D232" s="60" t="s">
        <v>752</v>
      </c>
      <c r="E232" s="61" t="s">
        <v>46</v>
      </c>
      <c r="F232" s="62" t="s">
        <v>46</v>
      </c>
      <c r="G232" s="63" t="s">
        <v>46</v>
      </c>
      <c r="H232" s="64"/>
      <c r="I232" s="64" t="s">
        <v>47</v>
      </c>
      <c r="J232" s="65">
        <v>10</v>
      </c>
      <c r="K232" s="66">
        <f>1997</f>
        <v>1997</v>
      </c>
      <c r="L232" s="67" t="s">
        <v>853</v>
      </c>
      <c r="M232" s="66">
        <f>2134</f>
        <v>2134</v>
      </c>
      <c r="N232" s="67" t="s">
        <v>49</v>
      </c>
      <c r="O232" s="66">
        <f>1997</f>
        <v>1997</v>
      </c>
      <c r="P232" s="67" t="s">
        <v>853</v>
      </c>
      <c r="Q232" s="66">
        <f>2082</f>
        <v>2082</v>
      </c>
      <c r="R232" s="67" t="s">
        <v>873</v>
      </c>
      <c r="S232" s="68">
        <f>2080.43</f>
        <v>2080.4299999999998</v>
      </c>
      <c r="T232" s="65">
        <f>32310</f>
        <v>32310</v>
      </c>
      <c r="U232" s="65" t="str">
        <f>"－"</f>
        <v>－</v>
      </c>
      <c r="V232" s="65">
        <f>67187320</f>
        <v>67187320</v>
      </c>
      <c r="W232" s="65" t="str">
        <f>"－"</f>
        <v>－</v>
      </c>
      <c r="X232" s="69">
        <f>14</f>
        <v>14</v>
      </c>
    </row>
    <row r="233" spans="1:24">
      <c r="A233" s="60" t="s">
        <v>934</v>
      </c>
      <c r="B233" s="60" t="s">
        <v>753</v>
      </c>
      <c r="C233" s="60" t="s">
        <v>754</v>
      </c>
      <c r="D233" s="60" t="s">
        <v>755</v>
      </c>
      <c r="E233" s="61" t="s">
        <v>46</v>
      </c>
      <c r="F233" s="62" t="s">
        <v>46</v>
      </c>
      <c r="G233" s="63" t="s">
        <v>46</v>
      </c>
      <c r="H233" s="64"/>
      <c r="I233" s="64" t="s">
        <v>47</v>
      </c>
      <c r="J233" s="65">
        <v>1</v>
      </c>
      <c r="K233" s="66">
        <f>28610</f>
        <v>28610</v>
      </c>
      <c r="L233" s="67" t="s">
        <v>853</v>
      </c>
      <c r="M233" s="66">
        <f>30850</f>
        <v>30850</v>
      </c>
      <c r="N233" s="67" t="s">
        <v>49</v>
      </c>
      <c r="O233" s="66">
        <f>28510</f>
        <v>28510</v>
      </c>
      <c r="P233" s="67" t="s">
        <v>853</v>
      </c>
      <c r="Q233" s="66">
        <f>29880</f>
        <v>29880</v>
      </c>
      <c r="R233" s="67" t="s">
        <v>50</v>
      </c>
      <c r="S233" s="68">
        <f>30077.78</f>
        <v>30077.78</v>
      </c>
      <c r="T233" s="65">
        <f>164209</f>
        <v>164209</v>
      </c>
      <c r="U233" s="65">
        <f>150000</f>
        <v>150000</v>
      </c>
      <c r="V233" s="65">
        <f>5007099515</f>
        <v>5007099515</v>
      </c>
      <c r="W233" s="65">
        <f>4578021495</f>
        <v>4578021495</v>
      </c>
      <c r="X233" s="69">
        <f>18</f>
        <v>18</v>
      </c>
    </row>
    <row r="234" spans="1:24">
      <c r="A234" s="60" t="s">
        <v>934</v>
      </c>
      <c r="B234" s="60" t="s">
        <v>756</v>
      </c>
      <c r="C234" s="60" t="s">
        <v>757</v>
      </c>
      <c r="D234" s="60" t="s">
        <v>758</v>
      </c>
      <c r="E234" s="61" t="s">
        <v>46</v>
      </c>
      <c r="F234" s="62" t="s">
        <v>46</v>
      </c>
      <c r="G234" s="63" t="s">
        <v>46</v>
      </c>
      <c r="H234" s="64"/>
      <c r="I234" s="64" t="s">
        <v>47</v>
      </c>
      <c r="J234" s="65">
        <v>1</v>
      </c>
      <c r="K234" s="66">
        <f>17990</f>
        <v>17990</v>
      </c>
      <c r="L234" s="67" t="s">
        <v>853</v>
      </c>
      <c r="M234" s="66">
        <f>19170</f>
        <v>19170</v>
      </c>
      <c r="N234" s="67" t="s">
        <v>73</v>
      </c>
      <c r="O234" s="66">
        <f>17930</f>
        <v>17930</v>
      </c>
      <c r="P234" s="67" t="s">
        <v>853</v>
      </c>
      <c r="Q234" s="66">
        <f>18600</f>
        <v>18600</v>
      </c>
      <c r="R234" s="67" t="s">
        <v>873</v>
      </c>
      <c r="S234" s="68">
        <f>18788.33</f>
        <v>18788.330000000002</v>
      </c>
      <c r="T234" s="65">
        <f>38336</f>
        <v>38336</v>
      </c>
      <c r="U234" s="65" t="str">
        <f>"－"</f>
        <v>－</v>
      </c>
      <c r="V234" s="65">
        <f>716582020</f>
        <v>716582020</v>
      </c>
      <c r="W234" s="65" t="str">
        <f>"－"</f>
        <v>－</v>
      </c>
      <c r="X234" s="69">
        <f>18</f>
        <v>18</v>
      </c>
    </row>
    <row r="235" spans="1:24">
      <c r="A235" s="60" t="s">
        <v>934</v>
      </c>
      <c r="B235" s="60" t="s">
        <v>759</v>
      </c>
      <c r="C235" s="60" t="s">
        <v>760</v>
      </c>
      <c r="D235" s="60" t="s">
        <v>761</v>
      </c>
      <c r="E235" s="61" t="s">
        <v>46</v>
      </c>
      <c r="F235" s="62" t="s">
        <v>46</v>
      </c>
      <c r="G235" s="63" t="s">
        <v>46</v>
      </c>
      <c r="H235" s="64"/>
      <c r="I235" s="64" t="s">
        <v>47</v>
      </c>
      <c r="J235" s="65">
        <v>10</v>
      </c>
      <c r="K235" s="66">
        <f>1261</f>
        <v>1261</v>
      </c>
      <c r="L235" s="67" t="s">
        <v>858</v>
      </c>
      <c r="M235" s="66">
        <f>1263</f>
        <v>1263</v>
      </c>
      <c r="N235" s="67" t="s">
        <v>858</v>
      </c>
      <c r="O235" s="66">
        <f>1226</f>
        <v>1226</v>
      </c>
      <c r="P235" s="67" t="s">
        <v>856</v>
      </c>
      <c r="Q235" s="66">
        <f>1232</f>
        <v>1232</v>
      </c>
      <c r="R235" s="67" t="s">
        <v>873</v>
      </c>
      <c r="S235" s="68">
        <f>1245.86</f>
        <v>1245.8599999999999</v>
      </c>
      <c r="T235" s="65">
        <f>88240</f>
        <v>88240</v>
      </c>
      <c r="U235" s="65">
        <f>80000</f>
        <v>80000</v>
      </c>
      <c r="V235" s="65">
        <f>109001690</f>
        <v>109001690</v>
      </c>
      <c r="W235" s="65">
        <f>98896000</f>
        <v>98896000</v>
      </c>
      <c r="X235" s="69">
        <f>7</f>
        <v>7</v>
      </c>
    </row>
    <row r="236" spans="1:24">
      <c r="A236" s="60" t="s">
        <v>934</v>
      </c>
      <c r="B236" s="60" t="s">
        <v>762</v>
      </c>
      <c r="C236" s="60" t="s">
        <v>763</v>
      </c>
      <c r="D236" s="60" t="s">
        <v>764</v>
      </c>
      <c r="E236" s="61" t="s">
        <v>46</v>
      </c>
      <c r="F236" s="62" t="s">
        <v>46</v>
      </c>
      <c r="G236" s="63" t="s">
        <v>46</v>
      </c>
      <c r="H236" s="64"/>
      <c r="I236" s="64" t="s">
        <v>47</v>
      </c>
      <c r="J236" s="65">
        <v>10</v>
      </c>
      <c r="K236" s="66">
        <f>1257</f>
        <v>1257</v>
      </c>
      <c r="L236" s="67" t="s">
        <v>853</v>
      </c>
      <c r="M236" s="66">
        <f>1283</f>
        <v>1283</v>
      </c>
      <c r="N236" s="67" t="s">
        <v>859</v>
      </c>
      <c r="O236" s="66">
        <f>1207</f>
        <v>1207</v>
      </c>
      <c r="P236" s="67" t="s">
        <v>873</v>
      </c>
      <c r="Q236" s="66">
        <f>1207</f>
        <v>1207</v>
      </c>
      <c r="R236" s="67" t="s">
        <v>873</v>
      </c>
      <c r="S236" s="68">
        <f>1240.4</f>
        <v>1240.4000000000001</v>
      </c>
      <c r="T236" s="65">
        <f>17140</f>
        <v>17140</v>
      </c>
      <c r="U236" s="65" t="str">
        <f>"－"</f>
        <v>－</v>
      </c>
      <c r="V236" s="65">
        <f>21237060</f>
        <v>21237060</v>
      </c>
      <c r="W236" s="65" t="str">
        <f>"－"</f>
        <v>－</v>
      </c>
      <c r="X236" s="69">
        <f>20</f>
        <v>20</v>
      </c>
    </row>
    <row r="237" spans="1:24">
      <c r="A237" s="60" t="s">
        <v>934</v>
      </c>
      <c r="B237" s="60" t="s">
        <v>765</v>
      </c>
      <c r="C237" s="60" t="s">
        <v>766</v>
      </c>
      <c r="D237" s="60" t="s">
        <v>767</v>
      </c>
      <c r="E237" s="61" t="s">
        <v>46</v>
      </c>
      <c r="F237" s="62" t="s">
        <v>46</v>
      </c>
      <c r="G237" s="63" t="s">
        <v>46</v>
      </c>
      <c r="H237" s="64"/>
      <c r="I237" s="64" t="s">
        <v>47</v>
      </c>
      <c r="J237" s="65">
        <v>1</v>
      </c>
      <c r="K237" s="66">
        <f>1108</f>
        <v>1108</v>
      </c>
      <c r="L237" s="67" t="s">
        <v>853</v>
      </c>
      <c r="M237" s="66">
        <f>1181</f>
        <v>1181</v>
      </c>
      <c r="N237" s="67" t="s">
        <v>49</v>
      </c>
      <c r="O237" s="66">
        <f>1108</f>
        <v>1108</v>
      </c>
      <c r="P237" s="67" t="s">
        <v>853</v>
      </c>
      <c r="Q237" s="66">
        <f>1155</f>
        <v>1155</v>
      </c>
      <c r="R237" s="67" t="s">
        <v>873</v>
      </c>
      <c r="S237" s="68">
        <f>1153.2</f>
        <v>1153.2</v>
      </c>
      <c r="T237" s="65">
        <f>73509</f>
        <v>73509</v>
      </c>
      <c r="U237" s="65">
        <f>11</f>
        <v>11</v>
      </c>
      <c r="V237" s="65">
        <f>84586986</f>
        <v>84586986</v>
      </c>
      <c r="W237" s="65">
        <f>11660</f>
        <v>11660</v>
      </c>
      <c r="X237" s="69">
        <f>20</f>
        <v>20</v>
      </c>
    </row>
    <row r="238" spans="1:24">
      <c r="A238" s="60" t="s">
        <v>934</v>
      </c>
      <c r="B238" s="60" t="s">
        <v>768</v>
      </c>
      <c r="C238" s="60" t="s">
        <v>769</v>
      </c>
      <c r="D238" s="60" t="s">
        <v>770</v>
      </c>
      <c r="E238" s="61" t="s">
        <v>46</v>
      </c>
      <c r="F238" s="62" t="s">
        <v>46</v>
      </c>
      <c r="G238" s="63" t="s">
        <v>46</v>
      </c>
      <c r="H238" s="64"/>
      <c r="I238" s="64" t="s">
        <v>47</v>
      </c>
      <c r="J238" s="65">
        <v>1</v>
      </c>
      <c r="K238" s="66">
        <f>13160</f>
        <v>13160</v>
      </c>
      <c r="L238" s="67" t="s">
        <v>853</v>
      </c>
      <c r="M238" s="66">
        <f>13650</f>
        <v>13650</v>
      </c>
      <c r="N238" s="67" t="s">
        <v>49</v>
      </c>
      <c r="O238" s="66">
        <f>12300</f>
        <v>12300</v>
      </c>
      <c r="P238" s="67" t="s">
        <v>268</v>
      </c>
      <c r="Q238" s="66">
        <f>13320</f>
        <v>13320</v>
      </c>
      <c r="R238" s="67" t="s">
        <v>873</v>
      </c>
      <c r="S238" s="68">
        <f>13176</f>
        <v>13176</v>
      </c>
      <c r="T238" s="65">
        <f>4346</f>
        <v>4346</v>
      </c>
      <c r="U238" s="65" t="str">
        <f>"－"</f>
        <v>－</v>
      </c>
      <c r="V238" s="65">
        <f>56621900</f>
        <v>56621900</v>
      </c>
      <c r="W238" s="65" t="str">
        <f>"－"</f>
        <v>－</v>
      </c>
      <c r="X238" s="69">
        <f>20</f>
        <v>20</v>
      </c>
    </row>
    <row r="239" spans="1:24">
      <c r="A239" s="60" t="s">
        <v>934</v>
      </c>
      <c r="B239" s="60" t="s">
        <v>771</v>
      </c>
      <c r="C239" s="60" t="s">
        <v>772</v>
      </c>
      <c r="D239" s="60" t="s">
        <v>773</v>
      </c>
      <c r="E239" s="61" t="s">
        <v>46</v>
      </c>
      <c r="F239" s="62" t="s">
        <v>46</v>
      </c>
      <c r="G239" s="63" t="s">
        <v>46</v>
      </c>
      <c r="H239" s="64"/>
      <c r="I239" s="64" t="s">
        <v>47</v>
      </c>
      <c r="J239" s="65">
        <v>1</v>
      </c>
      <c r="K239" s="66">
        <f>2289</f>
        <v>2289</v>
      </c>
      <c r="L239" s="67" t="s">
        <v>853</v>
      </c>
      <c r="M239" s="66">
        <f>2314</f>
        <v>2314</v>
      </c>
      <c r="N239" s="67" t="s">
        <v>172</v>
      </c>
      <c r="O239" s="66">
        <f>2222</f>
        <v>2222</v>
      </c>
      <c r="P239" s="67" t="s">
        <v>132</v>
      </c>
      <c r="Q239" s="66">
        <f>2226</f>
        <v>2226</v>
      </c>
      <c r="R239" s="67" t="s">
        <v>873</v>
      </c>
      <c r="S239" s="68">
        <f>2271.65</f>
        <v>2271.65</v>
      </c>
      <c r="T239" s="65">
        <f>13541</f>
        <v>13541</v>
      </c>
      <c r="U239" s="65" t="str">
        <f>"－"</f>
        <v>－</v>
      </c>
      <c r="V239" s="65">
        <f>30829670</f>
        <v>30829670</v>
      </c>
      <c r="W239" s="65" t="str">
        <f>"－"</f>
        <v>－</v>
      </c>
      <c r="X239" s="69">
        <f>20</f>
        <v>20</v>
      </c>
    </row>
    <row r="240" spans="1:24">
      <c r="A240" s="60" t="s">
        <v>934</v>
      </c>
      <c r="B240" s="60" t="s">
        <v>774</v>
      </c>
      <c r="C240" s="60" t="s">
        <v>775</v>
      </c>
      <c r="D240" s="60" t="s">
        <v>776</v>
      </c>
      <c r="E240" s="61" t="s">
        <v>46</v>
      </c>
      <c r="F240" s="62" t="s">
        <v>46</v>
      </c>
      <c r="G240" s="63" t="s">
        <v>46</v>
      </c>
      <c r="H240" s="64"/>
      <c r="I240" s="64" t="s">
        <v>47</v>
      </c>
      <c r="J240" s="65">
        <v>10</v>
      </c>
      <c r="K240" s="66">
        <f>1658</f>
        <v>1658</v>
      </c>
      <c r="L240" s="67" t="s">
        <v>857</v>
      </c>
      <c r="M240" s="66">
        <f>1779</f>
        <v>1779</v>
      </c>
      <c r="N240" s="67" t="s">
        <v>69</v>
      </c>
      <c r="O240" s="66">
        <f>1529</f>
        <v>1529</v>
      </c>
      <c r="P240" s="67" t="s">
        <v>268</v>
      </c>
      <c r="Q240" s="66">
        <f>1616</f>
        <v>1616</v>
      </c>
      <c r="R240" s="67" t="s">
        <v>873</v>
      </c>
      <c r="S240" s="68">
        <f>1670.95</f>
        <v>1670.95</v>
      </c>
      <c r="T240" s="65">
        <f>6890</f>
        <v>6890</v>
      </c>
      <c r="U240" s="65" t="str">
        <f>"－"</f>
        <v>－</v>
      </c>
      <c r="V240" s="65">
        <f>11488610</f>
        <v>11488610</v>
      </c>
      <c r="W240" s="65" t="str">
        <f>"－"</f>
        <v>－</v>
      </c>
      <c r="X240" s="69">
        <f>19</f>
        <v>19</v>
      </c>
    </row>
    <row r="241" spans="1:24">
      <c r="A241" s="60" t="s">
        <v>934</v>
      </c>
      <c r="B241" s="60" t="s">
        <v>777</v>
      </c>
      <c r="C241" s="60" t="s">
        <v>932</v>
      </c>
      <c r="D241" s="60" t="s">
        <v>933</v>
      </c>
      <c r="E241" s="61" t="s">
        <v>46</v>
      </c>
      <c r="F241" s="62" t="s">
        <v>46</v>
      </c>
      <c r="G241" s="63" t="s">
        <v>46</v>
      </c>
      <c r="H241" s="64"/>
      <c r="I241" s="64" t="s">
        <v>47</v>
      </c>
      <c r="J241" s="65">
        <v>10</v>
      </c>
      <c r="K241" s="66">
        <f>1018</f>
        <v>1018</v>
      </c>
      <c r="L241" s="67" t="s">
        <v>853</v>
      </c>
      <c r="M241" s="66">
        <f>1019</f>
        <v>1019</v>
      </c>
      <c r="N241" s="67" t="s">
        <v>857</v>
      </c>
      <c r="O241" s="66">
        <f>1003</f>
        <v>1003</v>
      </c>
      <c r="P241" s="67" t="s">
        <v>50</v>
      </c>
      <c r="Q241" s="66">
        <f>1007</f>
        <v>1007</v>
      </c>
      <c r="R241" s="67" t="s">
        <v>873</v>
      </c>
      <c r="S241" s="68">
        <f>1011.05</f>
        <v>1011.05</v>
      </c>
      <c r="T241" s="65">
        <f>1204070</f>
        <v>1204070</v>
      </c>
      <c r="U241" s="65">
        <f>1130720</f>
        <v>1130720</v>
      </c>
      <c r="V241" s="65">
        <f>1217660218</f>
        <v>1217660218</v>
      </c>
      <c r="W241" s="65">
        <f>1143515738</f>
        <v>1143515738</v>
      </c>
      <c r="X241" s="69">
        <f>20</f>
        <v>20</v>
      </c>
    </row>
    <row r="242" spans="1:24">
      <c r="A242" s="60" t="s">
        <v>934</v>
      </c>
      <c r="B242" s="60" t="s">
        <v>780</v>
      </c>
      <c r="C242" s="60" t="s">
        <v>781</v>
      </c>
      <c r="D242" s="60" t="s">
        <v>782</v>
      </c>
      <c r="E242" s="61" t="s">
        <v>46</v>
      </c>
      <c r="F242" s="62" t="s">
        <v>46</v>
      </c>
      <c r="G242" s="63" t="s">
        <v>46</v>
      </c>
      <c r="H242" s="64"/>
      <c r="I242" s="64" t="s">
        <v>47</v>
      </c>
      <c r="J242" s="65">
        <v>10</v>
      </c>
      <c r="K242" s="66">
        <f>2187</f>
        <v>2187</v>
      </c>
      <c r="L242" s="67" t="s">
        <v>853</v>
      </c>
      <c r="M242" s="66">
        <f>2216</f>
        <v>2216</v>
      </c>
      <c r="N242" s="67" t="s">
        <v>77</v>
      </c>
      <c r="O242" s="66">
        <f>2128</f>
        <v>2128</v>
      </c>
      <c r="P242" s="67" t="s">
        <v>50</v>
      </c>
      <c r="Q242" s="66">
        <f>2130</f>
        <v>2130</v>
      </c>
      <c r="R242" s="67" t="s">
        <v>873</v>
      </c>
      <c r="S242" s="68">
        <f>2171.4</f>
        <v>2171.4</v>
      </c>
      <c r="T242" s="65">
        <f>27190</f>
        <v>27190</v>
      </c>
      <c r="U242" s="65" t="str">
        <f>"－"</f>
        <v>－</v>
      </c>
      <c r="V242" s="65">
        <f>58822740</f>
        <v>58822740</v>
      </c>
      <c r="W242" s="65" t="str">
        <f>"－"</f>
        <v>－</v>
      </c>
      <c r="X242" s="69">
        <f>20</f>
        <v>20</v>
      </c>
    </row>
    <row r="243" spans="1:24">
      <c r="A243" s="60" t="s">
        <v>934</v>
      </c>
      <c r="B243" s="60" t="s">
        <v>783</v>
      </c>
      <c r="C243" s="60" t="s">
        <v>784</v>
      </c>
      <c r="D243" s="60" t="s">
        <v>785</v>
      </c>
      <c r="E243" s="61" t="s">
        <v>46</v>
      </c>
      <c r="F243" s="62" t="s">
        <v>46</v>
      </c>
      <c r="G243" s="63" t="s">
        <v>46</v>
      </c>
      <c r="H243" s="64"/>
      <c r="I243" s="64" t="s">
        <v>47</v>
      </c>
      <c r="J243" s="65">
        <v>10</v>
      </c>
      <c r="K243" s="66">
        <f>2185</f>
        <v>2185</v>
      </c>
      <c r="L243" s="67" t="s">
        <v>853</v>
      </c>
      <c r="M243" s="66">
        <f>2212</f>
        <v>2212</v>
      </c>
      <c r="N243" s="67" t="s">
        <v>77</v>
      </c>
      <c r="O243" s="66">
        <f>2124</f>
        <v>2124</v>
      </c>
      <c r="P243" s="67" t="s">
        <v>132</v>
      </c>
      <c r="Q243" s="66">
        <f>2124</f>
        <v>2124</v>
      </c>
      <c r="R243" s="67" t="s">
        <v>873</v>
      </c>
      <c r="S243" s="68">
        <f>2170.45</f>
        <v>2170.4499999999998</v>
      </c>
      <c r="T243" s="65">
        <f>167370</f>
        <v>167370</v>
      </c>
      <c r="U243" s="65" t="str">
        <f>"－"</f>
        <v>－</v>
      </c>
      <c r="V243" s="65">
        <f>361511930</f>
        <v>361511930</v>
      </c>
      <c r="W243" s="65" t="str">
        <f>"－"</f>
        <v>－</v>
      </c>
      <c r="X243" s="69">
        <f>20</f>
        <v>20</v>
      </c>
    </row>
    <row r="244" spans="1:24">
      <c r="A244" s="60" t="s">
        <v>934</v>
      </c>
      <c r="B244" s="60" t="s">
        <v>786</v>
      </c>
      <c r="C244" s="60" t="s">
        <v>787</v>
      </c>
      <c r="D244" s="60" t="s">
        <v>788</v>
      </c>
      <c r="E244" s="61" t="s">
        <v>46</v>
      </c>
      <c r="F244" s="62" t="s">
        <v>46</v>
      </c>
      <c r="G244" s="63" t="s">
        <v>46</v>
      </c>
      <c r="H244" s="64"/>
      <c r="I244" s="64" t="s">
        <v>47</v>
      </c>
      <c r="J244" s="65">
        <v>10</v>
      </c>
      <c r="K244" s="66">
        <f>1988</f>
        <v>1988</v>
      </c>
      <c r="L244" s="67" t="s">
        <v>853</v>
      </c>
      <c r="M244" s="66">
        <f>2127</f>
        <v>2127</v>
      </c>
      <c r="N244" s="67" t="s">
        <v>49</v>
      </c>
      <c r="O244" s="66">
        <f>1988</f>
        <v>1988</v>
      </c>
      <c r="P244" s="67" t="s">
        <v>853</v>
      </c>
      <c r="Q244" s="66">
        <f>2064</f>
        <v>2064</v>
      </c>
      <c r="R244" s="67" t="s">
        <v>873</v>
      </c>
      <c r="S244" s="68">
        <f>2070.33</f>
        <v>2070.33</v>
      </c>
      <c r="T244" s="65">
        <f>67310</f>
        <v>67310</v>
      </c>
      <c r="U244" s="65" t="str">
        <f>"－"</f>
        <v>－</v>
      </c>
      <c r="V244" s="65">
        <f>135762250</f>
        <v>135762250</v>
      </c>
      <c r="W244" s="65" t="str">
        <f>"－"</f>
        <v>－</v>
      </c>
      <c r="X244" s="69">
        <f>15</f>
        <v>15</v>
      </c>
    </row>
    <row r="245" spans="1:24">
      <c r="A245" s="60" t="s">
        <v>934</v>
      </c>
      <c r="B245" s="60" t="s">
        <v>789</v>
      </c>
      <c r="C245" s="60" t="s">
        <v>790</v>
      </c>
      <c r="D245" s="60" t="s">
        <v>791</v>
      </c>
      <c r="E245" s="61" t="s">
        <v>46</v>
      </c>
      <c r="F245" s="62" t="s">
        <v>46</v>
      </c>
      <c r="G245" s="63" t="s">
        <v>46</v>
      </c>
      <c r="H245" s="64"/>
      <c r="I245" s="64" t="s">
        <v>47</v>
      </c>
      <c r="J245" s="65">
        <v>1</v>
      </c>
      <c r="K245" s="66">
        <f>14300</f>
        <v>14300</v>
      </c>
      <c r="L245" s="67" t="s">
        <v>853</v>
      </c>
      <c r="M245" s="66">
        <f>14350</f>
        <v>14350</v>
      </c>
      <c r="N245" s="67" t="s">
        <v>853</v>
      </c>
      <c r="O245" s="66">
        <f>13560</f>
        <v>13560</v>
      </c>
      <c r="P245" s="67" t="s">
        <v>132</v>
      </c>
      <c r="Q245" s="66">
        <f>14090</f>
        <v>14090</v>
      </c>
      <c r="R245" s="67" t="s">
        <v>873</v>
      </c>
      <c r="S245" s="68">
        <f>14141.5</f>
        <v>14141.5</v>
      </c>
      <c r="T245" s="65">
        <f>620478</f>
        <v>620478</v>
      </c>
      <c r="U245" s="65">
        <f>96</f>
        <v>96</v>
      </c>
      <c r="V245" s="65">
        <f>8706697635</f>
        <v>8706697635</v>
      </c>
      <c r="W245" s="65">
        <f>1349755</f>
        <v>1349755</v>
      </c>
      <c r="X245" s="69">
        <f>20</f>
        <v>20</v>
      </c>
    </row>
    <row r="246" spans="1:24">
      <c r="A246" s="60" t="s">
        <v>934</v>
      </c>
      <c r="B246" s="60" t="s">
        <v>792</v>
      </c>
      <c r="C246" s="60" t="s">
        <v>793</v>
      </c>
      <c r="D246" s="60" t="s">
        <v>794</v>
      </c>
      <c r="E246" s="61" t="s">
        <v>46</v>
      </c>
      <c r="F246" s="62" t="s">
        <v>46</v>
      </c>
      <c r="G246" s="63" t="s">
        <v>46</v>
      </c>
      <c r="H246" s="64"/>
      <c r="I246" s="64" t="s">
        <v>47</v>
      </c>
      <c r="J246" s="65">
        <v>1</v>
      </c>
      <c r="K246" s="66">
        <f>13400</f>
        <v>13400</v>
      </c>
      <c r="L246" s="67" t="s">
        <v>853</v>
      </c>
      <c r="M246" s="66">
        <f>13570</f>
        <v>13570</v>
      </c>
      <c r="N246" s="67" t="s">
        <v>96</v>
      </c>
      <c r="O246" s="66">
        <f>12840</f>
        <v>12840</v>
      </c>
      <c r="P246" s="67" t="s">
        <v>132</v>
      </c>
      <c r="Q246" s="66">
        <f>13260</f>
        <v>13260</v>
      </c>
      <c r="R246" s="67" t="s">
        <v>873</v>
      </c>
      <c r="S246" s="68">
        <f>13358.5</f>
        <v>13358.5</v>
      </c>
      <c r="T246" s="65">
        <f>165472</f>
        <v>165472</v>
      </c>
      <c r="U246" s="65" t="str">
        <f>"－"</f>
        <v>－</v>
      </c>
      <c r="V246" s="65">
        <f>2196160680</f>
        <v>2196160680</v>
      </c>
      <c r="W246" s="65" t="str">
        <f>"－"</f>
        <v>－</v>
      </c>
      <c r="X246" s="69">
        <f>20</f>
        <v>20</v>
      </c>
    </row>
    <row r="247" spans="1:24">
      <c r="A247" s="60" t="s">
        <v>934</v>
      </c>
      <c r="B247" s="60" t="s">
        <v>795</v>
      </c>
      <c r="C247" s="60" t="s">
        <v>796</v>
      </c>
      <c r="D247" s="60" t="s">
        <v>797</v>
      </c>
      <c r="E247" s="61" t="s">
        <v>46</v>
      </c>
      <c r="F247" s="62" t="s">
        <v>46</v>
      </c>
      <c r="G247" s="63" t="s">
        <v>46</v>
      </c>
      <c r="H247" s="64"/>
      <c r="I247" s="64" t="s">
        <v>47</v>
      </c>
      <c r="J247" s="65">
        <v>1</v>
      </c>
      <c r="K247" s="66">
        <f>26100</f>
        <v>26100</v>
      </c>
      <c r="L247" s="67" t="s">
        <v>853</v>
      </c>
      <c r="M247" s="66">
        <f>30000</f>
        <v>30000</v>
      </c>
      <c r="N247" s="67" t="s">
        <v>50</v>
      </c>
      <c r="O247" s="66">
        <f>26100</f>
        <v>26100</v>
      </c>
      <c r="P247" s="67" t="s">
        <v>853</v>
      </c>
      <c r="Q247" s="66">
        <f>27080</f>
        <v>27080</v>
      </c>
      <c r="R247" s="67" t="s">
        <v>873</v>
      </c>
      <c r="S247" s="68">
        <f>27506</f>
        <v>27506</v>
      </c>
      <c r="T247" s="65">
        <f>189</f>
        <v>189</v>
      </c>
      <c r="U247" s="65" t="str">
        <f>"－"</f>
        <v>－</v>
      </c>
      <c r="V247" s="65">
        <f>5138170</f>
        <v>5138170</v>
      </c>
      <c r="W247" s="65" t="str">
        <f>"－"</f>
        <v>－</v>
      </c>
      <c r="X247" s="69">
        <f>15</f>
        <v>15</v>
      </c>
    </row>
    <row r="248" spans="1:24">
      <c r="A248" s="60" t="s">
        <v>934</v>
      </c>
      <c r="B248" s="60" t="s">
        <v>798</v>
      </c>
      <c r="C248" s="60" t="s">
        <v>799</v>
      </c>
      <c r="D248" s="60" t="s">
        <v>800</v>
      </c>
      <c r="E248" s="61" t="s">
        <v>46</v>
      </c>
      <c r="F248" s="62" t="s">
        <v>46</v>
      </c>
      <c r="G248" s="63" t="s">
        <v>46</v>
      </c>
      <c r="H248" s="64"/>
      <c r="I248" s="64" t="s">
        <v>47</v>
      </c>
      <c r="J248" s="65">
        <v>1</v>
      </c>
      <c r="K248" s="66">
        <f>2726</f>
        <v>2726</v>
      </c>
      <c r="L248" s="67" t="s">
        <v>853</v>
      </c>
      <c r="M248" s="66">
        <f>2728</f>
        <v>2728</v>
      </c>
      <c r="N248" s="67" t="s">
        <v>857</v>
      </c>
      <c r="O248" s="66">
        <f>2706</f>
        <v>2706</v>
      </c>
      <c r="P248" s="67" t="s">
        <v>50</v>
      </c>
      <c r="Q248" s="66">
        <f>2713</f>
        <v>2713</v>
      </c>
      <c r="R248" s="67" t="s">
        <v>873</v>
      </c>
      <c r="S248" s="68">
        <f>2718.6</f>
        <v>2718.6</v>
      </c>
      <c r="T248" s="65">
        <f>1040322</f>
        <v>1040322</v>
      </c>
      <c r="U248" s="65">
        <f>241813</f>
        <v>241813</v>
      </c>
      <c r="V248" s="65">
        <f>2829078662</f>
        <v>2829078662</v>
      </c>
      <c r="W248" s="65">
        <f>657077139</f>
        <v>657077139</v>
      </c>
      <c r="X248" s="69">
        <f>20</f>
        <v>20</v>
      </c>
    </row>
    <row r="249" spans="1:24">
      <c r="A249" s="60" t="s">
        <v>934</v>
      </c>
      <c r="B249" s="60" t="s">
        <v>801</v>
      </c>
      <c r="C249" s="60" t="s">
        <v>802</v>
      </c>
      <c r="D249" s="60" t="s">
        <v>803</v>
      </c>
      <c r="E249" s="61" t="s">
        <v>46</v>
      </c>
      <c r="F249" s="62" t="s">
        <v>46</v>
      </c>
      <c r="G249" s="63" t="s">
        <v>46</v>
      </c>
      <c r="H249" s="64"/>
      <c r="I249" s="64" t="s">
        <v>47</v>
      </c>
      <c r="J249" s="65">
        <v>10</v>
      </c>
      <c r="K249" s="66">
        <f>3060</f>
        <v>3060</v>
      </c>
      <c r="L249" s="67" t="s">
        <v>853</v>
      </c>
      <c r="M249" s="66">
        <f>3165</f>
        <v>3165</v>
      </c>
      <c r="N249" s="67" t="s">
        <v>77</v>
      </c>
      <c r="O249" s="66">
        <f>2918</f>
        <v>2918</v>
      </c>
      <c r="P249" s="67" t="s">
        <v>132</v>
      </c>
      <c r="Q249" s="66">
        <f>2985</f>
        <v>2985</v>
      </c>
      <c r="R249" s="67" t="s">
        <v>873</v>
      </c>
      <c r="S249" s="68">
        <f>3018.6</f>
        <v>3018.6</v>
      </c>
      <c r="T249" s="65">
        <f>4379440</f>
        <v>4379440</v>
      </c>
      <c r="U249" s="65">
        <f>2435310</f>
        <v>2435310</v>
      </c>
      <c r="V249" s="65">
        <f>13133696426</f>
        <v>13133696426</v>
      </c>
      <c r="W249" s="65">
        <f>7311833916</f>
        <v>7311833916</v>
      </c>
      <c r="X249" s="69">
        <f>20</f>
        <v>20</v>
      </c>
    </row>
    <row r="250" spans="1:24">
      <c r="A250" s="60" t="s">
        <v>934</v>
      </c>
      <c r="B250" s="60" t="s">
        <v>804</v>
      </c>
      <c r="C250" s="60" t="s">
        <v>805</v>
      </c>
      <c r="D250" s="60" t="s">
        <v>806</v>
      </c>
      <c r="E250" s="61" t="s">
        <v>46</v>
      </c>
      <c r="F250" s="62" t="s">
        <v>46</v>
      </c>
      <c r="G250" s="63" t="s">
        <v>46</v>
      </c>
      <c r="H250" s="64"/>
      <c r="I250" s="64" t="s">
        <v>47</v>
      </c>
      <c r="J250" s="65">
        <v>1</v>
      </c>
      <c r="K250" s="66">
        <f>2942</f>
        <v>2942</v>
      </c>
      <c r="L250" s="67" t="s">
        <v>853</v>
      </c>
      <c r="M250" s="66">
        <f>2956</f>
        <v>2956</v>
      </c>
      <c r="N250" s="67" t="s">
        <v>77</v>
      </c>
      <c r="O250" s="66">
        <f>2815</f>
        <v>2815</v>
      </c>
      <c r="P250" s="67" t="s">
        <v>132</v>
      </c>
      <c r="Q250" s="66">
        <f>2850</f>
        <v>2850</v>
      </c>
      <c r="R250" s="67" t="s">
        <v>873</v>
      </c>
      <c r="S250" s="68">
        <f>2905.4</f>
        <v>2905.4</v>
      </c>
      <c r="T250" s="65">
        <f>5303197</f>
        <v>5303197</v>
      </c>
      <c r="U250" s="65">
        <f>966756</f>
        <v>966756</v>
      </c>
      <c r="V250" s="65">
        <f>15331385653</f>
        <v>15331385653</v>
      </c>
      <c r="W250" s="65">
        <f>2829759263</f>
        <v>2829759263</v>
      </c>
      <c r="X250" s="69">
        <f>20</f>
        <v>20</v>
      </c>
    </row>
    <row r="251" spans="1:24">
      <c r="A251" s="60" t="s">
        <v>934</v>
      </c>
      <c r="B251" s="60" t="s">
        <v>807</v>
      </c>
      <c r="C251" s="60" t="s">
        <v>808</v>
      </c>
      <c r="D251" s="60" t="s">
        <v>809</v>
      </c>
      <c r="E251" s="61" t="s">
        <v>46</v>
      </c>
      <c r="F251" s="62" t="s">
        <v>46</v>
      </c>
      <c r="G251" s="63" t="s">
        <v>46</v>
      </c>
      <c r="H251" s="64"/>
      <c r="I251" s="64" t="s">
        <v>47</v>
      </c>
      <c r="J251" s="65">
        <v>1</v>
      </c>
      <c r="K251" s="66">
        <f>1895</f>
        <v>1895</v>
      </c>
      <c r="L251" s="67" t="s">
        <v>853</v>
      </c>
      <c r="M251" s="66">
        <f>1994</f>
        <v>1994</v>
      </c>
      <c r="N251" s="67" t="s">
        <v>49</v>
      </c>
      <c r="O251" s="66">
        <f>1895</f>
        <v>1895</v>
      </c>
      <c r="P251" s="67" t="s">
        <v>853</v>
      </c>
      <c r="Q251" s="66">
        <f>1964</f>
        <v>1964</v>
      </c>
      <c r="R251" s="67" t="s">
        <v>873</v>
      </c>
      <c r="S251" s="68">
        <f>1954.3</f>
        <v>1954.3</v>
      </c>
      <c r="T251" s="65">
        <f>2554384</f>
        <v>2554384</v>
      </c>
      <c r="U251" s="65">
        <f>2</f>
        <v>2</v>
      </c>
      <c r="V251" s="65">
        <f>4980906919</f>
        <v>4980906919</v>
      </c>
      <c r="W251" s="65">
        <f>3935</f>
        <v>3935</v>
      </c>
      <c r="X251" s="69">
        <f>20</f>
        <v>20</v>
      </c>
    </row>
    <row r="252" spans="1:24">
      <c r="A252" s="60" t="s">
        <v>934</v>
      </c>
      <c r="B252" s="60" t="s">
        <v>810</v>
      </c>
      <c r="C252" s="60" t="s">
        <v>811</v>
      </c>
      <c r="D252" s="60" t="s">
        <v>812</v>
      </c>
      <c r="E252" s="61" t="s">
        <v>46</v>
      </c>
      <c r="F252" s="62" t="s">
        <v>46</v>
      </c>
      <c r="G252" s="63" t="s">
        <v>46</v>
      </c>
      <c r="H252" s="64"/>
      <c r="I252" s="64" t="s">
        <v>47</v>
      </c>
      <c r="J252" s="65">
        <v>1</v>
      </c>
      <c r="K252" s="66">
        <f>1269</f>
        <v>1269</v>
      </c>
      <c r="L252" s="67" t="s">
        <v>853</v>
      </c>
      <c r="M252" s="66">
        <f>1287</f>
        <v>1287</v>
      </c>
      <c r="N252" s="67" t="s">
        <v>77</v>
      </c>
      <c r="O252" s="66">
        <f>1190</f>
        <v>1190</v>
      </c>
      <c r="P252" s="67" t="s">
        <v>873</v>
      </c>
      <c r="Q252" s="66">
        <f>1190</f>
        <v>1190</v>
      </c>
      <c r="R252" s="67" t="s">
        <v>873</v>
      </c>
      <c r="S252" s="68">
        <f>1247.2</f>
        <v>1247.2</v>
      </c>
      <c r="T252" s="65">
        <f>184589</f>
        <v>184589</v>
      </c>
      <c r="U252" s="65">
        <f>6</f>
        <v>6</v>
      </c>
      <c r="V252" s="65">
        <f>229298462</f>
        <v>229298462</v>
      </c>
      <c r="W252" s="65">
        <f>7421</f>
        <v>7421</v>
      </c>
      <c r="X252" s="69">
        <f>20</f>
        <v>20</v>
      </c>
    </row>
    <row r="253" spans="1:24">
      <c r="A253" s="60" t="s">
        <v>934</v>
      </c>
      <c r="B253" s="60" t="s">
        <v>813</v>
      </c>
      <c r="C253" s="60" t="s">
        <v>814</v>
      </c>
      <c r="D253" s="60" t="s">
        <v>815</v>
      </c>
      <c r="E253" s="61" t="s">
        <v>46</v>
      </c>
      <c r="F253" s="62" t="s">
        <v>46</v>
      </c>
      <c r="G253" s="63" t="s">
        <v>46</v>
      </c>
      <c r="H253" s="64"/>
      <c r="I253" s="64" t="s">
        <v>47</v>
      </c>
      <c r="J253" s="65">
        <v>10</v>
      </c>
      <c r="K253" s="66">
        <f>1213</f>
        <v>1213</v>
      </c>
      <c r="L253" s="67" t="s">
        <v>853</v>
      </c>
      <c r="M253" s="66">
        <f>1243</f>
        <v>1243</v>
      </c>
      <c r="N253" s="67" t="s">
        <v>853</v>
      </c>
      <c r="O253" s="66">
        <f>1171</f>
        <v>1171</v>
      </c>
      <c r="P253" s="67" t="s">
        <v>873</v>
      </c>
      <c r="Q253" s="66">
        <f>1171</f>
        <v>1171</v>
      </c>
      <c r="R253" s="67" t="s">
        <v>873</v>
      </c>
      <c r="S253" s="68">
        <f>1198.8</f>
        <v>1198.8</v>
      </c>
      <c r="T253" s="65">
        <f>139670</f>
        <v>139670</v>
      </c>
      <c r="U253" s="65" t="str">
        <f>"－"</f>
        <v>－</v>
      </c>
      <c r="V253" s="65">
        <f>167641340</f>
        <v>167641340</v>
      </c>
      <c r="W253" s="65" t="str">
        <f>"－"</f>
        <v>－</v>
      </c>
      <c r="X253" s="69">
        <f>20</f>
        <v>20</v>
      </c>
    </row>
    <row r="254" spans="1:24">
      <c r="A254" s="60" t="s">
        <v>934</v>
      </c>
      <c r="B254" s="60" t="s">
        <v>816</v>
      </c>
      <c r="C254" s="60" t="s">
        <v>817</v>
      </c>
      <c r="D254" s="60" t="s">
        <v>818</v>
      </c>
      <c r="E254" s="61" t="s">
        <v>46</v>
      </c>
      <c r="F254" s="62" t="s">
        <v>46</v>
      </c>
      <c r="G254" s="63" t="s">
        <v>46</v>
      </c>
      <c r="H254" s="64"/>
      <c r="I254" s="64" t="s">
        <v>47</v>
      </c>
      <c r="J254" s="65">
        <v>10</v>
      </c>
      <c r="K254" s="66">
        <f>252</f>
        <v>252</v>
      </c>
      <c r="L254" s="67" t="s">
        <v>853</v>
      </c>
      <c r="M254" s="66">
        <f>262</f>
        <v>262</v>
      </c>
      <c r="N254" s="67" t="s">
        <v>77</v>
      </c>
      <c r="O254" s="66">
        <f>252</f>
        <v>252</v>
      </c>
      <c r="P254" s="67" t="s">
        <v>853</v>
      </c>
      <c r="Q254" s="66">
        <f>258</f>
        <v>258</v>
      </c>
      <c r="R254" s="67" t="s">
        <v>873</v>
      </c>
      <c r="S254" s="68">
        <f>257.7</f>
        <v>257.7</v>
      </c>
      <c r="T254" s="65">
        <f>51030</f>
        <v>51030</v>
      </c>
      <c r="U254" s="65" t="str">
        <f>"－"</f>
        <v>－</v>
      </c>
      <c r="V254" s="65">
        <f>13136650</f>
        <v>13136650</v>
      </c>
      <c r="W254" s="65" t="str">
        <f>"－"</f>
        <v>－</v>
      </c>
      <c r="X254" s="69">
        <f>20</f>
        <v>20</v>
      </c>
    </row>
    <row r="255" spans="1:24">
      <c r="A255" s="60" t="s">
        <v>934</v>
      </c>
      <c r="B255" s="60" t="s">
        <v>819</v>
      </c>
      <c r="C255" s="60" t="s">
        <v>820</v>
      </c>
      <c r="D255" s="60" t="s">
        <v>821</v>
      </c>
      <c r="E255" s="61" t="s">
        <v>46</v>
      </c>
      <c r="F255" s="62" t="s">
        <v>46</v>
      </c>
      <c r="G255" s="63" t="s">
        <v>46</v>
      </c>
      <c r="H255" s="64"/>
      <c r="I255" s="64" t="s">
        <v>47</v>
      </c>
      <c r="J255" s="65">
        <v>10</v>
      </c>
      <c r="K255" s="66">
        <f>2956</f>
        <v>2956</v>
      </c>
      <c r="L255" s="67" t="s">
        <v>853</v>
      </c>
      <c r="M255" s="66">
        <f>2980</f>
        <v>2980</v>
      </c>
      <c r="N255" s="67" t="s">
        <v>96</v>
      </c>
      <c r="O255" s="66">
        <f>2809</f>
        <v>2809</v>
      </c>
      <c r="P255" s="67" t="s">
        <v>132</v>
      </c>
      <c r="Q255" s="66">
        <f>2863</f>
        <v>2863</v>
      </c>
      <c r="R255" s="67" t="s">
        <v>873</v>
      </c>
      <c r="S255" s="68">
        <f>2922.95</f>
        <v>2922.95</v>
      </c>
      <c r="T255" s="65">
        <f>1379620</f>
        <v>1379620</v>
      </c>
      <c r="U255" s="65">
        <f>87000</f>
        <v>87000</v>
      </c>
      <c r="V255" s="65">
        <f>3984498296</f>
        <v>3984498296</v>
      </c>
      <c r="W255" s="65">
        <f>254910746</f>
        <v>254910746</v>
      </c>
      <c r="X255" s="69">
        <f>20</f>
        <v>20</v>
      </c>
    </row>
    <row r="256" spans="1:24">
      <c r="A256" s="60" t="s">
        <v>934</v>
      </c>
      <c r="B256" s="60" t="s">
        <v>822</v>
      </c>
      <c r="C256" s="60" t="s">
        <v>823</v>
      </c>
      <c r="D256" s="60" t="s">
        <v>824</v>
      </c>
      <c r="E256" s="61" t="s">
        <v>46</v>
      </c>
      <c r="F256" s="62" t="s">
        <v>46</v>
      </c>
      <c r="G256" s="63" t="s">
        <v>46</v>
      </c>
      <c r="H256" s="64"/>
      <c r="I256" s="64" t="s">
        <v>47</v>
      </c>
      <c r="J256" s="65">
        <v>10</v>
      </c>
      <c r="K256" s="66">
        <f>2804</f>
        <v>2804</v>
      </c>
      <c r="L256" s="67" t="s">
        <v>853</v>
      </c>
      <c r="M256" s="66">
        <f>2821</f>
        <v>2821</v>
      </c>
      <c r="N256" s="67" t="s">
        <v>172</v>
      </c>
      <c r="O256" s="66">
        <f>2657</f>
        <v>2657</v>
      </c>
      <c r="P256" s="67" t="s">
        <v>50</v>
      </c>
      <c r="Q256" s="66">
        <f>2667</f>
        <v>2667</v>
      </c>
      <c r="R256" s="67" t="s">
        <v>873</v>
      </c>
      <c r="S256" s="68">
        <f>2768.6</f>
        <v>2768.6</v>
      </c>
      <c r="T256" s="65">
        <f>3005770</f>
        <v>3005770</v>
      </c>
      <c r="U256" s="65">
        <f>918200</f>
        <v>918200</v>
      </c>
      <c r="V256" s="65">
        <f>8343536216</f>
        <v>8343536216</v>
      </c>
      <c r="W256" s="65">
        <f>2548027256</f>
        <v>2548027256</v>
      </c>
      <c r="X256" s="69">
        <f>20</f>
        <v>20</v>
      </c>
    </row>
    <row r="257" spans="1:24">
      <c r="A257" s="60" t="s">
        <v>934</v>
      </c>
      <c r="B257" s="60" t="s">
        <v>825</v>
      </c>
      <c r="C257" s="60" t="s">
        <v>826</v>
      </c>
      <c r="D257" s="60" t="s">
        <v>827</v>
      </c>
      <c r="E257" s="61" t="s">
        <v>46</v>
      </c>
      <c r="F257" s="62" t="s">
        <v>46</v>
      </c>
      <c r="G257" s="63" t="s">
        <v>46</v>
      </c>
      <c r="H257" s="64"/>
      <c r="I257" s="64" t="s">
        <v>47</v>
      </c>
      <c r="J257" s="65">
        <v>1</v>
      </c>
      <c r="K257" s="66">
        <f>2594</f>
        <v>2594</v>
      </c>
      <c r="L257" s="67" t="s">
        <v>853</v>
      </c>
      <c r="M257" s="66">
        <f>2636</f>
        <v>2636</v>
      </c>
      <c r="N257" s="67" t="s">
        <v>873</v>
      </c>
      <c r="O257" s="66">
        <f>2574</f>
        <v>2574</v>
      </c>
      <c r="P257" s="67" t="s">
        <v>132</v>
      </c>
      <c r="Q257" s="66">
        <f>2635</f>
        <v>2635</v>
      </c>
      <c r="R257" s="67" t="s">
        <v>873</v>
      </c>
      <c r="S257" s="68">
        <f>2596.75</f>
        <v>2596.75</v>
      </c>
      <c r="T257" s="65">
        <f>654610</f>
        <v>654610</v>
      </c>
      <c r="U257" s="65" t="str">
        <f>"－"</f>
        <v>－</v>
      </c>
      <c r="V257" s="65">
        <f>1695550896</f>
        <v>1695550896</v>
      </c>
      <c r="W257" s="65" t="str">
        <f>"－"</f>
        <v>－</v>
      </c>
      <c r="X257" s="69">
        <f>20</f>
        <v>20</v>
      </c>
    </row>
    <row r="258" spans="1:24">
      <c r="A258" s="60" t="s">
        <v>934</v>
      </c>
      <c r="B258" s="60" t="s">
        <v>828</v>
      </c>
      <c r="C258" s="60" t="s">
        <v>829</v>
      </c>
      <c r="D258" s="60" t="s">
        <v>830</v>
      </c>
      <c r="E258" s="61" t="s">
        <v>46</v>
      </c>
      <c r="F258" s="62" t="s">
        <v>46</v>
      </c>
      <c r="G258" s="63" t="s">
        <v>46</v>
      </c>
      <c r="H258" s="64"/>
      <c r="I258" s="64" t="s">
        <v>47</v>
      </c>
      <c r="J258" s="65">
        <v>1</v>
      </c>
      <c r="K258" s="66">
        <f>2281</f>
        <v>2281</v>
      </c>
      <c r="L258" s="67" t="s">
        <v>853</v>
      </c>
      <c r="M258" s="66">
        <f>2318</f>
        <v>2318</v>
      </c>
      <c r="N258" s="67" t="s">
        <v>132</v>
      </c>
      <c r="O258" s="66">
        <f>2200</f>
        <v>2200</v>
      </c>
      <c r="P258" s="67" t="s">
        <v>50</v>
      </c>
      <c r="Q258" s="66">
        <f>2222</f>
        <v>2222</v>
      </c>
      <c r="R258" s="67" t="s">
        <v>873</v>
      </c>
      <c r="S258" s="68">
        <f>2276.45</f>
        <v>2276.4499999999998</v>
      </c>
      <c r="T258" s="65">
        <f>555743</f>
        <v>555743</v>
      </c>
      <c r="U258" s="65" t="str">
        <f>"－"</f>
        <v>－</v>
      </c>
      <c r="V258" s="65">
        <f>1261684075</f>
        <v>1261684075</v>
      </c>
      <c r="W258" s="65" t="str">
        <f>"－"</f>
        <v>－</v>
      </c>
      <c r="X258" s="69">
        <f>20</f>
        <v>20</v>
      </c>
    </row>
    <row r="259" spans="1:24">
      <c r="A259" s="60" t="s">
        <v>934</v>
      </c>
      <c r="B259" s="60" t="s">
        <v>831</v>
      </c>
      <c r="C259" s="60" t="s">
        <v>832</v>
      </c>
      <c r="D259" s="60" t="s">
        <v>833</v>
      </c>
      <c r="E259" s="61" t="s">
        <v>46</v>
      </c>
      <c r="F259" s="62" t="s">
        <v>46</v>
      </c>
      <c r="G259" s="63" t="s">
        <v>46</v>
      </c>
      <c r="H259" s="64"/>
      <c r="I259" s="64" t="s">
        <v>47</v>
      </c>
      <c r="J259" s="65">
        <v>1</v>
      </c>
      <c r="K259" s="66">
        <f>2556</f>
        <v>2556</v>
      </c>
      <c r="L259" s="67" t="s">
        <v>853</v>
      </c>
      <c r="M259" s="66">
        <f>2584</f>
        <v>2584</v>
      </c>
      <c r="N259" s="67" t="s">
        <v>132</v>
      </c>
      <c r="O259" s="66">
        <f>2476</f>
        <v>2476</v>
      </c>
      <c r="P259" s="67" t="s">
        <v>50</v>
      </c>
      <c r="Q259" s="66">
        <f>2485</f>
        <v>2485</v>
      </c>
      <c r="R259" s="67" t="s">
        <v>873</v>
      </c>
      <c r="S259" s="68">
        <f>2540.74</f>
        <v>2540.7399999999998</v>
      </c>
      <c r="T259" s="65">
        <f>94503</f>
        <v>94503</v>
      </c>
      <c r="U259" s="65">
        <f>89300</f>
        <v>89300</v>
      </c>
      <c r="V259" s="65">
        <f>237096703</f>
        <v>237096703</v>
      </c>
      <c r="W259" s="65">
        <f>223907859</f>
        <v>223907859</v>
      </c>
      <c r="X259" s="69">
        <f>19</f>
        <v>19</v>
      </c>
    </row>
    <row r="260" spans="1:24">
      <c r="A260" s="60" t="s">
        <v>934</v>
      </c>
      <c r="B260" s="60" t="s">
        <v>834</v>
      </c>
      <c r="C260" s="60" t="s">
        <v>835</v>
      </c>
      <c r="D260" s="60" t="s">
        <v>836</v>
      </c>
      <c r="E260" s="61" t="s">
        <v>46</v>
      </c>
      <c r="F260" s="62" t="s">
        <v>46</v>
      </c>
      <c r="G260" s="63" t="s">
        <v>46</v>
      </c>
      <c r="H260" s="64"/>
      <c r="I260" s="64" t="s">
        <v>47</v>
      </c>
      <c r="J260" s="65">
        <v>1</v>
      </c>
      <c r="K260" s="66">
        <f>2533</f>
        <v>2533</v>
      </c>
      <c r="L260" s="67" t="s">
        <v>853</v>
      </c>
      <c r="M260" s="66">
        <f>2547</f>
        <v>2547</v>
      </c>
      <c r="N260" s="67" t="s">
        <v>77</v>
      </c>
      <c r="O260" s="66">
        <f>2492</f>
        <v>2492</v>
      </c>
      <c r="P260" s="67" t="s">
        <v>50</v>
      </c>
      <c r="Q260" s="66">
        <f>2523</f>
        <v>2523</v>
      </c>
      <c r="R260" s="67" t="s">
        <v>873</v>
      </c>
      <c r="S260" s="68">
        <f>2527.79</f>
        <v>2527.79</v>
      </c>
      <c r="T260" s="65">
        <f>6234</f>
        <v>6234</v>
      </c>
      <c r="U260" s="65" t="str">
        <f>"－"</f>
        <v>－</v>
      </c>
      <c r="V260" s="65">
        <f>15788601</f>
        <v>15788601</v>
      </c>
      <c r="W260" s="65" t="str">
        <f>"－"</f>
        <v>－</v>
      </c>
      <c r="X260" s="69">
        <f>19</f>
        <v>19</v>
      </c>
    </row>
    <row r="261" spans="1:24">
      <c r="A261" s="60" t="s">
        <v>934</v>
      </c>
      <c r="B261" s="60" t="s">
        <v>837</v>
      </c>
      <c r="C261" s="60" t="s">
        <v>838</v>
      </c>
      <c r="D261" s="60" t="s">
        <v>839</v>
      </c>
      <c r="E261" s="61" t="s">
        <v>46</v>
      </c>
      <c r="F261" s="62" t="s">
        <v>46</v>
      </c>
      <c r="G261" s="63" t="s">
        <v>46</v>
      </c>
      <c r="H261" s="64"/>
      <c r="I261" s="64" t="s">
        <v>47</v>
      </c>
      <c r="J261" s="65">
        <v>1</v>
      </c>
      <c r="K261" s="66">
        <f>2829</f>
        <v>2829</v>
      </c>
      <c r="L261" s="67" t="s">
        <v>853</v>
      </c>
      <c r="M261" s="66">
        <f>3080</f>
        <v>3080</v>
      </c>
      <c r="N261" s="67" t="s">
        <v>49</v>
      </c>
      <c r="O261" s="66">
        <f>2829</f>
        <v>2829</v>
      </c>
      <c r="P261" s="67" t="s">
        <v>853</v>
      </c>
      <c r="Q261" s="66">
        <f>2973</f>
        <v>2973</v>
      </c>
      <c r="R261" s="67" t="s">
        <v>873</v>
      </c>
      <c r="S261" s="68">
        <f>2995.55</f>
        <v>2995.55</v>
      </c>
      <c r="T261" s="65">
        <f>1706559</f>
        <v>1706559</v>
      </c>
      <c r="U261" s="65" t="str">
        <f>"－"</f>
        <v>－</v>
      </c>
      <c r="V261" s="65">
        <f>5164182898</f>
        <v>5164182898</v>
      </c>
      <c r="W261" s="65" t="str">
        <f>"－"</f>
        <v>－</v>
      </c>
      <c r="X261" s="69">
        <f>20</f>
        <v>20</v>
      </c>
    </row>
    <row r="262" spans="1:24">
      <c r="A262" s="60" t="s">
        <v>934</v>
      </c>
      <c r="B262" s="60" t="s">
        <v>840</v>
      </c>
      <c r="C262" s="60" t="s">
        <v>841</v>
      </c>
      <c r="D262" s="60" t="s">
        <v>842</v>
      </c>
      <c r="E262" s="61" t="s">
        <v>46</v>
      </c>
      <c r="F262" s="62" t="s">
        <v>46</v>
      </c>
      <c r="G262" s="63" t="s">
        <v>46</v>
      </c>
      <c r="H262" s="64"/>
      <c r="I262" s="64" t="s">
        <v>47</v>
      </c>
      <c r="J262" s="65">
        <v>1</v>
      </c>
      <c r="K262" s="66">
        <f>1966</f>
        <v>1966</v>
      </c>
      <c r="L262" s="67" t="s">
        <v>853</v>
      </c>
      <c r="M262" s="66">
        <f>2123</f>
        <v>2123</v>
      </c>
      <c r="N262" s="67" t="s">
        <v>49</v>
      </c>
      <c r="O262" s="66">
        <f>1966</f>
        <v>1966</v>
      </c>
      <c r="P262" s="67" t="s">
        <v>853</v>
      </c>
      <c r="Q262" s="66">
        <f>2056</f>
        <v>2056</v>
      </c>
      <c r="R262" s="67" t="s">
        <v>873</v>
      </c>
      <c r="S262" s="68">
        <f>2067.55</f>
        <v>2067.5500000000002</v>
      </c>
      <c r="T262" s="65">
        <f>718320</f>
        <v>718320</v>
      </c>
      <c r="U262" s="65" t="str">
        <f>"－"</f>
        <v>－</v>
      </c>
      <c r="V262" s="65">
        <f>1484250075</f>
        <v>1484250075</v>
      </c>
      <c r="W262" s="65" t="str">
        <f>"－"</f>
        <v>－</v>
      </c>
      <c r="X262" s="69">
        <f>20</f>
        <v>20</v>
      </c>
    </row>
    <row r="263" spans="1:24">
      <c r="A263" s="60" t="s">
        <v>934</v>
      </c>
      <c r="B263" s="60" t="s">
        <v>843</v>
      </c>
      <c r="C263" s="60" t="s">
        <v>844</v>
      </c>
      <c r="D263" s="60" t="s">
        <v>845</v>
      </c>
      <c r="E263" s="61" t="s">
        <v>46</v>
      </c>
      <c r="F263" s="62" t="s">
        <v>46</v>
      </c>
      <c r="G263" s="63" t="s">
        <v>46</v>
      </c>
      <c r="H263" s="64"/>
      <c r="I263" s="64" t="s">
        <v>47</v>
      </c>
      <c r="J263" s="65">
        <v>1</v>
      </c>
      <c r="K263" s="66">
        <f>2068</f>
        <v>2068</v>
      </c>
      <c r="L263" s="67" t="s">
        <v>853</v>
      </c>
      <c r="M263" s="66">
        <f>2263</f>
        <v>2263</v>
      </c>
      <c r="N263" s="67" t="s">
        <v>856</v>
      </c>
      <c r="O263" s="66">
        <f>2043</f>
        <v>2043</v>
      </c>
      <c r="P263" s="67" t="s">
        <v>858</v>
      </c>
      <c r="Q263" s="66">
        <f>2124</f>
        <v>2124</v>
      </c>
      <c r="R263" s="67" t="s">
        <v>873</v>
      </c>
      <c r="S263" s="68">
        <f>2167.45</f>
        <v>2167.4499999999998</v>
      </c>
      <c r="T263" s="65">
        <f>433183</f>
        <v>433183</v>
      </c>
      <c r="U263" s="65">
        <f>1</f>
        <v>1</v>
      </c>
      <c r="V263" s="65">
        <f>936318489</f>
        <v>936318489</v>
      </c>
      <c r="W263" s="65">
        <f>2163</f>
        <v>2163</v>
      </c>
      <c r="X263" s="69">
        <f>20</f>
        <v>20</v>
      </c>
    </row>
    <row r="264" spans="1:24">
      <c r="A264" s="60" t="s">
        <v>934</v>
      </c>
      <c r="B264" s="60" t="s">
        <v>849</v>
      </c>
      <c r="C264" s="60" t="s">
        <v>850</v>
      </c>
      <c r="D264" s="60" t="s">
        <v>851</v>
      </c>
      <c r="E264" s="61" t="s">
        <v>46</v>
      </c>
      <c r="F264" s="62" t="s">
        <v>46</v>
      </c>
      <c r="G264" s="63" t="s">
        <v>46</v>
      </c>
      <c r="H264" s="64"/>
      <c r="I264" s="64" t="s">
        <v>47</v>
      </c>
      <c r="J264" s="65">
        <v>1</v>
      </c>
      <c r="K264" s="66">
        <f>2261</f>
        <v>2261</v>
      </c>
      <c r="L264" s="67" t="s">
        <v>853</v>
      </c>
      <c r="M264" s="66">
        <f>2442</f>
        <v>2442</v>
      </c>
      <c r="N264" s="67" t="s">
        <v>69</v>
      </c>
      <c r="O264" s="66">
        <f>2254</f>
        <v>2254</v>
      </c>
      <c r="P264" s="67" t="s">
        <v>853</v>
      </c>
      <c r="Q264" s="66">
        <f>2331</f>
        <v>2331</v>
      </c>
      <c r="R264" s="67" t="s">
        <v>873</v>
      </c>
      <c r="S264" s="68">
        <f>2359.8</f>
        <v>2359.8000000000002</v>
      </c>
      <c r="T264" s="65">
        <f>260904</f>
        <v>260904</v>
      </c>
      <c r="U264" s="65" t="str">
        <f>"－"</f>
        <v>－</v>
      </c>
      <c r="V264" s="65">
        <f>617801312</f>
        <v>617801312</v>
      </c>
      <c r="W264" s="65" t="str">
        <f>"－"</f>
        <v>－</v>
      </c>
      <c r="X264" s="69">
        <f>20</f>
        <v>20</v>
      </c>
    </row>
    <row r="265" spans="1:24">
      <c r="A265" s="60" t="s">
        <v>934</v>
      </c>
      <c r="B265" s="60" t="s">
        <v>899</v>
      </c>
      <c r="C265" s="60" t="s">
        <v>900</v>
      </c>
      <c r="D265" s="60" t="s">
        <v>901</v>
      </c>
      <c r="E265" s="61" t="s">
        <v>46</v>
      </c>
      <c r="F265" s="62" t="s">
        <v>46</v>
      </c>
      <c r="G265" s="63" t="s">
        <v>46</v>
      </c>
      <c r="H265" s="64"/>
      <c r="I265" s="64" t="s">
        <v>47</v>
      </c>
      <c r="J265" s="65">
        <v>1</v>
      </c>
      <c r="K265" s="66">
        <f>2455</f>
        <v>2455</v>
      </c>
      <c r="L265" s="67" t="s">
        <v>853</v>
      </c>
      <c r="M265" s="66">
        <f>2504</f>
        <v>2504</v>
      </c>
      <c r="N265" s="67" t="s">
        <v>96</v>
      </c>
      <c r="O265" s="66">
        <f>2253</f>
        <v>2253</v>
      </c>
      <c r="P265" s="67" t="s">
        <v>268</v>
      </c>
      <c r="Q265" s="66">
        <f>2395</f>
        <v>2395</v>
      </c>
      <c r="R265" s="67" t="s">
        <v>873</v>
      </c>
      <c r="S265" s="68">
        <f>2421.9</f>
        <v>2421.9</v>
      </c>
      <c r="T265" s="65">
        <f>35602</f>
        <v>35602</v>
      </c>
      <c r="U265" s="65" t="str">
        <f>"－"</f>
        <v>－</v>
      </c>
      <c r="V265" s="65">
        <f>85477836</f>
        <v>85477836</v>
      </c>
      <c r="W265" s="65" t="str">
        <f>"－"</f>
        <v>－</v>
      </c>
      <c r="X265" s="69">
        <f>20</f>
        <v>20</v>
      </c>
    </row>
    <row r="266" spans="1:24">
      <c r="A266" s="60" t="s">
        <v>934</v>
      </c>
      <c r="B266" s="60" t="s">
        <v>903</v>
      </c>
      <c r="C266" s="60" t="s">
        <v>904</v>
      </c>
      <c r="D266" s="60" t="s">
        <v>905</v>
      </c>
      <c r="E266" s="61" t="s">
        <v>46</v>
      </c>
      <c r="F266" s="62" t="s">
        <v>46</v>
      </c>
      <c r="G266" s="63" t="s">
        <v>46</v>
      </c>
      <c r="H266" s="64"/>
      <c r="I266" s="64" t="s">
        <v>47</v>
      </c>
      <c r="J266" s="65">
        <v>1</v>
      </c>
      <c r="K266" s="66">
        <f>2624</f>
        <v>2624</v>
      </c>
      <c r="L266" s="67" t="s">
        <v>853</v>
      </c>
      <c r="M266" s="66">
        <f>2768</f>
        <v>2768</v>
      </c>
      <c r="N266" s="67" t="s">
        <v>96</v>
      </c>
      <c r="O266" s="66">
        <f>2460</f>
        <v>2460</v>
      </c>
      <c r="P266" s="67" t="s">
        <v>268</v>
      </c>
      <c r="Q266" s="66">
        <f>2632</f>
        <v>2632</v>
      </c>
      <c r="R266" s="67" t="s">
        <v>873</v>
      </c>
      <c r="S266" s="68">
        <f>2648.75</f>
        <v>2648.75</v>
      </c>
      <c r="T266" s="65">
        <f>25848</f>
        <v>25848</v>
      </c>
      <c r="U266" s="65">
        <f>5</f>
        <v>5</v>
      </c>
      <c r="V266" s="65">
        <f>68119422</f>
        <v>68119422</v>
      </c>
      <c r="W266" s="65">
        <f>12775</f>
        <v>12775</v>
      </c>
      <c r="X266" s="69">
        <f>20</f>
        <v>20</v>
      </c>
    </row>
    <row r="267" spans="1:24">
      <c r="A267" s="60" t="s">
        <v>934</v>
      </c>
      <c r="B267" s="60" t="s">
        <v>861</v>
      </c>
      <c r="C267" s="60" t="s">
        <v>862</v>
      </c>
      <c r="D267" s="60" t="s">
        <v>863</v>
      </c>
      <c r="E267" s="61" t="s">
        <v>46</v>
      </c>
      <c r="F267" s="62" t="s">
        <v>46</v>
      </c>
      <c r="G267" s="63" t="s">
        <v>46</v>
      </c>
      <c r="H267" s="64"/>
      <c r="I267" s="64" t="s">
        <v>47</v>
      </c>
      <c r="J267" s="65">
        <v>1</v>
      </c>
      <c r="K267" s="66">
        <f>11690</f>
        <v>11690</v>
      </c>
      <c r="L267" s="67" t="s">
        <v>853</v>
      </c>
      <c r="M267" s="66">
        <f>11750</f>
        <v>11750</v>
      </c>
      <c r="N267" s="67" t="s">
        <v>858</v>
      </c>
      <c r="O267" s="66">
        <f>11200</f>
        <v>11200</v>
      </c>
      <c r="P267" s="67" t="s">
        <v>132</v>
      </c>
      <c r="Q267" s="66">
        <f>11340</f>
        <v>11340</v>
      </c>
      <c r="R267" s="67" t="s">
        <v>873</v>
      </c>
      <c r="S267" s="68">
        <f>11560</f>
        <v>11560</v>
      </c>
      <c r="T267" s="65">
        <f>500495</f>
        <v>500495</v>
      </c>
      <c r="U267" s="65">
        <f>384900</f>
        <v>384900</v>
      </c>
      <c r="V267" s="65">
        <f>5780893182</f>
        <v>5780893182</v>
      </c>
      <c r="W267" s="65">
        <f>4439936162</f>
        <v>4439936162</v>
      </c>
      <c r="X267" s="69">
        <f>20</f>
        <v>20</v>
      </c>
    </row>
    <row r="268" spans="1:24">
      <c r="A268" s="60" t="s">
        <v>934</v>
      </c>
      <c r="B268" s="60" t="s">
        <v>865</v>
      </c>
      <c r="C268" s="60" t="s">
        <v>866</v>
      </c>
      <c r="D268" s="60" t="s">
        <v>867</v>
      </c>
      <c r="E268" s="61" t="s">
        <v>46</v>
      </c>
      <c r="F268" s="62" t="s">
        <v>46</v>
      </c>
      <c r="G268" s="63" t="s">
        <v>46</v>
      </c>
      <c r="H268" s="64"/>
      <c r="I268" s="64" t="s">
        <v>47</v>
      </c>
      <c r="J268" s="65">
        <v>1</v>
      </c>
      <c r="K268" s="66">
        <f>12350</f>
        <v>12350</v>
      </c>
      <c r="L268" s="67" t="s">
        <v>853</v>
      </c>
      <c r="M268" s="66">
        <f>12440</f>
        <v>12440</v>
      </c>
      <c r="N268" s="67" t="s">
        <v>96</v>
      </c>
      <c r="O268" s="66">
        <f>11720</f>
        <v>11720</v>
      </c>
      <c r="P268" s="67" t="s">
        <v>132</v>
      </c>
      <c r="Q268" s="66">
        <f>11960</f>
        <v>11960</v>
      </c>
      <c r="R268" s="67" t="s">
        <v>873</v>
      </c>
      <c r="S268" s="68">
        <f>12210</f>
        <v>12210</v>
      </c>
      <c r="T268" s="65">
        <f>610646</f>
        <v>610646</v>
      </c>
      <c r="U268" s="65">
        <f>16303</f>
        <v>16303</v>
      </c>
      <c r="V268" s="65">
        <f>7400323416</f>
        <v>7400323416</v>
      </c>
      <c r="W268" s="65">
        <f>200232086</f>
        <v>200232086</v>
      </c>
      <c r="X268" s="69">
        <f>20</f>
        <v>20</v>
      </c>
    </row>
    <row r="269" spans="1:24">
      <c r="A269" s="60" t="s">
        <v>934</v>
      </c>
      <c r="B269" s="60" t="s">
        <v>868</v>
      </c>
      <c r="C269" s="60" t="s">
        <v>869</v>
      </c>
      <c r="D269" s="60" t="s">
        <v>870</v>
      </c>
      <c r="E269" s="61" t="s">
        <v>46</v>
      </c>
      <c r="F269" s="62" t="s">
        <v>46</v>
      </c>
      <c r="G269" s="63" t="s">
        <v>46</v>
      </c>
      <c r="H269" s="64"/>
      <c r="I269" s="64" t="s">
        <v>47</v>
      </c>
      <c r="J269" s="65">
        <v>1</v>
      </c>
      <c r="K269" s="66">
        <f>11810</f>
        <v>11810</v>
      </c>
      <c r="L269" s="67" t="s">
        <v>853</v>
      </c>
      <c r="M269" s="66">
        <f>11880</f>
        <v>11880</v>
      </c>
      <c r="N269" s="67" t="s">
        <v>172</v>
      </c>
      <c r="O269" s="66">
        <f>11190</f>
        <v>11190</v>
      </c>
      <c r="P269" s="67" t="s">
        <v>50</v>
      </c>
      <c r="Q269" s="66">
        <f>11240</f>
        <v>11240</v>
      </c>
      <c r="R269" s="67" t="s">
        <v>873</v>
      </c>
      <c r="S269" s="68">
        <f>11662</f>
        <v>11662</v>
      </c>
      <c r="T269" s="65">
        <f>308160</f>
        <v>308160</v>
      </c>
      <c r="U269" s="65">
        <f>137100</f>
        <v>137100</v>
      </c>
      <c r="V269" s="65">
        <f>3551231636</f>
        <v>3551231636</v>
      </c>
      <c r="W269" s="65">
        <f>1558096246</f>
        <v>1558096246</v>
      </c>
      <c r="X269" s="69">
        <f>20</f>
        <v>20</v>
      </c>
    </row>
    <row r="270" spans="1:24">
      <c r="A270" s="60" t="s">
        <v>934</v>
      </c>
      <c r="B270" s="60" t="s">
        <v>879</v>
      </c>
      <c r="C270" s="60" t="s">
        <v>880</v>
      </c>
      <c r="D270" s="60" t="s">
        <v>881</v>
      </c>
      <c r="E270" s="61" t="s">
        <v>46</v>
      </c>
      <c r="F270" s="62" t="s">
        <v>46</v>
      </c>
      <c r="G270" s="63" t="s">
        <v>46</v>
      </c>
      <c r="H270" s="64"/>
      <c r="I270" s="64" t="s">
        <v>47</v>
      </c>
      <c r="J270" s="65">
        <v>10</v>
      </c>
      <c r="K270" s="66">
        <f>2310</f>
        <v>2310</v>
      </c>
      <c r="L270" s="67" t="s">
        <v>853</v>
      </c>
      <c r="M270" s="66">
        <f>2317</f>
        <v>2317</v>
      </c>
      <c r="N270" s="67" t="s">
        <v>858</v>
      </c>
      <c r="O270" s="66">
        <f>2185</f>
        <v>2185</v>
      </c>
      <c r="P270" s="67" t="s">
        <v>132</v>
      </c>
      <c r="Q270" s="66">
        <f>2266</f>
        <v>2266</v>
      </c>
      <c r="R270" s="67" t="s">
        <v>873</v>
      </c>
      <c r="S270" s="68">
        <f>2278.5</f>
        <v>2278.5</v>
      </c>
      <c r="T270" s="65">
        <f>619280</f>
        <v>619280</v>
      </c>
      <c r="U270" s="65" t="str">
        <f>"－"</f>
        <v>－</v>
      </c>
      <c r="V270" s="65">
        <f>1400150570</f>
        <v>1400150570</v>
      </c>
      <c r="W270" s="65" t="str">
        <f>"－"</f>
        <v>－</v>
      </c>
      <c r="X270" s="69">
        <f>20</f>
        <v>20</v>
      </c>
    </row>
    <row r="271" spans="1:24">
      <c r="A271" s="60" t="s">
        <v>934</v>
      </c>
      <c r="B271" s="60" t="s">
        <v>883</v>
      </c>
      <c r="C271" s="60" t="s">
        <v>884</v>
      </c>
      <c r="D271" s="60" t="s">
        <v>885</v>
      </c>
      <c r="E271" s="61" t="s">
        <v>46</v>
      </c>
      <c r="F271" s="62" t="s">
        <v>46</v>
      </c>
      <c r="G271" s="63" t="s">
        <v>46</v>
      </c>
      <c r="H271" s="64"/>
      <c r="I271" s="64" t="s">
        <v>47</v>
      </c>
      <c r="J271" s="65">
        <v>10</v>
      </c>
      <c r="K271" s="66">
        <f>2296</f>
        <v>2296</v>
      </c>
      <c r="L271" s="67" t="s">
        <v>853</v>
      </c>
      <c r="M271" s="66">
        <f>2305</f>
        <v>2305</v>
      </c>
      <c r="N271" s="67" t="s">
        <v>858</v>
      </c>
      <c r="O271" s="66">
        <f>2187</f>
        <v>2187</v>
      </c>
      <c r="P271" s="67" t="s">
        <v>132</v>
      </c>
      <c r="Q271" s="66">
        <f>2214</f>
        <v>2214</v>
      </c>
      <c r="R271" s="67" t="s">
        <v>873</v>
      </c>
      <c r="S271" s="68">
        <f>2260.75</f>
        <v>2260.75</v>
      </c>
      <c r="T271" s="65">
        <f>2479210</f>
        <v>2479210</v>
      </c>
      <c r="U271" s="65">
        <f>1057600</f>
        <v>1057600</v>
      </c>
      <c r="V271" s="65">
        <f>5578698653</f>
        <v>5578698653</v>
      </c>
      <c r="W271" s="65">
        <f>2388084443</f>
        <v>2388084443</v>
      </c>
      <c r="X271" s="69">
        <f>20</f>
        <v>20</v>
      </c>
    </row>
    <row r="272" spans="1:24">
      <c r="A272" s="60" t="s">
        <v>934</v>
      </c>
      <c r="B272" s="60" t="s">
        <v>886</v>
      </c>
      <c r="C272" s="60" t="s">
        <v>887</v>
      </c>
      <c r="D272" s="60" t="s">
        <v>888</v>
      </c>
      <c r="E272" s="61" t="s">
        <v>46</v>
      </c>
      <c r="F272" s="62" t="s">
        <v>46</v>
      </c>
      <c r="G272" s="63" t="s">
        <v>46</v>
      </c>
      <c r="H272" s="64"/>
      <c r="I272" s="64" t="s">
        <v>47</v>
      </c>
      <c r="J272" s="65">
        <v>10</v>
      </c>
      <c r="K272" s="66">
        <f>2319</f>
        <v>2319</v>
      </c>
      <c r="L272" s="67" t="s">
        <v>853</v>
      </c>
      <c r="M272" s="66">
        <f>2325</f>
        <v>2325</v>
      </c>
      <c r="N272" s="67" t="s">
        <v>858</v>
      </c>
      <c r="O272" s="66">
        <f>2194</f>
        <v>2194</v>
      </c>
      <c r="P272" s="67" t="s">
        <v>132</v>
      </c>
      <c r="Q272" s="66">
        <f>2283</f>
        <v>2283</v>
      </c>
      <c r="R272" s="67" t="s">
        <v>873</v>
      </c>
      <c r="S272" s="68">
        <f>2288.9</f>
        <v>2288.9</v>
      </c>
      <c r="T272" s="65">
        <f>467160</f>
        <v>467160</v>
      </c>
      <c r="U272" s="65" t="str">
        <f>"－"</f>
        <v>－</v>
      </c>
      <c r="V272" s="65">
        <f>1041887460</f>
        <v>1041887460</v>
      </c>
      <c r="W272" s="65" t="str">
        <f>"－"</f>
        <v>－</v>
      </c>
      <c r="X272" s="69">
        <f>20</f>
        <v>20</v>
      </c>
    </row>
    <row r="273" spans="1:24">
      <c r="A273" s="60" t="s">
        <v>934</v>
      </c>
      <c r="B273" s="60" t="s">
        <v>889</v>
      </c>
      <c r="C273" s="60" t="s">
        <v>890</v>
      </c>
      <c r="D273" s="60" t="s">
        <v>891</v>
      </c>
      <c r="E273" s="61" t="s">
        <v>46</v>
      </c>
      <c r="F273" s="62" t="s">
        <v>46</v>
      </c>
      <c r="G273" s="63" t="s">
        <v>46</v>
      </c>
      <c r="H273" s="64"/>
      <c r="I273" s="64" t="s">
        <v>47</v>
      </c>
      <c r="J273" s="65">
        <v>1</v>
      </c>
      <c r="K273" s="66">
        <f>2769</f>
        <v>2769</v>
      </c>
      <c r="L273" s="67" t="s">
        <v>853</v>
      </c>
      <c r="M273" s="66">
        <f>3005</f>
        <v>3005</v>
      </c>
      <c r="N273" s="67" t="s">
        <v>49</v>
      </c>
      <c r="O273" s="66">
        <f>2769</f>
        <v>2769</v>
      </c>
      <c r="P273" s="67" t="s">
        <v>853</v>
      </c>
      <c r="Q273" s="66">
        <f>2834</f>
        <v>2834</v>
      </c>
      <c r="R273" s="67" t="s">
        <v>873</v>
      </c>
      <c r="S273" s="68">
        <f>2920</f>
        <v>2920</v>
      </c>
      <c r="T273" s="65">
        <f>74506</f>
        <v>74506</v>
      </c>
      <c r="U273" s="65" t="str">
        <f>"－"</f>
        <v>－</v>
      </c>
      <c r="V273" s="65">
        <f>212445282</f>
        <v>212445282</v>
      </c>
      <c r="W273" s="65" t="str">
        <f>"－"</f>
        <v>－</v>
      </c>
      <c r="X273" s="69">
        <f>20</f>
        <v>20</v>
      </c>
    </row>
    <row r="274" spans="1:24">
      <c r="A274" s="60" t="s">
        <v>934</v>
      </c>
      <c r="B274" s="60" t="s">
        <v>892</v>
      </c>
      <c r="C274" s="60" t="s">
        <v>893</v>
      </c>
      <c r="D274" s="60" t="s">
        <v>894</v>
      </c>
      <c r="E274" s="61" t="s">
        <v>46</v>
      </c>
      <c r="F274" s="62" t="s">
        <v>46</v>
      </c>
      <c r="G274" s="63" t="s">
        <v>46</v>
      </c>
      <c r="H274" s="64"/>
      <c r="I274" s="64" t="s">
        <v>47</v>
      </c>
      <c r="J274" s="65">
        <v>1</v>
      </c>
      <c r="K274" s="66">
        <f>1754</f>
        <v>1754</v>
      </c>
      <c r="L274" s="67" t="s">
        <v>853</v>
      </c>
      <c r="M274" s="66">
        <f>1994</f>
        <v>1994</v>
      </c>
      <c r="N274" s="67" t="s">
        <v>69</v>
      </c>
      <c r="O274" s="66">
        <f>1717</f>
        <v>1717</v>
      </c>
      <c r="P274" s="67" t="s">
        <v>50</v>
      </c>
      <c r="Q274" s="66">
        <f>1755</f>
        <v>1755</v>
      </c>
      <c r="R274" s="67" t="s">
        <v>873</v>
      </c>
      <c r="S274" s="68">
        <f>1866.7</f>
        <v>1866.7</v>
      </c>
      <c r="T274" s="65">
        <f>172310</f>
        <v>172310</v>
      </c>
      <c r="U274" s="65">
        <f>9</f>
        <v>9</v>
      </c>
      <c r="V274" s="65">
        <f>325775151</f>
        <v>325775151</v>
      </c>
      <c r="W274" s="65">
        <f>17020</f>
        <v>17020</v>
      </c>
      <c r="X274" s="69">
        <f>20</f>
        <v>20</v>
      </c>
    </row>
    <row r="275" spans="1:24">
      <c r="A275" s="60" t="s">
        <v>934</v>
      </c>
      <c r="B275" s="60" t="s">
        <v>910</v>
      </c>
      <c r="C275" s="60" t="s">
        <v>911</v>
      </c>
      <c r="D275" s="60" t="s">
        <v>912</v>
      </c>
      <c r="E275" s="61" t="s">
        <v>46</v>
      </c>
      <c r="F275" s="62" t="s">
        <v>46</v>
      </c>
      <c r="G275" s="63" t="s">
        <v>46</v>
      </c>
      <c r="H275" s="64"/>
      <c r="I275" s="64" t="s">
        <v>47</v>
      </c>
      <c r="J275" s="65">
        <v>1</v>
      </c>
      <c r="K275" s="66">
        <f>2335</f>
        <v>2335</v>
      </c>
      <c r="L275" s="67" t="s">
        <v>853</v>
      </c>
      <c r="M275" s="66">
        <f>2568</f>
        <v>2568</v>
      </c>
      <c r="N275" s="67" t="s">
        <v>49</v>
      </c>
      <c r="O275" s="66">
        <f>2335</f>
        <v>2335</v>
      </c>
      <c r="P275" s="67" t="s">
        <v>853</v>
      </c>
      <c r="Q275" s="66">
        <f>2365</f>
        <v>2365</v>
      </c>
      <c r="R275" s="67" t="s">
        <v>873</v>
      </c>
      <c r="S275" s="68">
        <f>2465.7</f>
        <v>2465.6999999999998</v>
      </c>
      <c r="T275" s="65">
        <f>106434</f>
        <v>106434</v>
      </c>
      <c r="U275" s="65" t="str">
        <f>"－"</f>
        <v>－</v>
      </c>
      <c r="V275" s="65">
        <f>263123148</f>
        <v>263123148</v>
      </c>
      <c r="W275" s="65" t="str">
        <f>"－"</f>
        <v>－</v>
      </c>
      <c r="X275" s="69">
        <f>20</f>
        <v>20</v>
      </c>
    </row>
    <row r="276" spans="1:24">
      <c r="A276" s="60" t="s">
        <v>934</v>
      </c>
      <c r="B276" s="60" t="s">
        <v>914</v>
      </c>
      <c r="C276" s="60" t="s">
        <v>915</v>
      </c>
      <c r="D276" s="60" t="s">
        <v>916</v>
      </c>
      <c r="E276" s="61" t="s">
        <v>46</v>
      </c>
      <c r="F276" s="62" t="s">
        <v>46</v>
      </c>
      <c r="G276" s="63" t="s">
        <v>46</v>
      </c>
      <c r="H276" s="64"/>
      <c r="I276" s="64" t="s">
        <v>47</v>
      </c>
      <c r="J276" s="65">
        <v>1</v>
      </c>
      <c r="K276" s="66">
        <f>1894</f>
        <v>1894</v>
      </c>
      <c r="L276" s="67" t="s">
        <v>853</v>
      </c>
      <c r="M276" s="66">
        <f>2041</f>
        <v>2041</v>
      </c>
      <c r="N276" s="67" t="s">
        <v>856</v>
      </c>
      <c r="O276" s="66">
        <f>1894</f>
        <v>1894</v>
      </c>
      <c r="P276" s="67" t="s">
        <v>853</v>
      </c>
      <c r="Q276" s="66">
        <f>1956</f>
        <v>1956</v>
      </c>
      <c r="R276" s="67" t="s">
        <v>873</v>
      </c>
      <c r="S276" s="68">
        <f>1989.05</f>
        <v>1989.05</v>
      </c>
      <c r="T276" s="65">
        <f>23098</f>
        <v>23098</v>
      </c>
      <c r="U276" s="65">
        <f>3</f>
        <v>3</v>
      </c>
      <c r="V276" s="65">
        <f>45813307</f>
        <v>45813307</v>
      </c>
      <c r="W276" s="65">
        <f>6033</f>
        <v>6033</v>
      </c>
      <c r="X276" s="69">
        <f>20</f>
        <v>20</v>
      </c>
    </row>
    <row r="277" spans="1:24">
      <c r="A277" s="60" t="s">
        <v>934</v>
      </c>
      <c r="B277" s="60" t="s">
        <v>917</v>
      </c>
      <c r="C277" s="60" t="s">
        <v>918</v>
      </c>
      <c r="D277" s="60" t="s">
        <v>919</v>
      </c>
      <c r="E277" s="61" t="s">
        <v>46</v>
      </c>
      <c r="F277" s="62" t="s">
        <v>46</v>
      </c>
      <c r="G277" s="63" t="s">
        <v>46</v>
      </c>
      <c r="H277" s="64"/>
      <c r="I277" s="64" t="s">
        <v>47</v>
      </c>
      <c r="J277" s="65">
        <v>1</v>
      </c>
      <c r="K277" s="66">
        <f>2434</f>
        <v>2434</v>
      </c>
      <c r="L277" s="67" t="s">
        <v>853</v>
      </c>
      <c r="M277" s="66">
        <f>2713</f>
        <v>2713</v>
      </c>
      <c r="N277" s="67" t="s">
        <v>92</v>
      </c>
      <c r="O277" s="66">
        <f>2434</f>
        <v>2434</v>
      </c>
      <c r="P277" s="67" t="s">
        <v>853</v>
      </c>
      <c r="Q277" s="66">
        <f>2573</f>
        <v>2573</v>
      </c>
      <c r="R277" s="67" t="s">
        <v>873</v>
      </c>
      <c r="S277" s="68">
        <f>2629.8</f>
        <v>2629.8</v>
      </c>
      <c r="T277" s="65">
        <f>64646</f>
        <v>64646</v>
      </c>
      <c r="U277" s="65" t="str">
        <f>"－"</f>
        <v>－</v>
      </c>
      <c r="V277" s="65">
        <f>170066966</f>
        <v>170066966</v>
      </c>
      <c r="W277" s="65" t="str">
        <f>"－"</f>
        <v>－</v>
      </c>
      <c r="X277" s="69">
        <f>20</f>
        <v>20</v>
      </c>
    </row>
    <row r="278" spans="1:24">
      <c r="A278" s="60" t="s">
        <v>934</v>
      </c>
      <c r="B278" s="60" t="s">
        <v>920</v>
      </c>
      <c r="C278" s="60" t="s">
        <v>921</v>
      </c>
      <c r="D278" s="60" t="s">
        <v>922</v>
      </c>
      <c r="E278" s="61" t="s">
        <v>46</v>
      </c>
      <c r="F278" s="62" t="s">
        <v>46</v>
      </c>
      <c r="G278" s="63" t="s">
        <v>46</v>
      </c>
      <c r="H278" s="64"/>
      <c r="I278" s="64" t="s">
        <v>47</v>
      </c>
      <c r="J278" s="65">
        <v>1</v>
      </c>
      <c r="K278" s="66">
        <f>1975</f>
        <v>1975</v>
      </c>
      <c r="L278" s="67" t="s">
        <v>853</v>
      </c>
      <c r="M278" s="66">
        <f>2171</f>
        <v>2171</v>
      </c>
      <c r="N278" s="67" t="s">
        <v>88</v>
      </c>
      <c r="O278" s="66">
        <f>1975</f>
        <v>1975</v>
      </c>
      <c r="P278" s="67" t="s">
        <v>853</v>
      </c>
      <c r="Q278" s="66">
        <f>2072</f>
        <v>2072</v>
      </c>
      <c r="R278" s="67" t="s">
        <v>873</v>
      </c>
      <c r="S278" s="68">
        <f>2084.4</f>
        <v>2084.4</v>
      </c>
      <c r="T278" s="65">
        <f>45868</f>
        <v>45868</v>
      </c>
      <c r="U278" s="65" t="str">
        <f>"－"</f>
        <v>－</v>
      </c>
      <c r="V278" s="65">
        <f>95600681</f>
        <v>95600681</v>
      </c>
      <c r="W278" s="65" t="str">
        <f>"－"</f>
        <v>－</v>
      </c>
      <c r="X278" s="69">
        <f>20</f>
        <v>20</v>
      </c>
    </row>
    <row r="279" spans="1:24">
      <c r="A279" s="60" t="s">
        <v>934</v>
      </c>
      <c r="B279" s="60" t="s">
        <v>923</v>
      </c>
      <c r="C279" s="60" t="s">
        <v>924</v>
      </c>
      <c r="D279" s="60" t="s">
        <v>925</v>
      </c>
      <c r="E279" s="61" t="s">
        <v>46</v>
      </c>
      <c r="F279" s="62" t="s">
        <v>46</v>
      </c>
      <c r="G279" s="63" t="s">
        <v>46</v>
      </c>
      <c r="H279" s="64"/>
      <c r="I279" s="64" t="s">
        <v>47</v>
      </c>
      <c r="J279" s="65">
        <v>1</v>
      </c>
      <c r="K279" s="66">
        <f>26980</f>
        <v>26980</v>
      </c>
      <c r="L279" s="67" t="s">
        <v>77</v>
      </c>
      <c r="M279" s="66">
        <f>27730</f>
        <v>27730</v>
      </c>
      <c r="N279" s="67" t="s">
        <v>855</v>
      </c>
      <c r="O279" s="66">
        <f>26840</f>
        <v>26840</v>
      </c>
      <c r="P279" s="67" t="s">
        <v>77</v>
      </c>
      <c r="Q279" s="66">
        <f>27100</f>
        <v>27100</v>
      </c>
      <c r="R279" s="67" t="s">
        <v>50</v>
      </c>
      <c r="S279" s="68">
        <f>27264.29</f>
        <v>27264.29</v>
      </c>
      <c r="T279" s="65">
        <f>399</f>
        <v>399</v>
      </c>
      <c r="U279" s="65" t="str">
        <f>"－"</f>
        <v>－</v>
      </c>
      <c r="V279" s="65">
        <f>10847060</f>
        <v>10847060</v>
      </c>
      <c r="W279" s="65" t="str">
        <f>"－"</f>
        <v>－</v>
      </c>
      <c r="X279" s="69">
        <f>7</f>
        <v>7</v>
      </c>
    </row>
    <row r="280" spans="1:24">
      <c r="A280" s="60" t="s">
        <v>934</v>
      </c>
      <c r="B280" s="60" t="s">
        <v>927</v>
      </c>
      <c r="C280" s="60" t="s">
        <v>928</v>
      </c>
      <c r="D280" s="60" t="s">
        <v>929</v>
      </c>
      <c r="E280" s="61" t="s">
        <v>46</v>
      </c>
      <c r="F280" s="62" t="s">
        <v>46</v>
      </c>
      <c r="G280" s="63" t="s">
        <v>46</v>
      </c>
      <c r="H280" s="64"/>
      <c r="I280" s="64" t="s">
        <v>47</v>
      </c>
      <c r="J280" s="65">
        <v>1</v>
      </c>
      <c r="K280" s="66">
        <f>2023</f>
        <v>2023</v>
      </c>
      <c r="L280" s="67" t="s">
        <v>853</v>
      </c>
      <c r="M280" s="66">
        <f>2190</f>
        <v>2190</v>
      </c>
      <c r="N280" s="67" t="s">
        <v>855</v>
      </c>
      <c r="O280" s="66">
        <f>2023</f>
        <v>2023</v>
      </c>
      <c r="P280" s="67" t="s">
        <v>853</v>
      </c>
      <c r="Q280" s="66">
        <f>2111</f>
        <v>2111</v>
      </c>
      <c r="R280" s="67" t="s">
        <v>873</v>
      </c>
      <c r="S280" s="68">
        <f>2117.6</f>
        <v>2117.6</v>
      </c>
      <c r="T280" s="65">
        <f>187385</f>
        <v>187385</v>
      </c>
      <c r="U280" s="65" t="str">
        <f>"－"</f>
        <v>－</v>
      </c>
      <c r="V280" s="65">
        <f>398627678</f>
        <v>398627678</v>
      </c>
      <c r="W280" s="65" t="str">
        <f>"－"</f>
        <v>－</v>
      </c>
      <c r="X280" s="69">
        <f>20</f>
        <v>20</v>
      </c>
    </row>
    <row r="281" spans="1:24">
      <c r="A281" s="60" t="s">
        <v>934</v>
      </c>
      <c r="B281" s="60" t="s">
        <v>936</v>
      </c>
      <c r="C281" s="60" t="s">
        <v>937</v>
      </c>
      <c r="D281" s="60" t="s">
        <v>938</v>
      </c>
      <c r="E281" s="61" t="s">
        <v>846</v>
      </c>
      <c r="F281" s="62" t="s">
        <v>847</v>
      </c>
      <c r="G281" s="63" t="s">
        <v>939</v>
      </c>
      <c r="H281" s="64"/>
      <c r="I281" s="64" t="s">
        <v>47</v>
      </c>
      <c r="J281" s="65">
        <v>1</v>
      </c>
      <c r="K281" s="66">
        <f>2472</f>
        <v>2472</v>
      </c>
      <c r="L281" s="67" t="s">
        <v>88</v>
      </c>
      <c r="M281" s="66">
        <f>2472</f>
        <v>2472</v>
      </c>
      <c r="N281" s="67" t="s">
        <v>88</v>
      </c>
      <c r="O281" s="66">
        <f>2324</f>
        <v>2324</v>
      </c>
      <c r="P281" s="67" t="s">
        <v>873</v>
      </c>
      <c r="Q281" s="66">
        <f>2348</f>
        <v>2348</v>
      </c>
      <c r="R281" s="67" t="s">
        <v>873</v>
      </c>
      <c r="S281" s="68">
        <f>2392.67</f>
        <v>2392.67</v>
      </c>
      <c r="T281" s="65">
        <f>236800</f>
        <v>236800</v>
      </c>
      <c r="U281" s="65">
        <f>172800</f>
        <v>172800</v>
      </c>
      <c r="V281" s="65">
        <f>575457249</f>
        <v>575457249</v>
      </c>
      <c r="W281" s="65">
        <f>423391104</f>
        <v>423391104</v>
      </c>
      <c r="X281" s="69">
        <f>3</f>
        <v>3</v>
      </c>
    </row>
    <row r="282" spans="1:24">
      <c r="A282" s="60" t="s">
        <v>934</v>
      </c>
      <c r="B282" s="60" t="s">
        <v>940</v>
      </c>
      <c r="C282" s="60" t="s">
        <v>941</v>
      </c>
      <c r="D282" s="60" t="s">
        <v>942</v>
      </c>
      <c r="E282" s="61" t="s">
        <v>846</v>
      </c>
      <c r="F282" s="62" t="s">
        <v>847</v>
      </c>
      <c r="G282" s="63" t="s">
        <v>939</v>
      </c>
      <c r="H282" s="64"/>
      <c r="I282" s="64" t="s">
        <v>47</v>
      </c>
      <c r="J282" s="65">
        <v>1</v>
      </c>
      <c r="K282" s="66">
        <f>2129</f>
        <v>2129</v>
      </c>
      <c r="L282" s="67" t="s">
        <v>88</v>
      </c>
      <c r="M282" s="66">
        <f>2130</f>
        <v>2130</v>
      </c>
      <c r="N282" s="67" t="s">
        <v>873</v>
      </c>
      <c r="O282" s="66">
        <f>2080</f>
        <v>2080</v>
      </c>
      <c r="P282" s="67" t="s">
        <v>50</v>
      </c>
      <c r="Q282" s="66">
        <f>2115</f>
        <v>2115</v>
      </c>
      <c r="R282" s="67" t="s">
        <v>873</v>
      </c>
      <c r="S282" s="68">
        <f>2113</f>
        <v>2113</v>
      </c>
      <c r="T282" s="65">
        <f>211604</f>
        <v>211604</v>
      </c>
      <c r="U282" s="65">
        <f>202000</f>
        <v>202000</v>
      </c>
      <c r="V282" s="65">
        <f>449043223</f>
        <v>449043223</v>
      </c>
      <c r="W282" s="65">
        <f>428843980</f>
        <v>428843980</v>
      </c>
      <c r="X282" s="69">
        <f>3</f>
        <v>3</v>
      </c>
    </row>
    <row r="283" spans="1:24">
      <c r="A283" s="60" t="s">
        <v>934</v>
      </c>
      <c r="B283" s="60" t="s">
        <v>943</v>
      </c>
      <c r="C283" s="60" t="s">
        <v>944</v>
      </c>
      <c r="D283" s="60" t="s">
        <v>945</v>
      </c>
      <c r="E283" s="61" t="s">
        <v>846</v>
      </c>
      <c r="F283" s="62" t="s">
        <v>847</v>
      </c>
      <c r="G283" s="63" t="s">
        <v>939</v>
      </c>
      <c r="H283" s="64"/>
      <c r="I283" s="64" t="s">
        <v>47</v>
      </c>
      <c r="J283" s="65">
        <v>1</v>
      </c>
      <c r="K283" s="66">
        <f>1421</f>
        <v>1421</v>
      </c>
      <c r="L283" s="67" t="s">
        <v>88</v>
      </c>
      <c r="M283" s="66">
        <f>1425</f>
        <v>1425</v>
      </c>
      <c r="N283" s="67" t="s">
        <v>88</v>
      </c>
      <c r="O283" s="66">
        <f>1392</f>
        <v>1392</v>
      </c>
      <c r="P283" s="67" t="s">
        <v>873</v>
      </c>
      <c r="Q283" s="66">
        <f>1395</f>
        <v>1395</v>
      </c>
      <c r="R283" s="67" t="s">
        <v>873</v>
      </c>
      <c r="S283" s="68">
        <f>1408.33</f>
        <v>1408.33</v>
      </c>
      <c r="T283" s="65">
        <f>83361</f>
        <v>83361</v>
      </c>
      <c r="U283" s="65">
        <f>75900</f>
        <v>75900</v>
      </c>
      <c r="V283" s="65">
        <f>118526897</f>
        <v>118526897</v>
      </c>
      <c r="W283" s="65">
        <f>108037722</f>
        <v>108037722</v>
      </c>
      <c r="X283" s="69">
        <f>3</f>
        <v>3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68B0A-F479-41D4-8B26-0C82BB5F9676}">
  <sheetPr>
    <pageSetUpPr fitToPage="1"/>
  </sheetPr>
  <dimension ref="A1:X280"/>
  <sheetViews>
    <sheetView showGridLines="0" view="pageBreakPreview" zoomScaleNormal="70" zoomScaleSheetLayoutView="100" workbookViewId="0">
      <pane ySplit="6" topLeftCell="A7" activePane="bottomLeft" state="frozen"/>
      <selection pane="bottomLeft"/>
    </sheetView>
  </sheetViews>
  <sheetFormatPr defaultColWidth="9" defaultRowHeight="13.2"/>
  <cols>
    <col min="1" max="1" width="13.109375" style="1" bestFit="1" customWidth="1"/>
    <col min="2" max="2" width="10.77734375" style="1" bestFit="1" customWidth="1"/>
    <col min="3" max="4" width="27.6640625" style="1" customWidth="1"/>
    <col min="5" max="5" width="13.77734375" style="1" bestFit="1" customWidth="1"/>
    <col min="6" max="6" width="20.77734375" style="1" bestFit="1" customWidth="1"/>
    <col min="7" max="7" width="11.21875" style="1" customWidth="1"/>
    <col min="8" max="8" width="8.77734375" style="1" bestFit="1" customWidth="1"/>
    <col min="9" max="9" width="11.77734375" style="1" bestFit="1" customWidth="1"/>
    <col min="10" max="10" width="12.6640625" style="1" bestFit="1" customWidth="1"/>
    <col min="11" max="11" width="16.21875" style="1" customWidth="1"/>
    <col min="12" max="12" width="5.6640625" style="1" bestFit="1" customWidth="1"/>
    <col min="13" max="13" width="16.21875" style="1" customWidth="1"/>
    <col min="14" max="14" width="5.6640625" style="1" bestFit="1" customWidth="1"/>
    <col min="15" max="15" width="16.21875" style="1" customWidth="1"/>
    <col min="16" max="16" width="5.6640625" style="1" bestFit="1" customWidth="1"/>
    <col min="17" max="17" width="16.21875" style="1" customWidth="1"/>
    <col min="18" max="18" width="5.6640625" style="1" bestFit="1" customWidth="1"/>
    <col min="19" max="19" width="23.88671875" style="1" bestFit="1" customWidth="1"/>
    <col min="20" max="20" width="16.21875" style="1" customWidth="1"/>
    <col min="21" max="21" width="24.109375" style="1" customWidth="1"/>
    <col min="22" max="22" width="19.88671875" style="1" bestFit="1" customWidth="1"/>
    <col min="23" max="23" width="25" style="1" bestFit="1" customWidth="1"/>
    <col min="24" max="24" width="13.109375" style="1" bestFit="1" customWidth="1"/>
    <col min="25" max="16384" width="9" style="1"/>
  </cols>
  <sheetData>
    <row r="1" spans="1:24" ht="13.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70" t="s">
        <v>22</v>
      </c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4" ht="99" customHeight="1">
      <c r="A2" s="76" t="s">
        <v>23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2"/>
      <c r="O2" s="72"/>
      <c r="P2" s="72"/>
      <c r="Q2" s="72"/>
      <c r="R2" s="72"/>
      <c r="S2" s="72"/>
      <c r="T2" s="72"/>
      <c r="U2" s="72"/>
      <c r="V2" s="72"/>
      <c r="W2" s="72"/>
      <c r="X2" s="73"/>
    </row>
    <row r="3" spans="1:24" ht="39" customHeight="1">
      <c r="A3" s="78" t="s">
        <v>24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</row>
    <row r="4" spans="1:24" s="2" customFormat="1" ht="13.5" customHeight="1">
      <c r="A4" s="40" t="s">
        <v>25</v>
      </c>
      <c r="B4" s="40" t="s">
        <v>0</v>
      </c>
      <c r="C4" s="40"/>
      <c r="D4" s="40"/>
      <c r="E4" s="41"/>
      <c r="F4" s="42"/>
      <c r="G4" s="43" t="s">
        <v>2</v>
      </c>
      <c r="H4" s="40" t="s">
        <v>26</v>
      </c>
      <c r="I4" s="40" t="s">
        <v>3</v>
      </c>
      <c r="J4" s="40" t="s">
        <v>4</v>
      </c>
      <c r="K4" s="44" t="s">
        <v>5</v>
      </c>
      <c r="L4" s="43" t="s">
        <v>2</v>
      </c>
      <c r="M4" s="44" t="s">
        <v>6</v>
      </c>
      <c r="N4" s="43" t="s">
        <v>2</v>
      </c>
      <c r="O4" s="44" t="s">
        <v>7</v>
      </c>
      <c r="P4" s="43" t="s">
        <v>2</v>
      </c>
      <c r="Q4" s="44" t="s">
        <v>8</v>
      </c>
      <c r="R4" s="43" t="s">
        <v>2</v>
      </c>
      <c r="S4" s="40" t="s">
        <v>9</v>
      </c>
      <c r="T4" s="40" t="s">
        <v>10</v>
      </c>
      <c r="U4" s="45" t="s">
        <v>11</v>
      </c>
      <c r="V4" s="40" t="s">
        <v>12</v>
      </c>
      <c r="W4" s="40" t="s">
        <v>13</v>
      </c>
      <c r="X4" s="40" t="s">
        <v>14</v>
      </c>
    </row>
    <row r="5" spans="1:24">
      <c r="A5" s="46" t="s">
        <v>27</v>
      </c>
      <c r="B5" s="46" t="s">
        <v>28</v>
      </c>
      <c r="C5" s="46" t="s">
        <v>29</v>
      </c>
      <c r="D5" s="46" t="s">
        <v>1</v>
      </c>
      <c r="E5" s="47" t="s">
        <v>30</v>
      </c>
      <c r="F5" s="48" t="s">
        <v>31</v>
      </c>
      <c r="G5" s="49" t="s">
        <v>32</v>
      </c>
      <c r="H5" s="50" t="s">
        <v>33</v>
      </c>
      <c r="I5" s="50" t="s">
        <v>15</v>
      </c>
      <c r="J5" s="50" t="s">
        <v>34</v>
      </c>
      <c r="K5" s="51" t="s">
        <v>16</v>
      </c>
      <c r="L5" s="49" t="s">
        <v>32</v>
      </c>
      <c r="M5" s="51" t="s">
        <v>35</v>
      </c>
      <c r="N5" s="49" t="s">
        <v>32</v>
      </c>
      <c r="O5" s="51" t="s">
        <v>17</v>
      </c>
      <c r="P5" s="49" t="s">
        <v>32</v>
      </c>
      <c r="Q5" s="51" t="s">
        <v>18</v>
      </c>
      <c r="R5" s="49" t="s">
        <v>32</v>
      </c>
      <c r="S5" s="52" t="s">
        <v>36</v>
      </c>
      <c r="T5" s="52" t="s">
        <v>19</v>
      </c>
      <c r="U5" s="46" t="s">
        <v>37</v>
      </c>
      <c r="V5" s="52" t="s">
        <v>20</v>
      </c>
      <c r="W5" s="52" t="s">
        <v>38</v>
      </c>
      <c r="X5" s="52" t="s">
        <v>39</v>
      </c>
    </row>
    <row r="6" spans="1:24">
      <c r="A6" s="53"/>
      <c r="B6" s="53"/>
      <c r="C6" s="53"/>
      <c r="D6" s="53"/>
      <c r="E6" s="54"/>
      <c r="F6" s="55"/>
      <c r="G6" s="56"/>
      <c r="H6" s="57"/>
      <c r="I6" s="57"/>
      <c r="J6" s="57" t="s">
        <v>40</v>
      </c>
      <c r="K6" s="58" t="s">
        <v>41</v>
      </c>
      <c r="L6" s="59"/>
      <c r="M6" s="58" t="s">
        <v>41</v>
      </c>
      <c r="N6" s="59"/>
      <c r="O6" s="58" t="s">
        <v>41</v>
      </c>
      <c r="P6" s="59"/>
      <c r="Q6" s="58" t="s">
        <v>41</v>
      </c>
      <c r="R6" s="59"/>
      <c r="S6" s="58" t="s">
        <v>41</v>
      </c>
      <c r="T6" s="57" t="s">
        <v>21</v>
      </c>
      <c r="U6" s="57" t="s">
        <v>21</v>
      </c>
      <c r="V6" s="58" t="s">
        <v>41</v>
      </c>
      <c r="W6" s="58" t="s">
        <v>41</v>
      </c>
      <c r="X6" s="57"/>
    </row>
    <row r="7" spans="1:24" s="28" customFormat="1" ht="13.5" customHeight="1">
      <c r="A7" s="60" t="s">
        <v>931</v>
      </c>
      <c r="B7" s="60" t="s">
        <v>43</v>
      </c>
      <c r="C7" s="60" t="s">
        <v>44</v>
      </c>
      <c r="D7" s="60" t="s">
        <v>45</v>
      </c>
      <c r="E7" s="61" t="s">
        <v>46</v>
      </c>
      <c r="F7" s="62" t="s">
        <v>46</v>
      </c>
      <c r="G7" s="63" t="s">
        <v>46</v>
      </c>
      <c r="H7" s="64"/>
      <c r="I7" s="64" t="s">
        <v>47</v>
      </c>
      <c r="J7" s="65">
        <v>10</v>
      </c>
      <c r="K7" s="66">
        <f>2004</f>
        <v>2004</v>
      </c>
      <c r="L7" s="67" t="s">
        <v>857</v>
      </c>
      <c r="M7" s="66">
        <f>2056</f>
        <v>2056</v>
      </c>
      <c r="N7" s="67" t="s">
        <v>131</v>
      </c>
      <c r="O7" s="66">
        <f>1958</f>
        <v>1958</v>
      </c>
      <c r="P7" s="67" t="s">
        <v>371</v>
      </c>
      <c r="Q7" s="66">
        <f>2043</f>
        <v>2043</v>
      </c>
      <c r="R7" s="67" t="s">
        <v>872</v>
      </c>
      <c r="S7" s="68">
        <f>2014.81</f>
        <v>2014.81</v>
      </c>
      <c r="T7" s="65">
        <f>9898840</f>
        <v>9898840</v>
      </c>
      <c r="U7" s="65">
        <f>5162980</f>
        <v>5162980</v>
      </c>
      <c r="V7" s="65">
        <f>20112764939</f>
        <v>20112764939</v>
      </c>
      <c r="W7" s="65">
        <f>10562281399</f>
        <v>10562281399</v>
      </c>
      <c r="X7" s="69">
        <f>21</f>
        <v>21</v>
      </c>
    </row>
    <row r="8" spans="1:24">
      <c r="A8" s="60" t="s">
        <v>931</v>
      </c>
      <c r="B8" s="60" t="s">
        <v>51</v>
      </c>
      <c r="C8" s="60" t="s">
        <v>52</v>
      </c>
      <c r="D8" s="60" t="s">
        <v>53</v>
      </c>
      <c r="E8" s="61" t="s">
        <v>46</v>
      </c>
      <c r="F8" s="62" t="s">
        <v>46</v>
      </c>
      <c r="G8" s="63" t="s">
        <v>46</v>
      </c>
      <c r="H8" s="64"/>
      <c r="I8" s="64" t="s">
        <v>47</v>
      </c>
      <c r="J8" s="65">
        <v>10</v>
      </c>
      <c r="K8" s="66">
        <f>1981</f>
        <v>1981</v>
      </c>
      <c r="L8" s="67" t="s">
        <v>857</v>
      </c>
      <c r="M8" s="66">
        <f>2033</f>
        <v>2033</v>
      </c>
      <c r="N8" s="67" t="s">
        <v>131</v>
      </c>
      <c r="O8" s="66">
        <f>1936</f>
        <v>1936</v>
      </c>
      <c r="P8" s="67" t="s">
        <v>371</v>
      </c>
      <c r="Q8" s="66">
        <f>2024</f>
        <v>2024</v>
      </c>
      <c r="R8" s="67" t="s">
        <v>872</v>
      </c>
      <c r="S8" s="68">
        <f>1992.14</f>
        <v>1992.14</v>
      </c>
      <c r="T8" s="65">
        <f>53909000</f>
        <v>53909000</v>
      </c>
      <c r="U8" s="65">
        <f>24719660</f>
        <v>24719660</v>
      </c>
      <c r="V8" s="65">
        <f>107469066856</f>
        <v>107469066856</v>
      </c>
      <c r="W8" s="65">
        <f>49290126076</f>
        <v>49290126076</v>
      </c>
      <c r="X8" s="69">
        <f>21</f>
        <v>21</v>
      </c>
    </row>
    <row r="9" spans="1:24">
      <c r="A9" s="60" t="s">
        <v>931</v>
      </c>
      <c r="B9" s="60" t="s">
        <v>54</v>
      </c>
      <c r="C9" s="60" t="s">
        <v>55</v>
      </c>
      <c r="D9" s="60" t="s">
        <v>56</v>
      </c>
      <c r="E9" s="61" t="s">
        <v>46</v>
      </c>
      <c r="F9" s="62" t="s">
        <v>46</v>
      </c>
      <c r="G9" s="63" t="s">
        <v>46</v>
      </c>
      <c r="H9" s="64"/>
      <c r="I9" s="64" t="s">
        <v>47</v>
      </c>
      <c r="J9" s="65">
        <v>100</v>
      </c>
      <c r="K9" s="66">
        <f>1958</f>
        <v>1958</v>
      </c>
      <c r="L9" s="67" t="s">
        <v>857</v>
      </c>
      <c r="M9" s="66">
        <f>2011</f>
        <v>2011</v>
      </c>
      <c r="N9" s="67" t="s">
        <v>131</v>
      </c>
      <c r="O9" s="66">
        <f>1916</f>
        <v>1916</v>
      </c>
      <c r="P9" s="67" t="s">
        <v>371</v>
      </c>
      <c r="Q9" s="66">
        <f>2001</f>
        <v>2001</v>
      </c>
      <c r="R9" s="67" t="s">
        <v>872</v>
      </c>
      <c r="S9" s="68">
        <f>1970.67</f>
        <v>1970.67</v>
      </c>
      <c r="T9" s="65">
        <f>2067000</f>
        <v>2067000</v>
      </c>
      <c r="U9" s="65">
        <f>600</f>
        <v>600</v>
      </c>
      <c r="V9" s="65">
        <f>4072456600</f>
        <v>4072456600</v>
      </c>
      <c r="W9" s="65">
        <f>1182700</f>
        <v>1182700</v>
      </c>
      <c r="X9" s="69">
        <f>21</f>
        <v>21</v>
      </c>
    </row>
    <row r="10" spans="1:24">
      <c r="A10" s="60" t="s">
        <v>931</v>
      </c>
      <c r="B10" s="60" t="s">
        <v>57</v>
      </c>
      <c r="C10" s="60" t="s">
        <v>58</v>
      </c>
      <c r="D10" s="60" t="s">
        <v>59</v>
      </c>
      <c r="E10" s="61" t="s">
        <v>46</v>
      </c>
      <c r="F10" s="62" t="s">
        <v>46</v>
      </c>
      <c r="G10" s="63" t="s">
        <v>46</v>
      </c>
      <c r="H10" s="64"/>
      <c r="I10" s="64" t="s">
        <v>47</v>
      </c>
      <c r="J10" s="65">
        <v>1</v>
      </c>
      <c r="K10" s="66">
        <f>40100</f>
        <v>40100</v>
      </c>
      <c r="L10" s="67" t="s">
        <v>857</v>
      </c>
      <c r="M10" s="66">
        <f>42650</f>
        <v>42650</v>
      </c>
      <c r="N10" s="67" t="s">
        <v>875</v>
      </c>
      <c r="O10" s="66">
        <f>39000</f>
        <v>39000</v>
      </c>
      <c r="P10" s="67" t="s">
        <v>371</v>
      </c>
      <c r="Q10" s="66">
        <f>40000</f>
        <v>40000</v>
      </c>
      <c r="R10" s="67" t="s">
        <v>872</v>
      </c>
      <c r="S10" s="68">
        <f>40866.67</f>
        <v>40866.67</v>
      </c>
      <c r="T10" s="65">
        <f>11415</f>
        <v>11415</v>
      </c>
      <c r="U10" s="65">
        <f>3</f>
        <v>3</v>
      </c>
      <c r="V10" s="65">
        <f>465266650</f>
        <v>465266650</v>
      </c>
      <c r="W10" s="65">
        <f>121400</f>
        <v>121400</v>
      </c>
      <c r="X10" s="69">
        <f>21</f>
        <v>21</v>
      </c>
    </row>
    <row r="11" spans="1:24">
      <c r="A11" s="60" t="s">
        <v>931</v>
      </c>
      <c r="B11" s="60" t="s">
        <v>60</v>
      </c>
      <c r="C11" s="60" t="s">
        <v>61</v>
      </c>
      <c r="D11" s="60" t="s">
        <v>62</v>
      </c>
      <c r="E11" s="61" t="s">
        <v>46</v>
      </c>
      <c r="F11" s="62" t="s">
        <v>46</v>
      </c>
      <c r="G11" s="63" t="s">
        <v>46</v>
      </c>
      <c r="H11" s="64"/>
      <c r="I11" s="64" t="s">
        <v>47</v>
      </c>
      <c r="J11" s="65">
        <v>10</v>
      </c>
      <c r="K11" s="66">
        <f>892</f>
        <v>892</v>
      </c>
      <c r="L11" s="67" t="s">
        <v>857</v>
      </c>
      <c r="M11" s="66">
        <f>920</f>
        <v>920</v>
      </c>
      <c r="N11" s="67" t="s">
        <v>131</v>
      </c>
      <c r="O11" s="66">
        <f>874</f>
        <v>874</v>
      </c>
      <c r="P11" s="67" t="s">
        <v>371</v>
      </c>
      <c r="Q11" s="66">
        <f>911</f>
        <v>911</v>
      </c>
      <c r="R11" s="67" t="s">
        <v>872</v>
      </c>
      <c r="S11" s="68">
        <f>899.57</f>
        <v>899.57</v>
      </c>
      <c r="T11" s="65">
        <f>70500</f>
        <v>70500</v>
      </c>
      <c r="U11" s="65" t="str">
        <f>"－"</f>
        <v>－</v>
      </c>
      <c r="V11" s="65">
        <f>63239230</f>
        <v>63239230</v>
      </c>
      <c r="W11" s="65" t="str">
        <f>"－"</f>
        <v>－</v>
      </c>
      <c r="X11" s="69">
        <f>21</f>
        <v>21</v>
      </c>
    </row>
    <row r="12" spans="1:24">
      <c r="A12" s="60" t="s">
        <v>931</v>
      </c>
      <c r="B12" s="60" t="s">
        <v>63</v>
      </c>
      <c r="C12" s="60" t="s">
        <v>64</v>
      </c>
      <c r="D12" s="60" t="s">
        <v>65</v>
      </c>
      <c r="E12" s="61" t="s">
        <v>46</v>
      </c>
      <c r="F12" s="62" t="s">
        <v>46</v>
      </c>
      <c r="G12" s="63" t="s">
        <v>46</v>
      </c>
      <c r="H12" s="64"/>
      <c r="I12" s="64" t="s">
        <v>47</v>
      </c>
      <c r="J12" s="65">
        <v>1</v>
      </c>
      <c r="K12" s="66">
        <f>21090</f>
        <v>21090</v>
      </c>
      <c r="L12" s="67" t="s">
        <v>857</v>
      </c>
      <c r="M12" s="66">
        <f>21390</f>
        <v>21390</v>
      </c>
      <c r="N12" s="67" t="s">
        <v>131</v>
      </c>
      <c r="O12" s="66">
        <f>20090</f>
        <v>20090</v>
      </c>
      <c r="P12" s="67" t="s">
        <v>874</v>
      </c>
      <c r="Q12" s="66">
        <f>20850</f>
        <v>20850</v>
      </c>
      <c r="R12" s="67" t="s">
        <v>872</v>
      </c>
      <c r="S12" s="68">
        <f>20913.81</f>
        <v>20913.810000000001</v>
      </c>
      <c r="T12" s="65">
        <f>1248</f>
        <v>1248</v>
      </c>
      <c r="U12" s="65">
        <f>6</f>
        <v>6</v>
      </c>
      <c r="V12" s="65">
        <f>25853580</f>
        <v>25853580</v>
      </c>
      <c r="W12" s="65">
        <f>126720</f>
        <v>126720</v>
      </c>
      <c r="X12" s="69">
        <f>21</f>
        <v>21</v>
      </c>
    </row>
    <row r="13" spans="1:24">
      <c r="A13" s="60" t="s">
        <v>931</v>
      </c>
      <c r="B13" s="60" t="s">
        <v>66</v>
      </c>
      <c r="C13" s="60" t="s">
        <v>67</v>
      </c>
      <c r="D13" s="60" t="s">
        <v>68</v>
      </c>
      <c r="E13" s="61" t="s">
        <v>46</v>
      </c>
      <c r="F13" s="62" t="s">
        <v>46</v>
      </c>
      <c r="G13" s="63" t="s">
        <v>46</v>
      </c>
      <c r="H13" s="64"/>
      <c r="I13" s="64" t="s">
        <v>47</v>
      </c>
      <c r="J13" s="65">
        <v>10</v>
      </c>
      <c r="K13" s="66">
        <f>3955</f>
        <v>3955</v>
      </c>
      <c r="L13" s="67" t="s">
        <v>857</v>
      </c>
      <c r="M13" s="66">
        <f>4295</f>
        <v>4295</v>
      </c>
      <c r="N13" s="67" t="s">
        <v>77</v>
      </c>
      <c r="O13" s="66">
        <f>3815</f>
        <v>3815</v>
      </c>
      <c r="P13" s="67" t="s">
        <v>73</v>
      </c>
      <c r="Q13" s="66">
        <f>3940</f>
        <v>3940</v>
      </c>
      <c r="R13" s="67" t="s">
        <v>872</v>
      </c>
      <c r="S13" s="68">
        <f>4101.88</f>
        <v>4101.88</v>
      </c>
      <c r="T13" s="65">
        <f>3580</f>
        <v>3580</v>
      </c>
      <c r="U13" s="65" t="str">
        <f>"－"</f>
        <v>－</v>
      </c>
      <c r="V13" s="65">
        <f>14564450</f>
        <v>14564450</v>
      </c>
      <c r="W13" s="65" t="str">
        <f>"－"</f>
        <v>－</v>
      </c>
      <c r="X13" s="69">
        <f>16</f>
        <v>16</v>
      </c>
    </row>
    <row r="14" spans="1:24">
      <c r="A14" s="60" t="s">
        <v>931</v>
      </c>
      <c r="B14" s="60" t="s">
        <v>70</v>
      </c>
      <c r="C14" s="60" t="s">
        <v>71</v>
      </c>
      <c r="D14" s="60" t="s">
        <v>72</v>
      </c>
      <c r="E14" s="61" t="s">
        <v>46</v>
      </c>
      <c r="F14" s="62" t="s">
        <v>46</v>
      </c>
      <c r="G14" s="63" t="s">
        <v>46</v>
      </c>
      <c r="H14" s="64"/>
      <c r="I14" s="64" t="s">
        <v>47</v>
      </c>
      <c r="J14" s="65">
        <v>1000</v>
      </c>
      <c r="K14" s="66">
        <f>364</f>
        <v>364</v>
      </c>
      <c r="L14" s="67" t="s">
        <v>857</v>
      </c>
      <c r="M14" s="66">
        <f>375</f>
        <v>375</v>
      </c>
      <c r="N14" s="67" t="s">
        <v>875</v>
      </c>
      <c r="O14" s="66">
        <f>360</f>
        <v>360</v>
      </c>
      <c r="P14" s="67" t="s">
        <v>371</v>
      </c>
      <c r="Q14" s="66">
        <f>375</f>
        <v>375</v>
      </c>
      <c r="R14" s="67" t="s">
        <v>872</v>
      </c>
      <c r="S14" s="68">
        <f>370.67</f>
        <v>370.67</v>
      </c>
      <c r="T14" s="65">
        <f>125000</f>
        <v>125000</v>
      </c>
      <c r="U14" s="65">
        <f>2000</f>
        <v>2000</v>
      </c>
      <c r="V14" s="65">
        <f>46244000</f>
        <v>46244000</v>
      </c>
      <c r="W14" s="65">
        <f>739000</f>
        <v>739000</v>
      </c>
      <c r="X14" s="69">
        <f>21</f>
        <v>21</v>
      </c>
    </row>
    <row r="15" spans="1:24">
      <c r="A15" s="60" t="s">
        <v>931</v>
      </c>
      <c r="B15" s="60" t="s">
        <v>74</v>
      </c>
      <c r="C15" s="60" t="s">
        <v>75</v>
      </c>
      <c r="D15" s="60" t="s">
        <v>76</v>
      </c>
      <c r="E15" s="61" t="s">
        <v>46</v>
      </c>
      <c r="F15" s="62" t="s">
        <v>46</v>
      </c>
      <c r="G15" s="63" t="s">
        <v>46</v>
      </c>
      <c r="H15" s="64"/>
      <c r="I15" s="64" t="s">
        <v>47</v>
      </c>
      <c r="J15" s="65">
        <v>1</v>
      </c>
      <c r="K15" s="66">
        <f>28180</f>
        <v>28180</v>
      </c>
      <c r="L15" s="67" t="s">
        <v>857</v>
      </c>
      <c r="M15" s="66">
        <f>28920</f>
        <v>28920</v>
      </c>
      <c r="N15" s="67" t="s">
        <v>131</v>
      </c>
      <c r="O15" s="66">
        <f>27580</f>
        <v>27580</v>
      </c>
      <c r="P15" s="67" t="s">
        <v>371</v>
      </c>
      <c r="Q15" s="66">
        <f>28740</f>
        <v>28740</v>
      </c>
      <c r="R15" s="67" t="s">
        <v>872</v>
      </c>
      <c r="S15" s="68">
        <f>28326.19</f>
        <v>28326.19</v>
      </c>
      <c r="T15" s="65">
        <f>727055</f>
        <v>727055</v>
      </c>
      <c r="U15" s="65">
        <f>71745</f>
        <v>71745</v>
      </c>
      <c r="V15" s="65">
        <f>20624631215</f>
        <v>20624631215</v>
      </c>
      <c r="W15" s="65">
        <f>2060505065</f>
        <v>2060505065</v>
      </c>
      <c r="X15" s="69">
        <f>21</f>
        <v>21</v>
      </c>
    </row>
    <row r="16" spans="1:24">
      <c r="A16" s="60" t="s">
        <v>931</v>
      </c>
      <c r="B16" s="60" t="s">
        <v>78</v>
      </c>
      <c r="C16" s="60" t="s">
        <v>79</v>
      </c>
      <c r="D16" s="60" t="s">
        <v>80</v>
      </c>
      <c r="E16" s="61" t="s">
        <v>46</v>
      </c>
      <c r="F16" s="62" t="s">
        <v>46</v>
      </c>
      <c r="G16" s="63" t="s">
        <v>46</v>
      </c>
      <c r="H16" s="64"/>
      <c r="I16" s="64" t="s">
        <v>47</v>
      </c>
      <c r="J16" s="65">
        <v>1</v>
      </c>
      <c r="K16" s="66">
        <f>28240</f>
        <v>28240</v>
      </c>
      <c r="L16" s="67" t="s">
        <v>857</v>
      </c>
      <c r="M16" s="66">
        <f>28980</f>
        <v>28980</v>
      </c>
      <c r="N16" s="67" t="s">
        <v>131</v>
      </c>
      <c r="O16" s="66">
        <f>27640</f>
        <v>27640</v>
      </c>
      <c r="P16" s="67" t="s">
        <v>371</v>
      </c>
      <c r="Q16" s="66">
        <f>28790</f>
        <v>28790</v>
      </c>
      <c r="R16" s="67" t="s">
        <v>872</v>
      </c>
      <c r="S16" s="68">
        <f>28386.19</f>
        <v>28386.19</v>
      </c>
      <c r="T16" s="65">
        <f>4136283</f>
        <v>4136283</v>
      </c>
      <c r="U16" s="65">
        <f>268308</f>
        <v>268308</v>
      </c>
      <c r="V16" s="65">
        <f>117302590405</f>
        <v>117302590405</v>
      </c>
      <c r="W16" s="65">
        <f>7554003735</f>
        <v>7554003735</v>
      </c>
      <c r="X16" s="69">
        <f>21</f>
        <v>21</v>
      </c>
    </row>
    <row r="17" spans="1:24">
      <c r="A17" s="60" t="s">
        <v>931</v>
      </c>
      <c r="B17" s="60" t="s">
        <v>81</v>
      </c>
      <c r="C17" s="60" t="s">
        <v>82</v>
      </c>
      <c r="D17" s="60" t="s">
        <v>83</v>
      </c>
      <c r="E17" s="61" t="s">
        <v>46</v>
      </c>
      <c r="F17" s="62" t="s">
        <v>46</v>
      </c>
      <c r="G17" s="63" t="s">
        <v>46</v>
      </c>
      <c r="H17" s="64"/>
      <c r="I17" s="64" t="s">
        <v>47</v>
      </c>
      <c r="J17" s="65">
        <v>10</v>
      </c>
      <c r="K17" s="66">
        <f>7740</f>
        <v>7740</v>
      </c>
      <c r="L17" s="67" t="s">
        <v>857</v>
      </c>
      <c r="M17" s="66">
        <f>8300</f>
        <v>8300</v>
      </c>
      <c r="N17" s="67" t="s">
        <v>131</v>
      </c>
      <c r="O17" s="66">
        <f>7710</f>
        <v>7710</v>
      </c>
      <c r="P17" s="67" t="s">
        <v>371</v>
      </c>
      <c r="Q17" s="66">
        <f>7840</f>
        <v>7840</v>
      </c>
      <c r="R17" s="67" t="s">
        <v>872</v>
      </c>
      <c r="S17" s="68">
        <f>7991.43</f>
        <v>7991.43</v>
      </c>
      <c r="T17" s="65">
        <f>16520</f>
        <v>16520</v>
      </c>
      <c r="U17" s="65" t="str">
        <f>"－"</f>
        <v>－</v>
      </c>
      <c r="V17" s="65">
        <f>131473900</f>
        <v>131473900</v>
      </c>
      <c r="W17" s="65" t="str">
        <f>"－"</f>
        <v>－</v>
      </c>
      <c r="X17" s="69">
        <f>21</f>
        <v>21</v>
      </c>
    </row>
    <row r="18" spans="1:24">
      <c r="A18" s="60" t="s">
        <v>931</v>
      </c>
      <c r="B18" s="60" t="s">
        <v>85</v>
      </c>
      <c r="C18" s="60" t="s">
        <v>86</v>
      </c>
      <c r="D18" s="60" t="s">
        <v>87</v>
      </c>
      <c r="E18" s="61" t="s">
        <v>46</v>
      </c>
      <c r="F18" s="62" t="s">
        <v>46</v>
      </c>
      <c r="G18" s="63" t="s">
        <v>46</v>
      </c>
      <c r="H18" s="64"/>
      <c r="I18" s="64" t="s">
        <v>47</v>
      </c>
      <c r="J18" s="65">
        <v>100</v>
      </c>
      <c r="K18" s="66">
        <f>494</f>
        <v>494</v>
      </c>
      <c r="L18" s="67" t="s">
        <v>857</v>
      </c>
      <c r="M18" s="66">
        <f>505</f>
        <v>505</v>
      </c>
      <c r="N18" s="67" t="s">
        <v>84</v>
      </c>
      <c r="O18" s="66">
        <f>460</f>
        <v>460</v>
      </c>
      <c r="P18" s="67" t="s">
        <v>371</v>
      </c>
      <c r="Q18" s="66">
        <f>494</f>
        <v>494</v>
      </c>
      <c r="R18" s="67" t="s">
        <v>872</v>
      </c>
      <c r="S18" s="68">
        <f>486.38</f>
        <v>486.38</v>
      </c>
      <c r="T18" s="65">
        <f>106000</f>
        <v>106000</v>
      </c>
      <c r="U18" s="65" t="str">
        <f>"－"</f>
        <v>－</v>
      </c>
      <c r="V18" s="65">
        <f>51379800</f>
        <v>51379800</v>
      </c>
      <c r="W18" s="65" t="str">
        <f>"－"</f>
        <v>－</v>
      </c>
      <c r="X18" s="69">
        <f>21</f>
        <v>21</v>
      </c>
    </row>
    <row r="19" spans="1:24">
      <c r="A19" s="60" t="s">
        <v>931</v>
      </c>
      <c r="B19" s="60" t="s">
        <v>89</v>
      </c>
      <c r="C19" s="60" t="s">
        <v>90</v>
      </c>
      <c r="D19" s="60" t="s">
        <v>91</v>
      </c>
      <c r="E19" s="61" t="s">
        <v>46</v>
      </c>
      <c r="F19" s="62" t="s">
        <v>46</v>
      </c>
      <c r="G19" s="63" t="s">
        <v>46</v>
      </c>
      <c r="H19" s="64"/>
      <c r="I19" s="64" t="s">
        <v>47</v>
      </c>
      <c r="J19" s="65">
        <v>100</v>
      </c>
      <c r="K19" s="66">
        <f>158</f>
        <v>158</v>
      </c>
      <c r="L19" s="67" t="s">
        <v>857</v>
      </c>
      <c r="M19" s="66">
        <f>163</f>
        <v>163</v>
      </c>
      <c r="N19" s="67" t="s">
        <v>873</v>
      </c>
      <c r="O19" s="66">
        <f>154</f>
        <v>154</v>
      </c>
      <c r="P19" s="67" t="s">
        <v>874</v>
      </c>
      <c r="Q19" s="66">
        <f>161</f>
        <v>161</v>
      </c>
      <c r="R19" s="67" t="s">
        <v>872</v>
      </c>
      <c r="S19" s="68">
        <f>158.19</f>
        <v>158.19</v>
      </c>
      <c r="T19" s="65">
        <f>409300</f>
        <v>409300</v>
      </c>
      <c r="U19" s="65" t="str">
        <f>"－"</f>
        <v>－</v>
      </c>
      <c r="V19" s="65">
        <f>64819800</f>
        <v>64819800</v>
      </c>
      <c r="W19" s="65" t="str">
        <f>"－"</f>
        <v>－</v>
      </c>
      <c r="X19" s="69">
        <f>21</f>
        <v>21</v>
      </c>
    </row>
    <row r="20" spans="1:24">
      <c r="A20" s="60" t="s">
        <v>931</v>
      </c>
      <c r="B20" s="60" t="s">
        <v>93</v>
      </c>
      <c r="C20" s="60" t="s">
        <v>94</v>
      </c>
      <c r="D20" s="60" t="s">
        <v>95</v>
      </c>
      <c r="E20" s="61" t="s">
        <v>46</v>
      </c>
      <c r="F20" s="62" t="s">
        <v>46</v>
      </c>
      <c r="G20" s="63" t="s">
        <v>46</v>
      </c>
      <c r="H20" s="64"/>
      <c r="I20" s="64" t="s">
        <v>47</v>
      </c>
      <c r="J20" s="65">
        <v>100</v>
      </c>
      <c r="K20" s="66">
        <f>192</f>
        <v>192</v>
      </c>
      <c r="L20" s="67" t="s">
        <v>857</v>
      </c>
      <c r="M20" s="66">
        <f>193</f>
        <v>193</v>
      </c>
      <c r="N20" s="67" t="s">
        <v>858</v>
      </c>
      <c r="O20" s="66">
        <f>171</f>
        <v>171</v>
      </c>
      <c r="P20" s="67" t="s">
        <v>371</v>
      </c>
      <c r="Q20" s="66">
        <f>182</f>
        <v>182</v>
      </c>
      <c r="R20" s="67" t="s">
        <v>872</v>
      </c>
      <c r="S20" s="68">
        <f>184.38</f>
        <v>184.38</v>
      </c>
      <c r="T20" s="65">
        <f>329100</f>
        <v>329100</v>
      </c>
      <c r="U20" s="65">
        <f>100</f>
        <v>100</v>
      </c>
      <c r="V20" s="65">
        <f>60271100</f>
        <v>60271100</v>
      </c>
      <c r="W20" s="65">
        <f>18300</f>
        <v>18300</v>
      </c>
      <c r="X20" s="69">
        <f>21</f>
        <v>21</v>
      </c>
    </row>
    <row r="21" spans="1:24">
      <c r="A21" s="60" t="s">
        <v>931</v>
      </c>
      <c r="B21" s="60" t="s">
        <v>97</v>
      </c>
      <c r="C21" s="60" t="s">
        <v>98</v>
      </c>
      <c r="D21" s="60" t="s">
        <v>99</v>
      </c>
      <c r="E21" s="61" t="s">
        <v>46</v>
      </c>
      <c r="F21" s="62" t="s">
        <v>46</v>
      </c>
      <c r="G21" s="63" t="s">
        <v>46</v>
      </c>
      <c r="H21" s="64"/>
      <c r="I21" s="64" t="s">
        <v>47</v>
      </c>
      <c r="J21" s="65">
        <v>1</v>
      </c>
      <c r="K21" s="66">
        <f>18630</f>
        <v>18630</v>
      </c>
      <c r="L21" s="67" t="s">
        <v>857</v>
      </c>
      <c r="M21" s="66">
        <f>18710</f>
        <v>18710</v>
      </c>
      <c r="N21" s="67" t="s">
        <v>873</v>
      </c>
      <c r="O21" s="66">
        <f>17850</f>
        <v>17850</v>
      </c>
      <c r="P21" s="67" t="s">
        <v>860</v>
      </c>
      <c r="Q21" s="66">
        <f>18650</f>
        <v>18650</v>
      </c>
      <c r="R21" s="67" t="s">
        <v>872</v>
      </c>
      <c r="S21" s="68">
        <f>18372.86</f>
        <v>18372.86</v>
      </c>
      <c r="T21" s="65">
        <f>153733</f>
        <v>153733</v>
      </c>
      <c r="U21" s="65" t="str">
        <f>"－"</f>
        <v>－</v>
      </c>
      <c r="V21" s="65">
        <f>2811691810</f>
        <v>2811691810</v>
      </c>
      <c r="W21" s="65" t="str">
        <f>"－"</f>
        <v>－</v>
      </c>
      <c r="X21" s="69">
        <f>21</f>
        <v>21</v>
      </c>
    </row>
    <row r="22" spans="1:24">
      <c r="A22" s="60" t="s">
        <v>931</v>
      </c>
      <c r="B22" s="60" t="s">
        <v>101</v>
      </c>
      <c r="C22" s="60" t="s">
        <v>102</v>
      </c>
      <c r="D22" s="60" t="s">
        <v>103</v>
      </c>
      <c r="E22" s="61" t="s">
        <v>46</v>
      </c>
      <c r="F22" s="62" t="s">
        <v>46</v>
      </c>
      <c r="G22" s="63" t="s">
        <v>46</v>
      </c>
      <c r="H22" s="64"/>
      <c r="I22" s="64" t="s">
        <v>47</v>
      </c>
      <c r="J22" s="65">
        <v>1</v>
      </c>
      <c r="K22" s="66">
        <f>3965</f>
        <v>3965</v>
      </c>
      <c r="L22" s="67" t="s">
        <v>857</v>
      </c>
      <c r="M22" s="66">
        <f>4030</f>
        <v>4030</v>
      </c>
      <c r="N22" s="67" t="s">
        <v>857</v>
      </c>
      <c r="O22" s="66">
        <f>3730</f>
        <v>3730</v>
      </c>
      <c r="P22" s="67" t="s">
        <v>371</v>
      </c>
      <c r="Q22" s="66">
        <f>4010</f>
        <v>4010</v>
      </c>
      <c r="R22" s="67" t="s">
        <v>872</v>
      </c>
      <c r="S22" s="68">
        <f>3929.05</f>
        <v>3929.05</v>
      </c>
      <c r="T22" s="65">
        <f>3783</f>
        <v>3783</v>
      </c>
      <c r="U22" s="65" t="str">
        <f>"－"</f>
        <v>－</v>
      </c>
      <c r="V22" s="65">
        <f>14766160</f>
        <v>14766160</v>
      </c>
      <c r="W22" s="65" t="str">
        <f>"－"</f>
        <v>－</v>
      </c>
      <c r="X22" s="69">
        <f>21</f>
        <v>21</v>
      </c>
    </row>
    <row r="23" spans="1:24">
      <c r="A23" s="60" t="s">
        <v>931</v>
      </c>
      <c r="B23" s="60" t="s">
        <v>104</v>
      </c>
      <c r="C23" s="60" t="s">
        <v>105</v>
      </c>
      <c r="D23" s="60" t="s">
        <v>106</v>
      </c>
      <c r="E23" s="61" t="s">
        <v>46</v>
      </c>
      <c r="F23" s="62" t="s">
        <v>46</v>
      </c>
      <c r="G23" s="63" t="s">
        <v>46</v>
      </c>
      <c r="H23" s="64"/>
      <c r="I23" s="64" t="s">
        <v>47</v>
      </c>
      <c r="J23" s="65">
        <v>10</v>
      </c>
      <c r="K23" s="66">
        <f>5060</f>
        <v>5060</v>
      </c>
      <c r="L23" s="67" t="s">
        <v>857</v>
      </c>
      <c r="M23" s="66">
        <f>5070</f>
        <v>5070</v>
      </c>
      <c r="N23" s="67" t="s">
        <v>873</v>
      </c>
      <c r="O23" s="66">
        <f>4835</f>
        <v>4835</v>
      </c>
      <c r="P23" s="67" t="s">
        <v>860</v>
      </c>
      <c r="Q23" s="66">
        <f>5060</f>
        <v>5060</v>
      </c>
      <c r="R23" s="67" t="s">
        <v>872</v>
      </c>
      <c r="S23" s="68">
        <f>4973.33</f>
        <v>4973.33</v>
      </c>
      <c r="T23" s="65">
        <f>477510</f>
        <v>477510</v>
      </c>
      <c r="U23" s="65" t="str">
        <f>"－"</f>
        <v>－</v>
      </c>
      <c r="V23" s="65">
        <f>2347176300</f>
        <v>2347176300</v>
      </c>
      <c r="W23" s="65" t="str">
        <f>"－"</f>
        <v>－</v>
      </c>
      <c r="X23" s="69">
        <f>21</f>
        <v>21</v>
      </c>
    </row>
    <row r="24" spans="1:24">
      <c r="A24" s="60" t="s">
        <v>931</v>
      </c>
      <c r="B24" s="60" t="s">
        <v>107</v>
      </c>
      <c r="C24" s="60" t="s">
        <v>108</v>
      </c>
      <c r="D24" s="60" t="s">
        <v>109</v>
      </c>
      <c r="E24" s="61" t="s">
        <v>46</v>
      </c>
      <c r="F24" s="62" t="s">
        <v>46</v>
      </c>
      <c r="G24" s="63" t="s">
        <v>46</v>
      </c>
      <c r="H24" s="64"/>
      <c r="I24" s="64" t="s">
        <v>47</v>
      </c>
      <c r="J24" s="65">
        <v>1</v>
      </c>
      <c r="K24" s="66">
        <f>28580</f>
        <v>28580</v>
      </c>
      <c r="L24" s="67" t="s">
        <v>857</v>
      </c>
      <c r="M24" s="66">
        <f>29110</f>
        <v>29110</v>
      </c>
      <c r="N24" s="67" t="s">
        <v>131</v>
      </c>
      <c r="O24" s="66">
        <f>27760</f>
        <v>27760</v>
      </c>
      <c r="P24" s="67" t="s">
        <v>371</v>
      </c>
      <c r="Q24" s="66">
        <f>28930</f>
        <v>28930</v>
      </c>
      <c r="R24" s="67" t="s">
        <v>872</v>
      </c>
      <c r="S24" s="68">
        <f>28545.71</f>
        <v>28545.71</v>
      </c>
      <c r="T24" s="65">
        <f>469231</f>
        <v>469231</v>
      </c>
      <c r="U24" s="65">
        <f>57343</f>
        <v>57343</v>
      </c>
      <c r="V24" s="65">
        <f>13380623971</f>
        <v>13380623971</v>
      </c>
      <c r="W24" s="65">
        <f>1636354221</f>
        <v>1636354221</v>
      </c>
      <c r="X24" s="69">
        <f>21</f>
        <v>21</v>
      </c>
    </row>
    <row r="25" spans="1:24">
      <c r="A25" s="60" t="s">
        <v>931</v>
      </c>
      <c r="B25" s="60" t="s">
        <v>110</v>
      </c>
      <c r="C25" s="60" t="s">
        <v>111</v>
      </c>
      <c r="D25" s="60" t="s">
        <v>112</v>
      </c>
      <c r="E25" s="61" t="s">
        <v>46</v>
      </c>
      <c r="F25" s="62" t="s">
        <v>46</v>
      </c>
      <c r="G25" s="63" t="s">
        <v>46</v>
      </c>
      <c r="H25" s="64"/>
      <c r="I25" s="64" t="s">
        <v>47</v>
      </c>
      <c r="J25" s="65">
        <v>10</v>
      </c>
      <c r="K25" s="66">
        <f>28300</f>
        <v>28300</v>
      </c>
      <c r="L25" s="67" t="s">
        <v>857</v>
      </c>
      <c r="M25" s="66">
        <f>29040</f>
        <v>29040</v>
      </c>
      <c r="N25" s="67" t="s">
        <v>131</v>
      </c>
      <c r="O25" s="66">
        <f>27680</f>
        <v>27680</v>
      </c>
      <c r="P25" s="67" t="s">
        <v>371</v>
      </c>
      <c r="Q25" s="66">
        <f>28850</f>
        <v>28850</v>
      </c>
      <c r="R25" s="67" t="s">
        <v>872</v>
      </c>
      <c r="S25" s="68">
        <f>28442.86</f>
        <v>28442.86</v>
      </c>
      <c r="T25" s="65">
        <f>643000</f>
        <v>643000</v>
      </c>
      <c r="U25" s="65">
        <f>53710</f>
        <v>53710</v>
      </c>
      <c r="V25" s="65">
        <f>18313366175</f>
        <v>18313366175</v>
      </c>
      <c r="W25" s="65">
        <f>1541093675</f>
        <v>1541093675</v>
      </c>
      <c r="X25" s="69">
        <f>21</f>
        <v>21</v>
      </c>
    </row>
    <row r="26" spans="1:24">
      <c r="A26" s="60" t="s">
        <v>931</v>
      </c>
      <c r="B26" s="60" t="s">
        <v>113</v>
      </c>
      <c r="C26" s="60" t="s">
        <v>114</v>
      </c>
      <c r="D26" s="60" t="s">
        <v>115</v>
      </c>
      <c r="E26" s="61" t="s">
        <v>46</v>
      </c>
      <c r="F26" s="62" t="s">
        <v>46</v>
      </c>
      <c r="G26" s="63" t="s">
        <v>46</v>
      </c>
      <c r="H26" s="64"/>
      <c r="I26" s="64" t="s">
        <v>47</v>
      </c>
      <c r="J26" s="65">
        <v>10</v>
      </c>
      <c r="K26" s="66">
        <f>2331</f>
        <v>2331</v>
      </c>
      <c r="L26" s="67" t="s">
        <v>857</v>
      </c>
      <c r="M26" s="66">
        <f>2354</f>
        <v>2354</v>
      </c>
      <c r="N26" s="67" t="s">
        <v>84</v>
      </c>
      <c r="O26" s="66">
        <f>2225</f>
        <v>2225</v>
      </c>
      <c r="P26" s="67" t="s">
        <v>240</v>
      </c>
      <c r="Q26" s="66">
        <f>2302</f>
        <v>2302</v>
      </c>
      <c r="R26" s="67" t="s">
        <v>872</v>
      </c>
      <c r="S26" s="68">
        <f>2289.24</f>
        <v>2289.2399999999998</v>
      </c>
      <c r="T26" s="65">
        <f>7870090</f>
        <v>7870090</v>
      </c>
      <c r="U26" s="65">
        <f>1908960</f>
        <v>1908960</v>
      </c>
      <c r="V26" s="65">
        <f>18047999891</f>
        <v>18047999891</v>
      </c>
      <c r="W26" s="65">
        <f>4370989351</f>
        <v>4370989351</v>
      </c>
      <c r="X26" s="69">
        <f>21</f>
        <v>21</v>
      </c>
    </row>
    <row r="27" spans="1:24">
      <c r="A27" s="60" t="s">
        <v>931</v>
      </c>
      <c r="B27" s="60" t="s">
        <v>116</v>
      </c>
      <c r="C27" s="60" t="s">
        <v>117</v>
      </c>
      <c r="D27" s="60" t="s">
        <v>118</v>
      </c>
      <c r="E27" s="61" t="s">
        <v>46</v>
      </c>
      <c r="F27" s="62" t="s">
        <v>46</v>
      </c>
      <c r="G27" s="63" t="s">
        <v>46</v>
      </c>
      <c r="H27" s="64" t="s">
        <v>540</v>
      </c>
      <c r="I27" s="64" t="s">
        <v>47</v>
      </c>
      <c r="J27" s="65">
        <v>10</v>
      </c>
      <c r="K27" s="66">
        <f>872</f>
        <v>872</v>
      </c>
      <c r="L27" s="67" t="s">
        <v>857</v>
      </c>
      <c r="M27" s="66">
        <f>896</f>
        <v>896</v>
      </c>
      <c r="N27" s="67" t="s">
        <v>131</v>
      </c>
      <c r="O27" s="66">
        <f>851</f>
        <v>851</v>
      </c>
      <c r="P27" s="67" t="s">
        <v>371</v>
      </c>
      <c r="Q27" s="66">
        <f>889</f>
        <v>889</v>
      </c>
      <c r="R27" s="67" t="s">
        <v>872</v>
      </c>
      <c r="S27" s="68">
        <f>877.43</f>
        <v>877.43</v>
      </c>
      <c r="T27" s="65">
        <f>63120</f>
        <v>63120</v>
      </c>
      <c r="U27" s="65" t="str">
        <f>"－"</f>
        <v>－</v>
      </c>
      <c r="V27" s="65">
        <f>55108970</f>
        <v>55108970</v>
      </c>
      <c r="W27" s="65" t="str">
        <f>"－"</f>
        <v>－</v>
      </c>
      <c r="X27" s="69">
        <f>21</f>
        <v>21</v>
      </c>
    </row>
    <row r="28" spans="1:24">
      <c r="A28" s="60" t="s">
        <v>931</v>
      </c>
      <c r="B28" s="60" t="s">
        <v>119</v>
      </c>
      <c r="C28" s="60" t="s">
        <v>120</v>
      </c>
      <c r="D28" s="60" t="s">
        <v>121</v>
      </c>
      <c r="E28" s="61" t="s">
        <v>46</v>
      </c>
      <c r="F28" s="62" t="s">
        <v>46</v>
      </c>
      <c r="G28" s="63" t="s">
        <v>46</v>
      </c>
      <c r="H28" s="64"/>
      <c r="I28" s="64" t="s">
        <v>47</v>
      </c>
      <c r="J28" s="65">
        <v>100</v>
      </c>
      <c r="K28" s="66">
        <f>2186</f>
        <v>2186</v>
      </c>
      <c r="L28" s="67" t="s">
        <v>857</v>
      </c>
      <c r="M28" s="66">
        <f>2214</f>
        <v>2214</v>
      </c>
      <c r="N28" s="67" t="s">
        <v>84</v>
      </c>
      <c r="O28" s="66">
        <f>2109</f>
        <v>2109</v>
      </c>
      <c r="P28" s="67" t="s">
        <v>240</v>
      </c>
      <c r="Q28" s="66">
        <f>2180</f>
        <v>2180</v>
      </c>
      <c r="R28" s="67" t="s">
        <v>872</v>
      </c>
      <c r="S28" s="68">
        <f>2166.1</f>
        <v>2166.1</v>
      </c>
      <c r="T28" s="65">
        <f>1690700</f>
        <v>1690700</v>
      </c>
      <c r="U28" s="65">
        <f>326600</f>
        <v>326600</v>
      </c>
      <c r="V28" s="65">
        <f>3649011951</f>
        <v>3649011951</v>
      </c>
      <c r="W28" s="65">
        <f>705073851</f>
        <v>705073851</v>
      </c>
      <c r="X28" s="69">
        <f>21</f>
        <v>21</v>
      </c>
    </row>
    <row r="29" spans="1:24">
      <c r="A29" s="60" t="s">
        <v>931</v>
      </c>
      <c r="B29" s="60" t="s">
        <v>122</v>
      </c>
      <c r="C29" s="60" t="s">
        <v>123</v>
      </c>
      <c r="D29" s="60" t="s">
        <v>124</v>
      </c>
      <c r="E29" s="61" t="s">
        <v>46</v>
      </c>
      <c r="F29" s="62" t="s">
        <v>46</v>
      </c>
      <c r="G29" s="63" t="s">
        <v>46</v>
      </c>
      <c r="H29" s="64"/>
      <c r="I29" s="64" t="s">
        <v>47</v>
      </c>
      <c r="J29" s="65">
        <v>1</v>
      </c>
      <c r="K29" s="66">
        <f>28370</f>
        <v>28370</v>
      </c>
      <c r="L29" s="67" t="s">
        <v>857</v>
      </c>
      <c r="M29" s="66">
        <f>29120</f>
        <v>29120</v>
      </c>
      <c r="N29" s="67" t="s">
        <v>131</v>
      </c>
      <c r="O29" s="66">
        <f>27780</f>
        <v>27780</v>
      </c>
      <c r="P29" s="67" t="s">
        <v>371</v>
      </c>
      <c r="Q29" s="66">
        <f>28940</f>
        <v>28940</v>
      </c>
      <c r="R29" s="67" t="s">
        <v>872</v>
      </c>
      <c r="S29" s="68">
        <f>28522.86</f>
        <v>28522.86</v>
      </c>
      <c r="T29" s="65">
        <f>388389</f>
        <v>388389</v>
      </c>
      <c r="U29" s="65">
        <f>36029</f>
        <v>36029</v>
      </c>
      <c r="V29" s="65">
        <f>11101949880</f>
        <v>11101949880</v>
      </c>
      <c r="W29" s="65">
        <f>1037422530</f>
        <v>1037422530</v>
      </c>
      <c r="X29" s="69">
        <f>21</f>
        <v>21</v>
      </c>
    </row>
    <row r="30" spans="1:24">
      <c r="A30" s="60" t="s">
        <v>931</v>
      </c>
      <c r="B30" s="60" t="s">
        <v>125</v>
      </c>
      <c r="C30" s="60" t="s">
        <v>126</v>
      </c>
      <c r="D30" s="60" t="s">
        <v>127</v>
      </c>
      <c r="E30" s="61" t="s">
        <v>46</v>
      </c>
      <c r="F30" s="62" t="s">
        <v>46</v>
      </c>
      <c r="G30" s="63" t="s">
        <v>46</v>
      </c>
      <c r="H30" s="64"/>
      <c r="I30" s="64" t="s">
        <v>47</v>
      </c>
      <c r="J30" s="65">
        <v>10</v>
      </c>
      <c r="K30" s="66">
        <f>1984</f>
        <v>1984</v>
      </c>
      <c r="L30" s="67" t="s">
        <v>857</v>
      </c>
      <c r="M30" s="66">
        <f>2034</f>
        <v>2034</v>
      </c>
      <c r="N30" s="67" t="s">
        <v>131</v>
      </c>
      <c r="O30" s="66">
        <f>1937</f>
        <v>1937</v>
      </c>
      <c r="P30" s="67" t="s">
        <v>371</v>
      </c>
      <c r="Q30" s="66">
        <f>2025</f>
        <v>2025</v>
      </c>
      <c r="R30" s="67" t="s">
        <v>872</v>
      </c>
      <c r="S30" s="68">
        <f>1992.95</f>
        <v>1992.95</v>
      </c>
      <c r="T30" s="65">
        <f>3507140</f>
        <v>3507140</v>
      </c>
      <c r="U30" s="65">
        <f>315700</f>
        <v>315700</v>
      </c>
      <c r="V30" s="65">
        <f>7001194530</f>
        <v>7001194530</v>
      </c>
      <c r="W30" s="65">
        <f>632347950</f>
        <v>632347950</v>
      </c>
      <c r="X30" s="69">
        <f>21</f>
        <v>21</v>
      </c>
    </row>
    <row r="31" spans="1:24">
      <c r="A31" s="60" t="s">
        <v>931</v>
      </c>
      <c r="B31" s="60" t="s">
        <v>128</v>
      </c>
      <c r="C31" s="60" t="s">
        <v>129</v>
      </c>
      <c r="D31" s="60" t="s">
        <v>130</v>
      </c>
      <c r="E31" s="61" t="s">
        <v>46</v>
      </c>
      <c r="F31" s="62" t="s">
        <v>46</v>
      </c>
      <c r="G31" s="63" t="s">
        <v>46</v>
      </c>
      <c r="H31" s="64"/>
      <c r="I31" s="64" t="s">
        <v>47</v>
      </c>
      <c r="J31" s="65">
        <v>1</v>
      </c>
      <c r="K31" s="66">
        <f>13270</f>
        <v>13270</v>
      </c>
      <c r="L31" s="67" t="s">
        <v>857</v>
      </c>
      <c r="M31" s="66">
        <f>13390</f>
        <v>13390</v>
      </c>
      <c r="N31" s="67" t="s">
        <v>131</v>
      </c>
      <c r="O31" s="66">
        <f>13160</f>
        <v>13160</v>
      </c>
      <c r="P31" s="67" t="s">
        <v>855</v>
      </c>
      <c r="Q31" s="66">
        <f>13390</f>
        <v>13390</v>
      </c>
      <c r="R31" s="67" t="s">
        <v>872</v>
      </c>
      <c r="S31" s="68">
        <f>13282</f>
        <v>13282</v>
      </c>
      <c r="T31" s="65">
        <f>880</f>
        <v>880</v>
      </c>
      <c r="U31" s="65" t="str">
        <f>"－"</f>
        <v>－</v>
      </c>
      <c r="V31" s="65">
        <f>11682050</f>
        <v>11682050</v>
      </c>
      <c r="W31" s="65" t="str">
        <f>"－"</f>
        <v>－</v>
      </c>
      <c r="X31" s="69">
        <f>20</f>
        <v>20</v>
      </c>
    </row>
    <row r="32" spans="1:24">
      <c r="A32" s="60" t="s">
        <v>931</v>
      </c>
      <c r="B32" s="60" t="s">
        <v>133</v>
      </c>
      <c r="C32" s="60" t="s">
        <v>134</v>
      </c>
      <c r="D32" s="60" t="s">
        <v>135</v>
      </c>
      <c r="E32" s="61" t="s">
        <v>46</v>
      </c>
      <c r="F32" s="62" t="s">
        <v>46</v>
      </c>
      <c r="G32" s="63" t="s">
        <v>46</v>
      </c>
      <c r="H32" s="64"/>
      <c r="I32" s="64" t="s">
        <v>47</v>
      </c>
      <c r="J32" s="65">
        <v>10</v>
      </c>
      <c r="K32" s="66">
        <f>1173</f>
        <v>1173</v>
      </c>
      <c r="L32" s="67" t="s">
        <v>857</v>
      </c>
      <c r="M32" s="66">
        <f>1221</f>
        <v>1221</v>
      </c>
      <c r="N32" s="67" t="s">
        <v>371</v>
      </c>
      <c r="O32" s="66">
        <f>1106</f>
        <v>1106</v>
      </c>
      <c r="P32" s="67" t="s">
        <v>872</v>
      </c>
      <c r="Q32" s="66">
        <f>1116</f>
        <v>1116</v>
      </c>
      <c r="R32" s="67" t="s">
        <v>872</v>
      </c>
      <c r="S32" s="68">
        <f>1154.95</f>
        <v>1154.95</v>
      </c>
      <c r="T32" s="65">
        <f>7010020</f>
        <v>7010020</v>
      </c>
      <c r="U32" s="65">
        <f>6320</f>
        <v>6320</v>
      </c>
      <c r="V32" s="65">
        <f>8082002220</f>
        <v>8082002220</v>
      </c>
      <c r="W32" s="65">
        <f>7293890</f>
        <v>7293890</v>
      </c>
      <c r="X32" s="69">
        <f>21</f>
        <v>21</v>
      </c>
    </row>
    <row r="33" spans="1:24">
      <c r="A33" s="60" t="s">
        <v>931</v>
      </c>
      <c r="B33" s="60" t="s">
        <v>136</v>
      </c>
      <c r="C33" s="60" t="s">
        <v>137</v>
      </c>
      <c r="D33" s="60" t="s">
        <v>138</v>
      </c>
      <c r="E33" s="61" t="s">
        <v>46</v>
      </c>
      <c r="F33" s="62" t="s">
        <v>46</v>
      </c>
      <c r="G33" s="63" t="s">
        <v>46</v>
      </c>
      <c r="H33" s="64"/>
      <c r="I33" s="64" t="s">
        <v>47</v>
      </c>
      <c r="J33" s="65">
        <v>1</v>
      </c>
      <c r="K33" s="66">
        <f>450</f>
        <v>450</v>
      </c>
      <c r="L33" s="67" t="s">
        <v>857</v>
      </c>
      <c r="M33" s="66">
        <f>469</f>
        <v>469</v>
      </c>
      <c r="N33" s="67" t="s">
        <v>371</v>
      </c>
      <c r="O33" s="66">
        <f>427</f>
        <v>427</v>
      </c>
      <c r="P33" s="67" t="s">
        <v>131</v>
      </c>
      <c r="Q33" s="66">
        <f>431</f>
        <v>431</v>
      </c>
      <c r="R33" s="67" t="s">
        <v>872</v>
      </c>
      <c r="S33" s="68">
        <f>444.71</f>
        <v>444.71</v>
      </c>
      <c r="T33" s="65">
        <f>1031458257</f>
        <v>1031458257</v>
      </c>
      <c r="U33" s="65">
        <f>339808</f>
        <v>339808</v>
      </c>
      <c r="V33" s="65">
        <f>459959541745</f>
        <v>459959541745</v>
      </c>
      <c r="W33" s="65">
        <f>154163076</f>
        <v>154163076</v>
      </c>
      <c r="X33" s="69">
        <f>21</f>
        <v>21</v>
      </c>
    </row>
    <row r="34" spans="1:24">
      <c r="A34" s="60" t="s">
        <v>931</v>
      </c>
      <c r="B34" s="60" t="s">
        <v>139</v>
      </c>
      <c r="C34" s="60" t="s">
        <v>140</v>
      </c>
      <c r="D34" s="60" t="s">
        <v>141</v>
      </c>
      <c r="E34" s="61" t="s">
        <v>46</v>
      </c>
      <c r="F34" s="62" t="s">
        <v>46</v>
      </c>
      <c r="G34" s="63" t="s">
        <v>46</v>
      </c>
      <c r="H34" s="64"/>
      <c r="I34" s="64" t="s">
        <v>47</v>
      </c>
      <c r="J34" s="65">
        <v>1</v>
      </c>
      <c r="K34" s="66">
        <f>26630</f>
        <v>26630</v>
      </c>
      <c r="L34" s="67" t="s">
        <v>857</v>
      </c>
      <c r="M34" s="66">
        <f>28060</f>
        <v>28060</v>
      </c>
      <c r="N34" s="67" t="s">
        <v>131</v>
      </c>
      <c r="O34" s="66">
        <f>25500</f>
        <v>25500</v>
      </c>
      <c r="P34" s="67" t="s">
        <v>371</v>
      </c>
      <c r="Q34" s="66">
        <f>27650</f>
        <v>27650</v>
      </c>
      <c r="R34" s="67" t="s">
        <v>872</v>
      </c>
      <c r="S34" s="68">
        <f>26900.48</f>
        <v>26900.48</v>
      </c>
      <c r="T34" s="65">
        <f>375196</f>
        <v>375196</v>
      </c>
      <c r="U34" s="65">
        <f>2</f>
        <v>2</v>
      </c>
      <c r="V34" s="65">
        <f>10082898000</f>
        <v>10082898000</v>
      </c>
      <c r="W34" s="65">
        <f>55210</f>
        <v>55210</v>
      </c>
      <c r="X34" s="69">
        <f>21</f>
        <v>21</v>
      </c>
    </row>
    <row r="35" spans="1:24">
      <c r="A35" s="60" t="s">
        <v>931</v>
      </c>
      <c r="B35" s="60" t="s">
        <v>142</v>
      </c>
      <c r="C35" s="60" t="s">
        <v>143</v>
      </c>
      <c r="D35" s="60" t="s">
        <v>144</v>
      </c>
      <c r="E35" s="61" t="s">
        <v>46</v>
      </c>
      <c r="F35" s="62" t="s">
        <v>46</v>
      </c>
      <c r="G35" s="63" t="s">
        <v>46</v>
      </c>
      <c r="H35" s="64"/>
      <c r="I35" s="64" t="s">
        <v>47</v>
      </c>
      <c r="J35" s="65">
        <v>10</v>
      </c>
      <c r="K35" s="66">
        <f>1102</f>
        <v>1102</v>
      </c>
      <c r="L35" s="67" t="s">
        <v>857</v>
      </c>
      <c r="M35" s="66">
        <f>1146</f>
        <v>1146</v>
      </c>
      <c r="N35" s="67" t="s">
        <v>371</v>
      </c>
      <c r="O35" s="66">
        <f>1043</f>
        <v>1043</v>
      </c>
      <c r="P35" s="67" t="s">
        <v>131</v>
      </c>
      <c r="Q35" s="66">
        <f>1050</f>
        <v>1050</v>
      </c>
      <c r="R35" s="67" t="s">
        <v>872</v>
      </c>
      <c r="S35" s="68">
        <f>1086.48</f>
        <v>1086.48</v>
      </c>
      <c r="T35" s="65">
        <f>285237590</f>
        <v>285237590</v>
      </c>
      <c r="U35" s="65">
        <f>1130</f>
        <v>1130</v>
      </c>
      <c r="V35" s="65">
        <f>310725453659</f>
        <v>310725453659</v>
      </c>
      <c r="W35" s="65">
        <f>1223139</f>
        <v>1223139</v>
      </c>
      <c r="X35" s="69">
        <f>21</f>
        <v>21</v>
      </c>
    </row>
    <row r="36" spans="1:24">
      <c r="A36" s="60" t="s">
        <v>931</v>
      </c>
      <c r="B36" s="60" t="s">
        <v>145</v>
      </c>
      <c r="C36" s="60" t="s">
        <v>146</v>
      </c>
      <c r="D36" s="60" t="s">
        <v>147</v>
      </c>
      <c r="E36" s="61" t="s">
        <v>46</v>
      </c>
      <c r="F36" s="62" t="s">
        <v>46</v>
      </c>
      <c r="G36" s="63" t="s">
        <v>46</v>
      </c>
      <c r="H36" s="64"/>
      <c r="I36" s="64" t="s">
        <v>47</v>
      </c>
      <c r="J36" s="65">
        <v>1</v>
      </c>
      <c r="K36" s="66">
        <f>17730</f>
        <v>17730</v>
      </c>
      <c r="L36" s="67" t="s">
        <v>857</v>
      </c>
      <c r="M36" s="66">
        <f>18080</f>
        <v>18080</v>
      </c>
      <c r="N36" s="67" t="s">
        <v>92</v>
      </c>
      <c r="O36" s="66">
        <f>17230</f>
        <v>17230</v>
      </c>
      <c r="P36" s="67" t="s">
        <v>371</v>
      </c>
      <c r="Q36" s="66">
        <f>17960</f>
        <v>17960</v>
      </c>
      <c r="R36" s="67" t="s">
        <v>872</v>
      </c>
      <c r="S36" s="68">
        <f>17690.48</f>
        <v>17690.48</v>
      </c>
      <c r="T36" s="65">
        <f>6313</f>
        <v>6313</v>
      </c>
      <c r="U36" s="65" t="str">
        <f>"－"</f>
        <v>－</v>
      </c>
      <c r="V36" s="65">
        <f>111167190</f>
        <v>111167190</v>
      </c>
      <c r="W36" s="65" t="str">
        <f>"－"</f>
        <v>－</v>
      </c>
      <c r="X36" s="69">
        <f>21</f>
        <v>21</v>
      </c>
    </row>
    <row r="37" spans="1:24">
      <c r="A37" s="60" t="s">
        <v>931</v>
      </c>
      <c r="B37" s="60" t="s">
        <v>148</v>
      </c>
      <c r="C37" s="60" t="s">
        <v>149</v>
      </c>
      <c r="D37" s="60" t="s">
        <v>150</v>
      </c>
      <c r="E37" s="61" t="s">
        <v>46</v>
      </c>
      <c r="F37" s="62" t="s">
        <v>46</v>
      </c>
      <c r="G37" s="63" t="s">
        <v>46</v>
      </c>
      <c r="H37" s="64"/>
      <c r="I37" s="64" t="s">
        <v>47</v>
      </c>
      <c r="J37" s="65">
        <v>1</v>
      </c>
      <c r="K37" s="66">
        <f>22140</f>
        <v>22140</v>
      </c>
      <c r="L37" s="67" t="s">
        <v>857</v>
      </c>
      <c r="M37" s="66">
        <f>23330</f>
        <v>23330</v>
      </c>
      <c r="N37" s="67" t="s">
        <v>131</v>
      </c>
      <c r="O37" s="66">
        <f>21180</f>
        <v>21180</v>
      </c>
      <c r="P37" s="67" t="s">
        <v>371</v>
      </c>
      <c r="Q37" s="66">
        <f>23000</f>
        <v>23000</v>
      </c>
      <c r="R37" s="67" t="s">
        <v>872</v>
      </c>
      <c r="S37" s="68">
        <f>22359.05</f>
        <v>22359.05</v>
      </c>
      <c r="T37" s="65">
        <f>878547</f>
        <v>878547</v>
      </c>
      <c r="U37" s="65">
        <f>5</f>
        <v>5</v>
      </c>
      <c r="V37" s="65">
        <f>19631389710</f>
        <v>19631389710</v>
      </c>
      <c r="W37" s="65">
        <f>111160</f>
        <v>111160</v>
      </c>
      <c r="X37" s="69">
        <f>21</f>
        <v>21</v>
      </c>
    </row>
    <row r="38" spans="1:24">
      <c r="A38" s="60" t="s">
        <v>931</v>
      </c>
      <c r="B38" s="60" t="s">
        <v>151</v>
      </c>
      <c r="C38" s="60" t="s">
        <v>152</v>
      </c>
      <c r="D38" s="60" t="s">
        <v>153</v>
      </c>
      <c r="E38" s="61" t="s">
        <v>46</v>
      </c>
      <c r="F38" s="62" t="s">
        <v>46</v>
      </c>
      <c r="G38" s="63" t="s">
        <v>46</v>
      </c>
      <c r="H38" s="64"/>
      <c r="I38" s="64" t="s">
        <v>47</v>
      </c>
      <c r="J38" s="65">
        <v>1</v>
      </c>
      <c r="K38" s="66">
        <f>1177</f>
        <v>1177</v>
      </c>
      <c r="L38" s="67" t="s">
        <v>857</v>
      </c>
      <c r="M38" s="66">
        <f>1224</f>
        <v>1224</v>
      </c>
      <c r="N38" s="67" t="s">
        <v>371</v>
      </c>
      <c r="O38" s="66">
        <f>1115</f>
        <v>1115</v>
      </c>
      <c r="P38" s="67" t="s">
        <v>131</v>
      </c>
      <c r="Q38" s="66">
        <f>1122</f>
        <v>1122</v>
      </c>
      <c r="R38" s="67" t="s">
        <v>872</v>
      </c>
      <c r="S38" s="68">
        <f>1161.43</f>
        <v>1161.43</v>
      </c>
      <c r="T38" s="65">
        <f>9740738</f>
        <v>9740738</v>
      </c>
      <c r="U38" s="65">
        <f>10</f>
        <v>10</v>
      </c>
      <c r="V38" s="65">
        <f>11336343923</f>
        <v>11336343923</v>
      </c>
      <c r="W38" s="65">
        <f>11640</f>
        <v>11640</v>
      </c>
      <c r="X38" s="69">
        <f>21</f>
        <v>21</v>
      </c>
    </row>
    <row r="39" spans="1:24">
      <c r="A39" s="60" t="s">
        <v>931</v>
      </c>
      <c r="B39" s="60" t="s">
        <v>154</v>
      </c>
      <c r="C39" s="60" t="s">
        <v>155</v>
      </c>
      <c r="D39" s="60" t="s">
        <v>156</v>
      </c>
      <c r="E39" s="61" t="s">
        <v>46</v>
      </c>
      <c r="F39" s="62" t="s">
        <v>46</v>
      </c>
      <c r="G39" s="63" t="s">
        <v>46</v>
      </c>
      <c r="H39" s="64"/>
      <c r="I39" s="64" t="s">
        <v>47</v>
      </c>
      <c r="J39" s="65">
        <v>1</v>
      </c>
      <c r="K39" s="66">
        <f>18020</f>
        <v>18020</v>
      </c>
      <c r="L39" s="67" t="s">
        <v>857</v>
      </c>
      <c r="M39" s="66">
        <f>18990</f>
        <v>18990</v>
      </c>
      <c r="N39" s="67" t="s">
        <v>131</v>
      </c>
      <c r="O39" s="66">
        <f>17220</f>
        <v>17220</v>
      </c>
      <c r="P39" s="67" t="s">
        <v>371</v>
      </c>
      <c r="Q39" s="66">
        <f>18780</f>
        <v>18780</v>
      </c>
      <c r="R39" s="67" t="s">
        <v>872</v>
      </c>
      <c r="S39" s="68">
        <f>18231.43</f>
        <v>18231.43</v>
      </c>
      <c r="T39" s="65">
        <f>290180</f>
        <v>290180</v>
      </c>
      <c r="U39" s="65">
        <f>111</f>
        <v>111</v>
      </c>
      <c r="V39" s="65">
        <f>5278067090</f>
        <v>5278067090</v>
      </c>
      <c r="W39" s="65">
        <f>2051880</f>
        <v>2051880</v>
      </c>
      <c r="X39" s="69">
        <f>21</f>
        <v>21</v>
      </c>
    </row>
    <row r="40" spans="1:24">
      <c r="A40" s="60" t="s">
        <v>931</v>
      </c>
      <c r="B40" s="60" t="s">
        <v>157</v>
      </c>
      <c r="C40" s="60" t="s">
        <v>158</v>
      </c>
      <c r="D40" s="60" t="s">
        <v>159</v>
      </c>
      <c r="E40" s="61" t="s">
        <v>46</v>
      </c>
      <c r="F40" s="62" t="s">
        <v>46</v>
      </c>
      <c r="G40" s="63" t="s">
        <v>46</v>
      </c>
      <c r="H40" s="64"/>
      <c r="I40" s="64" t="s">
        <v>47</v>
      </c>
      <c r="J40" s="65">
        <v>1</v>
      </c>
      <c r="K40" s="66">
        <f>1698</f>
        <v>1698</v>
      </c>
      <c r="L40" s="67" t="s">
        <v>857</v>
      </c>
      <c r="M40" s="66">
        <f>1770</f>
        <v>1770</v>
      </c>
      <c r="N40" s="67" t="s">
        <v>371</v>
      </c>
      <c r="O40" s="66">
        <f>1602</f>
        <v>1602</v>
      </c>
      <c r="P40" s="67" t="s">
        <v>872</v>
      </c>
      <c r="Q40" s="66">
        <f>1619</f>
        <v>1619</v>
      </c>
      <c r="R40" s="67" t="s">
        <v>872</v>
      </c>
      <c r="S40" s="68">
        <f>1672.86</f>
        <v>1672.86</v>
      </c>
      <c r="T40" s="65">
        <f>1702175</f>
        <v>1702175</v>
      </c>
      <c r="U40" s="65">
        <f>1083</f>
        <v>1083</v>
      </c>
      <c r="V40" s="65">
        <f>2855988193</f>
        <v>2855988193</v>
      </c>
      <c r="W40" s="65">
        <f>1797966</f>
        <v>1797966</v>
      </c>
      <c r="X40" s="69">
        <f>21</f>
        <v>21</v>
      </c>
    </row>
    <row r="41" spans="1:24">
      <c r="A41" s="60" t="s">
        <v>931</v>
      </c>
      <c r="B41" s="60" t="s">
        <v>160</v>
      </c>
      <c r="C41" s="60" t="s">
        <v>161</v>
      </c>
      <c r="D41" s="60" t="s">
        <v>162</v>
      </c>
      <c r="E41" s="61" t="s">
        <v>46</v>
      </c>
      <c r="F41" s="62" t="s">
        <v>46</v>
      </c>
      <c r="G41" s="63" t="s">
        <v>46</v>
      </c>
      <c r="H41" s="64"/>
      <c r="I41" s="64" t="s">
        <v>47</v>
      </c>
      <c r="J41" s="65">
        <v>1</v>
      </c>
      <c r="K41" s="66">
        <f>27500</f>
        <v>27500</v>
      </c>
      <c r="L41" s="67" t="s">
        <v>857</v>
      </c>
      <c r="M41" s="66">
        <f>28230</f>
        <v>28230</v>
      </c>
      <c r="N41" s="67" t="s">
        <v>131</v>
      </c>
      <c r="O41" s="66">
        <f>26910</f>
        <v>26910</v>
      </c>
      <c r="P41" s="67" t="s">
        <v>371</v>
      </c>
      <c r="Q41" s="66">
        <f>28070</f>
        <v>28070</v>
      </c>
      <c r="R41" s="67" t="s">
        <v>872</v>
      </c>
      <c r="S41" s="68">
        <f>27657.14</f>
        <v>27657.14</v>
      </c>
      <c r="T41" s="65">
        <f>184836</f>
        <v>184836</v>
      </c>
      <c r="U41" s="65">
        <f>47530</f>
        <v>47530</v>
      </c>
      <c r="V41" s="65">
        <f>5107454770</f>
        <v>5107454770</v>
      </c>
      <c r="W41" s="65">
        <f>1303094360</f>
        <v>1303094360</v>
      </c>
      <c r="X41" s="69">
        <f>21</f>
        <v>21</v>
      </c>
    </row>
    <row r="42" spans="1:24">
      <c r="A42" s="60" t="s">
        <v>931</v>
      </c>
      <c r="B42" s="60" t="s">
        <v>163</v>
      </c>
      <c r="C42" s="60" t="s">
        <v>164</v>
      </c>
      <c r="D42" s="60" t="s">
        <v>165</v>
      </c>
      <c r="E42" s="61" t="s">
        <v>46</v>
      </c>
      <c r="F42" s="62" t="s">
        <v>46</v>
      </c>
      <c r="G42" s="63" t="s">
        <v>46</v>
      </c>
      <c r="H42" s="64"/>
      <c r="I42" s="64" t="s">
        <v>47</v>
      </c>
      <c r="J42" s="65">
        <v>1</v>
      </c>
      <c r="K42" s="66">
        <f>5450</f>
        <v>5450</v>
      </c>
      <c r="L42" s="67" t="s">
        <v>857</v>
      </c>
      <c r="M42" s="66">
        <f>5500</f>
        <v>5500</v>
      </c>
      <c r="N42" s="67" t="s">
        <v>131</v>
      </c>
      <c r="O42" s="66">
        <f>5310</f>
        <v>5310</v>
      </c>
      <c r="P42" s="67" t="s">
        <v>371</v>
      </c>
      <c r="Q42" s="66">
        <f>5500</f>
        <v>5500</v>
      </c>
      <c r="R42" s="67" t="s">
        <v>872</v>
      </c>
      <c r="S42" s="68">
        <f>5427.14</f>
        <v>5427.14</v>
      </c>
      <c r="T42" s="65">
        <f>2610</f>
        <v>2610</v>
      </c>
      <c r="U42" s="65" t="str">
        <f>"－"</f>
        <v>－</v>
      </c>
      <c r="V42" s="65">
        <f>14138580</f>
        <v>14138580</v>
      </c>
      <c r="W42" s="65" t="str">
        <f>"－"</f>
        <v>－</v>
      </c>
      <c r="X42" s="69">
        <f>21</f>
        <v>21</v>
      </c>
    </row>
    <row r="43" spans="1:24">
      <c r="A43" s="60" t="s">
        <v>931</v>
      </c>
      <c r="B43" s="60" t="s">
        <v>166</v>
      </c>
      <c r="C43" s="60" t="s">
        <v>167</v>
      </c>
      <c r="D43" s="60" t="s">
        <v>168</v>
      </c>
      <c r="E43" s="61" t="s">
        <v>46</v>
      </c>
      <c r="F43" s="62" t="s">
        <v>46</v>
      </c>
      <c r="G43" s="63" t="s">
        <v>46</v>
      </c>
      <c r="H43" s="64"/>
      <c r="I43" s="64" t="s">
        <v>47</v>
      </c>
      <c r="J43" s="65">
        <v>1</v>
      </c>
      <c r="K43" s="66">
        <f>9880</f>
        <v>9880</v>
      </c>
      <c r="L43" s="67" t="s">
        <v>857</v>
      </c>
      <c r="M43" s="66">
        <f>9940</f>
        <v>9940</v>
      </c>
      <c r="N43" s="67" t="s">
        <v>860</v>
      </c>
      <c r="O43" s="66">
        <f>9750</f>
        <v>9750</v>
      </c>
      <c r="P43" s="67" t="s">
        <v>613</v>
      </c>
      <c r="Q43" s="66">
        <f>9870</f>
        <v>9870</v>
      </c>
      <c r="R43" s="67" t="s">
        <v>872</v>
      </c>
      <c r="S43" s="68">
        <f>9850</f>
        <v>9850</v>
      </c>
      <c r="T43" s="65">
        <f>1568</f>
        <v>1568</v>
      </c>
      <c r="U43" s="65" t="str">
        <f>"－"</f>
        <v>－</v>
      </c>
      <c r="V43" s="65">
        <f>15469210</f>
        <v>15469210</v>
      </c>
      <c r="W43" s="65" t="str">
        <f>"－"</f>
        <v>－</v>
      </c>
      <c r="X43" s="69">
        <f>21</f>
        <v>21</v>
      </c>
    </row>
    <row r="44" spans="1:24">
      <c r="A44" s="60" t="s">
        <v>931</v>
      </c>
      <c r="B44" s="60" t="s">
        <v>169</v>
      </c>
      <c r="C44" s="60" t="s">
        <v>170</v>
      </c>
      <c r="D44" s="60" t="s">
        <v>171</v>
      </c>
      <c r="E44" s="61" t="s">
        <v>46</v>
      </c>
      <c r="F44" s="62" t="s">
        <v>46</v>
      </c>
      <c r="G44" s="63" t="s">
        <v>46</v>
      </c>
      <c r="H44" s="64"/>
      <c r="I44" s="64" t="s">
        <v>47</v>
      </c>
      <c r="J44" s="65">
        <v>1</v>
      </c>
      <c r="K44" s="66">
        <f>19080</f>
        <v>19080</v>
      </c>
      <c r="L44" s="67" t="s">
        <v>857</v>
      </c>
      <c r="M44" s="66">
        <f>19930</f>
        <v>19930</v>
      </c>
      <c r="N44" s="67" t="s">
        <v>872</v>
      </c>
      <c r="O44" s="66">
        <f>18910</f>
        <v>18910</v>
      </c>
      <c r="P44" s="67" t="s">
        <v>371</v>
      </c>
      <c r="Q44" s="66">
        <f>19930</f>
        <v>19930</v>
      </c>
      <c r="R44" s="67" t="s">
        <v>872</v>
      </c>
      <c r="S44" s="68">
        <f>19480.63</f>
        <v>19480.63</v>
      </c>
      <c r="T44" s="65">
        <f>985</f>
        <v>985</v>
      </c>
      <c r="U44" s="65" t="str">
        <f>"－"</f>
        <v>－</v>
      </c>
      <c r="V44" s="65">
        <f>19164340</f>
        <v>19164340</v>
      </c>
      <c r="W44" s="65" t="str">
        <f>"－"</f>
        <v>－</v>
      </c>
      <c r="X44" s="69">
        <f>16</f>
        <v>16</v>
      </c>
    </row>
    <row r="45" spans="1:24">
      <c r="A45" s="60" t="s">
        <v>931</v>
      </c>
      <c r="B45" s="60" t="s">
        <v>173</v>
      </c>
      <c r="C45" s="60" t="s">
        <v>174</v>
      </c>
      <c r="D45" s="60" t="s">
        <v>175</v>
      </c>
      <c r="E45" s="61" t="s">
        <v>46</v>
      </c>
      <c r="F45" s="62" t="s">
        <v>46</v>
      </c>
      <c r="G45" s="63" t="s">
        <v>46</v>
      </c>
      <c r="H45" s="64"/>
      <c r="I45" s="64" t="s">
        <v>47</v>
      </c>
      <c r="J45" s="65">
        <v>1</v>
      </c>
      <c r="K45" s="66">
        <f>16850</f>
        <v>16850</v>
      </c>
      <c r="L45" s="67" t="s">
        <v>131</v>
      </c>
      <c r="M45" s="66">
        <f>17160</f>
        <v>17160</v>
      </c>
      <c r="N45" s="67" t="s">
        <v>854</v>
      </c>
      <c r="O45" s="66">
        <f>16560</f>
        <v>16560</v>
      </c>
      <c r="P45" s="67" t="s">
        <v>856</v>
      </c>
      <c r="Q45" s="66">
        <f>17120</f>
        <v>17120</v>
      </c>
      <c r="R45" s="67" t="s">
        <v>872</v>
      </c>
      <c r="S45" s="68">
        <f>16911.67</f>
        <v>16911.669999999998</v>
      </c>
      <c r="T45" s="65">
        <f>75</f>
        <v>75</v>
      </c>
      <c r="U45" s="65">
        <f>1</f>
        <v>1</v>
      </c>
      <c r="V45" s="65">
        <f>1267550</f>
        <v>1267550</v>
      </c>
      <c r="W45" s="65">
        <f>17140</f>
        <v>17140</v>
      </c>
      <c r="X45" s="69">
        <f>6</f>
        <v>6</v>
      </c>
    </row>
    <row r="46" spans="1:24">
      <c r="A46" s="60" t="s">
        <v>931</v>
      </c>
      <c r="B46" s="60" t="s">
        <v>177</v>
      </c>
      <c r="C46" s="60" t="s">
        <v>178</v>
      </c>
      <c r="D46" s="60" t="s">
        <v>179</v>
      </c>
      <c r="E46" s="61" t="s">
        <v>46</v>
      </c>
      <c r="F46" s="62" t="s">
        <v>46</v>
      </c>
      <c r="G46" s="63" t="s">
        <v>46</v>
      </c>
      <c r="H46" s="64"/>
      <c r="I46" s="64" t="s">
        <v>47</v>
      </c>
      <c r="J46" s="65">
        <v>1</v>
      </c>
      <c r="K46" s="66">
        <f>10000</f>
        <v>10000</v>
      </c>
      <c r="L46" s="67" t="s">
        <v>857</v>
      </c>
      <c r="M46" s="66">
        <f>10200</f>
        <v>10200</v>
      </c>
      <c r="N46" s="67" t="s">
        <v>875</v>
      </c>
      <c r="O46" s="66">
        <f>9760</f>
        <v>9760</v>
      </c>
      <c r="P46" s="67" t="s">
        <v>371</v>
      </c>
      <c r="Q46" s="66">
        <f>10000</f>
        <v>10000</v>
      </c>
      <c r="R46" s="67" t="s">
        <v>872</v>
      </c>
      <c r="S46" s="68">
        <f>9953.33</f>
        <v>9953.33</v>
      </c>
      <c r="T46" s="65">
        <f>2066</f>
        <v>2066</v>
      </c>
      <c r="U46" s="65">
        <f>1</f>
        <v>1</v>
      </c>
      <c r="V46" s="65">
        <f>20596700</f>
        <v>20596700</v>
      </c>
      <c r="W46" s="65">
        <f>9970</f>
        <v>9970</v>
      </c>
      <c r="X46" s="69">
        <f>21</f>
        <v>21</v>
      </c>
    </row>
    <row r="47" spans="1:24">
      <c r="A47" s="60" t="s">
        <v>931</v>
      </c>
      <c r="B47" s="60" t="s">
        <v>180</v>
      </c>
      <c r="C47" s="60" t="s">
        <v>181</v>
      </c>
      <c r="D47" s="60" t="s">
        <v>182</v>
      </c>
      <c r="E47" s="61" t="s">
        <v>46</v>
      </c>
      <c r="F47" s="62" t="s">
        <v>46</v>
      </c>
      <c r="G47" s="63" t="s">
        <v>46</v>
      </c>
      <c r="H47" s="64"/>
      <c r="I47" s="64" t="s">
        <v>47</v>
      </c>
      <c r="J47" s="65">
        <v>1</v>
      </c>
      <c r="K47" s="66">
        <f>6170</f>
        <v>6170</v>
      </c>
      <c r="L47" s="67" t="s">
        <v>857</v>
      </c>
      <c r="M47" s="66">
        <f>6220</f>
        <v>6220</v>
      </c>
      <c r="N47" s="67" t="s">
        <v>48</v>
      </c>
      <c r="O47" s="66">
        <f>5170</f>
        <v>5170</v>
      </c>
      <c r="P47" s="67" t="s">
        <v>874</v>
      </c>
      <c r="Q47" s="66">
        <f>5410</f>
        <v>5410</v>
      </c>
      <c r="R47" s="67" t="s">
        <v>872</v>
      </c>
      <c r="S47" s="68">
        <f>5534.29</f>
        <v>5534.29</v>
      </c>
      <c r="T47" s="65">
        <f>6249</f>
        <v>6249</v>
      </c>
      <c r="U47" s="65" t="str">
        <f>"－"</f>
        <v>－</v>
      </c>
      <c r="V47" s="65">
        <f>34628150</f>
        <v>34628150</v>
      </c>
      <c r="W47" s="65" t="str">
        <f>"－"</f>
        <v>－</v>
      </c>
      <c r="X47" s="69">
        <f>21</f>
        <v>21</v>
      </c>
    </row>
    <row r="48" spans="1:24">
      <c r="A48" s="60" t="s">
        <v>931</v>
      </c>
      <c r="B48" s="60" t="s">
        <v>183</v>
      </c>
      <c r="C48" s="60" t="s">
        <v>184</v>
      </c>
      <c r="D48" s="60" t="s">
        <v>185</v>
      </c>
      <c r="E48" s="61" t="s">
        <v>46</v>
      </c>
      <c r="F48" s="62" t="s">
        <v>46</v>
      </c>
      <c r="G48" s="63" t="s">
        <v>46</v>
      </c>
      <c r="H48" s="64"/>
      <c r="I48" s="64" t="s">
        <v>47</v>
      </c>
      <c r="J48" s="65">
        <v>1</v>
      </c>
      <c r="K48" s="66">
        <f>2853</f>
        <v>2853</v>
      </c>
      <c r="L48" s="67" t="s">
        <v>857</v>
      </c>
      <c r="M48" s="66">
        <f>2891</f>
        <v>2891</v>
      </c>
      <c r="N48" s="67" t="s">
        <v>874</v>
      </c>
      <c r="O48" s="66">
        <f>2819</f>
        <v>2819</v>
      </c>
      <c r="P48" s="67" t="s">
        <v>858</v>
      </c>
      <c r="Q48" s="66">
        <f>2880</f>
        <v>2880</v>
      </c>
      <c r="R48" s="67" t="s">
        <v>872</v>
      </c>
      <c r="S48" s="68">
        <f>2851.62</f>
        <v>2851.62</v>
      </c>
      <c r="T48" s="65">
        <f>1999</f>
        <v>1999</v>
      </c>
      <c r="U48" s="65" t="str">
        <f>"－"</f>
        <v>－</v>
      </c>
      <c r="V48" s="65">
        <f>5703380</f>
        <v>5703380</v>
      </c>
      <c r="W48" s="65" t="str">
        <f>"－"</f>
        <v>－</v>
      </c>
      <c r="X48" s="69">
        <f>21</f>
        <v>21</v>
      </c>
    </row>
    <row r="49" spans="1:24">
      <c r="A49" s="60" t="s">
        <v>931</v>
      </c>
      <c r="B49" s="60" t="s">
        <v>186</v>
      </c>
      <c r="C49" s="60" t="s">
        <v>187</v>
      </c>
      <c r="D49" s="60" t="s">
        <v>188</v>
      </c>
      <c r="E49" s="61" t="s">
        <v>46</v>
      </c>
      <c r="F49" s="62" t="s">
        <v>46</v>
      </c>
      <c r="G49" s="63" t="s">
        <v>46</v>
      </c>
      <c r="H49" s="64"/>
      <c r="I49" s="64" t="s">
        <v>47</v>
      </c>
      <c r="J49" s="65">
        <v>1</v>
      </c>
      <c r="K49" s="66">
        <f>2670</f>
        <v>2670</v>
      </c>
      <c r="L49" s="67" t="s">
        <v>857</v>
      </c>
      <c r="M49" s="66">
        <f>2741</f>
        <v>2741</v>
      </c>
      <c r="N49" s="67" t="s">
        <v>92</v>
      </c>
      <c r="O49" s="66">
        <f>2610</f>
        <v>2610</v>
      </c>
      <c r="P49" s="67" t="s">
        <v>371</v>
      </c>
      <c r="Q49" s="66">
        <f>2654</f>
        <v>2654</v>
      </c>
      <c r="R49" s="67" t="s">
        <v>872</v>
      </c>
      <c r="S49" s="68">
        <f>2667</f>
        <v>2667</v>
      </c>
      <c r="T49" s="65">
        <f>3644</f>
        <v>3644</v>
      </c>
      <c r="U49" s="65" t="str">
        <f>"－"</f>
        <v>－</v>
      </c>
      <c r="V49" s="65">
        <f>9723066</f>
        <v>9723066</v>
      </c>
      <c r="W49" s="65" t="str">
        <f>"－"</f>
        <v>－</v>
      </c>
      <c r="X49" s="69">
        <f>21</f>
        <v>21</v>
      </c>
    </row>
    <row r="50" spans="1:24">
      <c r="A50" s="60" t="s">
        <v>931</v>
      </c>
      <c r="B50" s="60" t="s">
        <v>189</v>
      </c>
      <c r="C50" s="60" t="s">
        <v>190</v>
      </c>
      <c r="D50" s="60" t="s">
        <v>191</v>
      </c>
      <c r="E50" s="61" t="s">
        <v>46</v>
      </c>
      <c r="F50" s="62" t="s">
        <v>46</v>
      </c>
      <c r="G50" s="63" t="s">
        <v>46</v>
      </c>
      <c r="H50" s="64"/>
      <c r="I50" s="64" t="s">
        <v>47</v>
      </c>
      <c r="J50" s="65">
        <v>1</v>
      </c>
      <c r="K50" s="66">
        <f>48100</f>
        <v>48100</v>
      </c>
      <c r="L50" s="67" t="s">
        <v>857</v>
      </c>
      <c r="M50" s="66">
        <f>49550</f>
        <v>49550</v>
      </c>
      <c r="N50" s="67" t="s">
        <v>872</v>
      </c>
      <c r="O50" s="66">
        <f>47300</f>
        <v>47300</v>
      </c>
      <c r="P50" s="67" t="s">
        <v>48</v>
      </c>
      <c r="Q50" s="66">
        <f>49550</f>
        <v>49550</v>
      </c>
      <c r="R50" s="67" t="s">
        <v>872</v>
      </c>
      <c r="S50" s="68">
        <f>48855</f>
        <v>48855</v>
      </c>
      <c r="T50" s="65">
        <f>1277</f>
        <v>1277</v>
      </c>
      <c r="U50" s="65">
        <f>1</f>
        <v>1</v>
      </c>
      <c r="V50" s="65">
        <f>62267800</f>
        <v>62267800</v>
      </c>
      <c r="W50" s="65">
        <f>49350</f>
        <v>49350</v>
      </c>
      <c r="X50" s="69">
        <f>20</f>
        <v>20</v>
      </c>
    </row>
    <row r="51" spans="1:24">
      <c r="A51" s="60" t="s">
        <v>931</v>
      </c>
      <c r="B51" s="60" t="s">
        <v>192</v>
      </c>
      <c r="C51" s="60" t="s">
        <v>193</v>
      </c>
      <c r="D51" s="60" t="s">
        <v>194</v>
      </c>
      <c r="E51" s="61" t="s">
        <v>46</v>
      </c>
      <c r="F51" s="62" t="s">
        <v>46</v>
      </c>
      <c r="G51" s="63" t="s">
        <v>46</v>
      </c>
      <c r="H51" s="64"/>
      <c r="I51" s="64" t="s">
        <v>47</v>
      </c>
      <c r="J51" s="65">
        <v>1</v>
      </c>
      <c r="K51" s="66">
        <f>33800</f>
        <v>33800</v>
      </c>
      <c r="L51" s="67" t="s">
        <v>858</v>
      </c>
      <c r="M51" s="66">
        <f>35200</f>
        <v>35200</v>
      </c>
      <c r="N51" s="67" t="s">
        <v>73</v>
      </c>
      <c r="O51" s="66">
        <f>33800</f>
        <v>33800</v>
      </c>
      <c r="P51" s="67" t="s">
        <v>858</v>
      </c>
      <c r="Q51" s="66">
        <f>34850</f>
        <v>34850</v>
      </c>
      <c r="R51" s="67" t="s">
        <v>872</v>
      </c>
      <c r="S51" s="68">
        <f>34646.88</f>
        <v>34646.879999999997</v>
      </c>
      <c r="T51" s="65">
        <f>245</f>
        <v>245</v>
      </c>
      <c r="U51" s="65" t="str">
        <f>"－"</f>
        <v>－</v>
      </c>
      <c r="V51" s="65">
        <f>8516300</f>
        <v>8516300</v>
      </c>
      <c r="W51" s="65" t="str">
        <f>"－"</f>
        <v>－</v>
      </c>
      <c r="X51" s="69">
        <f>16</f>
        <v>16</v>
      </c>
    </row>
    <row r="52" spans="1:24">
      <c r="A52" s="60" t="s">
        <v>931</v>
      </c>
      <c r="B52" s="60" t="s">
        <v>195</v>
      </c>
      <c r="C52" s="60" t="s">
        <v>196</v>
      </c>
      <c r="D52" s="60" t="s">
        <v>197</v>
      </c>
      <c r="E52" s="61" t="s">
        <v>46</v>
      </c>
      <c r="F52" s="62" t="s">
        <v>46</v>
      </c>
      <c r="G52" s="63" t="s">
        <v>46</v>
      </c>
      <c r="H52" s="64"/>
      <c r="I52" s="64" t="s">
        <v>47</v>
      </c>
      <c r="J52" s="65">
        <v>1</v>
      </c>
      <c r="K52" s="66">
        <f>27840</f>
        <v>27840</v>
      </c>
      <c r="L52" s="67" t="s">
        <v>857</v>
      </c>
      <c r="M52" s="66">
        <f>28450</f>
        <v>28450</v>
      </c>
      <c r="N52" s="67" t="s">
        <v>131</v>
      </c>
      <c r="O52" s="66">
        <f>27250</f>
        <v>27250</v>
      </c>
      <c r="P52" s="67" t="s">
        <v>371</v>
      </c>
      <c r="Q52" s="66">
        <f>28380</f>
        <v>28380</v>
      </c>
      <c r="R52" s="67" t="s">
        <v>872</v>
      </c>
      <c r="S52" s="68">
        <f>27942.11</f>
        <v>27942.11</v>
      </c>
      <c r="T52" s="65">
        <f>47625</f>
        <v>47625</v>
      </c>
      <c r="U52" s="65">
        <f>34005</f>
        <v>34005</v>
      </c>
      <c r="V52" s="65">
        <f>1326805551</f>
        <v>1326805551</v>
      </c>
      <c r="W52" s="65">
        <f>947348781</f>
        <v>947348781</v>
      </c>
      <c r="X52" s="69">
        <f>19</f>
        <v>19</v>
      </c>
    </row>
    <row r="53" spans="1:24">
      <c r="A53" s="60" t="s">
        <v>931</v>
      </c>
      <c r="B53" s="60" t="s">
        <v>198</v>
      </c>
      <c r="C53" s="60" t="s">
        <v>199</v>
      </c>
      <c r="D53" s="60" t="s">
        <v>200</v>
      </c>
      <c r="E53" s="61" t="s">
        <v>46</v>
      </c>
      <c r="F53" s="62" t="s">
        <v>46</v>
      </c>
      <c r="G53" s="63" t="s">
        <v>46</v>
      </c>
      <c r="H53" s="64"/>
      <c r="I53" s="64" t="s">
        <v>47</v>
      </c>
      <c r="J53" s="65">
        <v>10</v>
      </c>
      <c r="K53" s="66">
        <f>2217</f>
        <v>2217</v>
      </c>
      <c r="L53" s="67" t="s">
        <v>857</v>
      </c>
      <c r="M53" s="66">
        <f>2249</f>
        <v>2249</v>
      </c>
      <c r="N53" s="67" t="s">
        <v>872</v>
      </c>
      <c r="O53" s="66">
        <f>2127</f>
        <v>2127</v>
      </c>
      <c r="P53" s="67" t="s">
        <v>240</v>
      </c>
      <c r="Q53" s="66">
        <f>2210</f>
        <v>2210</v>
      </c>
      <c r="R53" s="67" t="s">
        <v>872</v>
      </c>
      <c r="S53" s="68">
        <f>2188</f>
        <v>2188</v>
      </c>
      <c r="T53" s="65">
        <f>387680</f>
        <v>387680</v>
      </c>
      <c r="U53" s="65">
        <f>192170</f>
        <v>192170</v>
      </c>
      <c r="V53" s="65">
        <f>847652093</f>
        <v>847652093</v>
      </c>
      <c r="W53" s="65">
        <f>422683453</f>
        <v>422683453</v>
      </c>
      <c r="X53" s="69">
        <f>21</f>
        <v>21</v>
      </c>
    </row>
    <row r="54" spans="1:24">
      <c r="A54" s="60" t="s">
        <v>931</v>
      </c>
      <c r="B54" s="60" t="s">
        <v>201</v>
      </c>
      <c r="C54" s="60" t="s">
        <v>202</v>
      </c>
      <c r="D54" s="60" t="s">
        <v>203</v>
      </c>
      <c r="E54" s="61" t="s">
        <v>46</v>
      </c>
      <c r="F54" s="62" t="s">
        <v>46</v>
      </c>
      <c r="G54" s="63" t="s">
        <v>46</v>
      </c>
      <c r="H54" s="64"/>
      <c r="I54" s="64" t="s">
        <v>47</v>
      </c>
      <c r="J54" s="65">
        <v>10</v>
      </c>
      <c r="K54" s="66">
        <f>1533</f>
        <v>1533</v>
      </c>
      <c r="L54" s="67" t="s">
        <v>857</v>
      </c>
      <c r="M54" s="66">
        <f>1561</f>
        <v>1561</v>
      </c>
      <c r="N54" s="67" t="s">
        <v>131</v>
      </c>
      <c r="O54" s="66">
        <f>1511</f>
        <v>1511</v>
      </c>
      <c r="P54" s="67" t="s">
        <v>371</v>
      </c>
      <c r="Q54" s="66">
        <f>1543</f>
        <v>1543</v>
      </c>
      <c r="R54" s="67" t="s">
        <v>872</v>
      </c>
      <c r="S54" s="68">
        <f>1536.27</f>
        <v>1536.27</v>
      </c>
      <c r="T54" s="65">
        <f>2110</f>
        <v>2110</v>
      </c>
      <c r="U54" s="65">
        <f>10</f>
        <v>10</v>
      </c>
      <c r="V54" s="65">
        <f>3239390</f>
        <v>3239390</v>
      </c>
      <c r="W54" s="65">
        <f>15310</f>
        <v>15310</v>
      </c>
      <c r="X54" s="69">
        <f>15</f>
        <v>15</v>
      </c>
    </row>
    <row r="55" spans="1:24">
      <c r="A55" s="60" t="s">
        <v>931</v>
      </c>
      <c r="B55" s="60" t="s">
        <v>204</v>
      </c>
      <c r="C55" s="60" t="s">
        <v>205</v>
      </c>
      <c r="D55" s="60" t="s">
        <v>206</v>
      </c>
      <c r="E55" s="61" t="s">
        <v>46</v>
      </c>
      <c r="F55" s="62" t="s">
        <v>46</v>
      </c>
      <c r="G55" s="63" t="s">
        <v>46</v>
      </c>
      <c r="H55" s="64"/>
      <c r="I55" s="64" t="s">
        <v>47</v>
      </c>
      <c r="J55" s="65">
        <v>1</v>
      </c>
      <c r="K55" s="66">
        <f>4545</f>
        <v>4545</v>
      </c>
      <c r="L55" s="67" t="s">
        <v>857</v>
      </c>
      <c r="M55" s="66">
        <f>4635</f>
        <v>4635</v>
      </c>
      <c r="N55" s="67" t="s">
        <v>371</v>
      </c>
      <c r="O55" s="66">
        <f>4420</f>
        <v>4420</v>
      </c>
      <c r="P55" s="67" t="s">
        <v>131</v>
      </c>
      <c r="Q55" s="66">
        <f>4435</f>
        <v>4435</v>
      </c>
      <c r="R55" s="67" t="s">
        <v>872</v>
      </c>
      <c r="S55" s="68">
        <f>4512.62</f>
        <v>4512.62</v>
      </c>
      <c r="T55" s="65">
        <f>423394</f>
        <v>423394</v>
      </c>
      <c r="U55" s="65" t="str">
        <f>"－"</f>
        <v>－</v>
      </c>
      <c r="V55" s="65">
        <f>1914825725</f>
        <v>1914825725</v>
      </c>
      <c r="W55" s="65" t="str">
        <f>"－"</f>
        <v>－</v>
      </c>
      <c r="X55" s="69">
        <f>21</f>
        <v>21</v>
      </c>
    </row>
    <row r="56" spans="1:24">
      <c r="A56" s="60" t="s">
        <v>931</v>
      </c>
      <c r="B56" s="60" t="s">
        <v>207</v>
      </c>
      <c r="C56" s="60" t="s">
        <v>208</v>
      </c>
      <c r="D56" s="60" t="s">
        <v>209</v>
      </c>
      <c r="E56" s="61" t="s">
        <v>46</v>
      </c>
      <c r="F56" s="62" t="s">
        <v>46</v>
      </c>
      <c r="G56" s="63" t="s">
        <v>46</v>
      </c>
      <c r="H56" s="64"/>
      <c r="I56" s="64" t="s">
        <v>47</v>
      </c>
      <c r="J56" s="65">
        <v>1</v>
      </c>
      <c r="K56" s="66">
        <f>5390</f>
        <v>5390</v>
      </c>
      <c r="L56" s="67" t="s">
        <v>857</v>
      </c>
      <c r="M56" s="66">
        <f>5490</f>
        <v>5490</v>
      </c>
      <c r="N56" s="67" t="s">
        <v>371</v>
      </c>
      <c r="O56" s="66">
        <f>5240</f>
        <v>5240</v>
      </c>
      <c r="P56" s="67" t="s">
        <v>131</v>
      </c>
      <c r="Q56" s="66">
        <f>5250</f>
        <v>5250</v>
      </c>
      <c r="R56" s="67" t="s">
        <v>872</v>
      </c>
      <c r="S56" s="68">
        <f>5344.76</f>
        <v>5344.76</v>
      </c>
      <c r="T56" s="65">
        <f>202870</f>
        <v>202870</v>
      </c>
      <c r="U56" s="65" t="str">
        <f>"－"</f>
        <v>－</v>
      </c>
      <c r="V56" s="65">
        <f>1082764670</f>
        <v>1082764670</v>
      </c>
      <c r="W56" s="65" t="str">
        <f>"－"</f>
        <v>－</v>
      </c>
      <c r="X56" s="69">
        <f>21</f>
        <v>21</v>
      </c>
    </row>
    <row r="57" spans="1:24">
      <c r="A57" s="60" t="s">
        <v>931</v>
      </c>
      <c r="B57" s="60" t="s">
        <v>210</v>
      </c>
      <c r="C57" s="60" t="s">
        <v>211</v>
      </c>
      <c r="D57" s="60" t="s">
        <v>212</v>
      </c>
      <c r="E57" s="61" t="s">
        <v>46</v>
      </c>
      <c r="F57" s="62" t="s">
        <v>46</v>
      </c>
      <c r="G57" s="63" t="s">
        <v>46</v>
      </c>
      <c r="H57" s="64"/>
      <c r="I57" s="64" t="s">
        <v>47</v>
      </c>
      <c r="J57" s="65">
        <v>1</v>
      </c>
      <c r="K57" s="66">
        <f>16790</f>
        <v>16790</v>
      </c>
      <c r="L57" s="67" t="s">
        <v>857</v>
      </c>
      <c r="M57" s="66">
        <f>17700</f>
        <v>17700</v>
      </c>
      <c r="N57" s="67" t="s">
        <v>131</v>
      </c>
      <c r="O57" s="66">
        <f>16060</f>
        <v>16060</v>
      </c>
      <c r="P57" s="67" t="s">
        <v>371</v>
      </c>
      <c r="Q57" s="66">
        <f>17480</f>
        <v>17480</v>
      </c>
      <c r="R57" s="67" t="s">
        <v>872</v>
      </c>
      <c r="S57" s="68">
        <f>16966.67</f>
        <v>16966.669999999998</v>
      </c>
      <c r="T57" s="65">
        <f>18820910</f>
        <v>18820910</v>
      </c>
      <c r="U57" s="65">
        <f>21</f>
        <v>21</v>
      </c>
      <c r="V57" s="65">
        <f>318316555900</f>
        <v>318316555900</v>
      </c>
      <c r="W57" s="65">
        <f>342680</f>
        <v>342680</v>
      </c>
      <c r="X57" s="69">
        <f>21</f>
        <v>21</v>
      </c>
    </row>
    <row r="58" spans="1:24">
      <c r="A58" s="60" t="s">
        <v>931</v>
      </c>
      <c r="B58" s="60" t="s">
        <v>213</v>
      </c>
      <c r="C58" s="60" t="s">
        <v>214</v>
      </c>
      <c r="D58" s="60" t="s">
        <v>215</v>
      </c>
      <c r="E58" s="61" t="s">
        <v>46</v>
      </c>
      <c r="F58" s="62" t="s">
        <v>46</v>
      </c>
      <c r="G58" s="63" t="s">
        <v>46</v>
      </c>
      <c r="H58" s="64"/>
      <c r="I58" s="64" t="s">
        <v>47</v>
      </c>
      <c r="J58" s="65">
        <v>1</v>
      </c>
      <c r="K58" s="66">
        <f>1801</f>
        <v>1801</v>
      </c>
      <c r="L58" s="67" t="s">
        <v>857</v>
      </c>
      <c r="M58" s="66">
        <f>1873</f>
        <v>1873</v>
      </c>
      <c r="N58" s="67" t="s">
        <v>371</v>
      </c>
      <c r="O58" s="66">
        <f>1706</f>
        <v>1706</v>
      </c>
      <c r="P58" s="67" t="s">
        <v>131</v>
      </c>
      <c r="Q58" s="66">
        <f>1718</f>
        <v>1718</v>
      </c>
      <c r="R58" s="67" t="s">
        <v>872</v>
      </c>
      <c r="S58" s="68">
        <f>1776.76</f>
        <v>1776.76</v>
      </c>
      <c r="T58" s="65">
        <f>148747214</f>
        <v>148747214</v>
      </c>
      <c r="U58" s="65">
        <f>379</f>
        <v>379</v>
      </c>
      <c r="V58" s="65">
        <f>264183855143</f>
        <v>264183855143</v>
      </c>
      <c r="W58" s="65">
        <f>645872</f>
        <v>645872</v>
      </c>
      <c r="X58" s="69">
        <f>21</f>
        <v>21</v>
      </c>
    </row>
    <row r="59" spans="1:24">
      <c r="A59" s="60" t="s">
        <v>931</v>
      </c>
      <c r="B59" s="60" t="s">
        <v>216</v>
      </c>
      <c r="C59" s="60" t="s">
        <v>217</v>
      </c>
      <c r="D59" s="60" t="s">
        <v>218</v>
      </c>
      <c r="E59" s="61" t="s">
        <v>46</v>
      </c>
      <c r="F59" s="62" t="s">
        <v>46</v>
      </c>
      <c r="G59" s="63" t="s">
        <v>46</v>
      </c>
      <c r="H59" s="64" t="s">
        <v>540</v>
      </c>
      <c r="I59" s="64" t="s">
        <v>47</v>
      </c>
      <c r="J59" s="65">
        <v>1</v>
      </c>
      <c r="K59" s="66">
        <f>23810</f>
        <v>23810</v>
      </c>
      <c r="L59" s="67" t="s">
        <v>77</v>
      </c>
      <c r="M59" s="66">
        <f>24960</f>
        <v>24960</v>
      </c>
      <c r="N59" s="67" t="s">
        <v>875</v>
      </c>
      <c r="O59" s="66">
        <f>23550</f>
        <v>23550</v>
      </c>
      <c r="P59" s="67" t="s">
        <v>77</v>
      </c>
      <c r="Q59" s="66">
        <f>24480</f>
        <v>24480</v>
      </c>
      <c r="R59" s="67" t="s">
        <v>872</v>
      </c>
      <c r="S59" s="68">
        <f>24356.92</f>
        <v>24356.92</v>
      </c>
      <c r="T59" s="65">
        <f>116</f>
        <v>116</v>
      </c>
      <c r="U59" s="65">
        <f>1</f>
        <v>1</v>
      </c>
      <c r="V59" s="65">
        <f>2818460</f>
        <v>2818460</v>
      </c>
      <c r="W59" s="65">
        <f>24960</f>
        <v>24960</v>
      </c>
      <c r="X59" s="69">
        <f>13</f>
        <v>13</v>
      </c>
    </row>
    <row r="60" spans="1:24">
      <c r="A60" s="60" t="s">
        <v>931</v>
      </c>
      <c r="B60" s="60" t="s">
        <v>219</v>
      </c>
      <c r="C60" s="60" t="s">
        <v>220</v>
      </c>
      <c r="D60" s="60" t="s">
        <v>221</v>
      </c>
      <c r="E60" s="61" t="s">
        <v>46</v>
      </c>
      <c r="F60" s="62" t="s">
        <v>46</v>
      </c>
      <c r="G60" s="63" t="s">
        <v>46</v>
      </c>
      <c r="H60" s="64"/>
      <c r="I60" s="64" t="s">
        <v>47</v>
      </c>
      <c r="J60" s="65">
        <v>1</v>
      </c>
      <c r="K60" s="66">
        <f>14200</f>
        <v>14200</v>
      </c>
      <c r="L60" s="67" t="s">
        <v>857</v>
      </c>
      <c r="M60" s="66">
        <f>15020</f>
        <v>15020</v>
      </c>
      <c r="N60" s="67" t="s">
        <v>131</v>
      </c>
      <c r="O60" s="66">
        <f>13780</f>
        <v>13780</v>
      </c>
      <c r="P60" s="67" t="s">
        <v>371</v>
      </c>
      <c r="Q60" s="66">
        <f>14780</f>
        <v>14780</v>
      </c>
      <c r="R60" s="67" t="s">
        <v>872</v>
      </c>
      <c r="S60" s="68">
        <f>14448.57</f>
        <v>14448.57</v>
      </c>
      <c r="T60" s="65">
        <f>7202</f>
        <v>7202</v>
      </c>
      <c r="U60" s="65" t="str">
        <f>"－"</f>
        <v>－</v>
      </c>
      <c r="V60" s="65">
        <f>104094570</f>
        <v>104094570</v>
      </c>
      <c r="W60" s="65" t="str">
        <f>"－"</f>
        <v>－</v>
      </c>
      <c r="X60" s="69">
        <f>21</f>
        <v>21</v>
      </c>
    </row>
    <row r="61" spans="1:24">
      <c r="A61" s="60" t="s">
        <v>931</v>
      </c>
      <c r="B61" s="60" t="s">
        <v>222</v>
      </c>
      <c r="C61" s="60" t="s">
        <v>223</v>
      </c>
      <c r="D61" s="60" t="s">
        <v>224</v>
      </c>
      <c r="E61" s="61" t="s">
        <v>46</v>
      </c>
      <c r="F61" s="62" t="s">
        <v>46</v>
      </c>
      <c r="G61" s="63" t="s">
        <v>46</v>
      </c>
      <c r="H61" s="64"/>
      <c r="I61" s="64" t="s">
        <v>47</v>
      </c>
      <c r="J61" s="65">
        <v>1</v>
      </c>
      <c r="K61" s="66">
        <f>5200</f>
        <v>5200</v>
      </c>
      <c r="L61" s="67" t="s">
        <v>48</v>
      </c>
      <c r="M61" s="66">
        <f>5240</f>
        <v>5240</v>
      </c>
      <c r="N61" s="67" t="s">
        <v>73</v>
      </c>
      <c r="O61" s="66">
        <f>5080</f>
        <v>5080</v>
      </c>
      <c r="P61" s="67" t="s">
        <v>872</v>
      </c>
      <c r="Q61" s="66">
        <f>5090</f>
        <v>5090</v>
      </c>
      <c r="R61" s="67" t="s">
        <v>872</v>
      </c>
      <c r="S61" s="68">
        <f>5188.33</f>
        <v>5188.33</v>
      </c>
      <c r="T61" s="65">
        <f>657</f>
        <v>657</v>
      </c>
      <c r="U61" s="65" t="str">
        <f>"－"</f>
        <v>－</v>
      </c>
      <c r="V61" s="65">
        <f>3349360</f>
        <v>3349360</v>
      </c>
      <c r="W61" s="65" t="str">
        <f>"－"</f>
        <v>－</v>
      </c>
      <c r="X61" s="69">
        <f>6</f>
        <v>6</v>
      </c>
    </row>
    <row r="62" spans="1:24">
      <c r="A62" s="60" t="s">
        <v>931</v>
      </c>
      <c r="B62" s="60" t="s">
        <v>225</v>
      </c>
      <c r="C62" s="60" t="s">
        <v>226</v>
      </c>
      <c r="D62" s="60" t="s">
        <v>227</v>
      </c>
      <c r="E62" s="61" t="s">
        <v>46</v>
      </c>
      <c r="F62" s="62" t="s">
        <v>46</v>
      </c>
      <c r="G62" s="63" t="s">
        <v>46</v>
      </c>
      <c r="H62" s="64"/>
      <c r="I62" s="64" t="s">
        <v>47</v>
      </c>
      <c r="J62" s="65">
        <v>1</v>
      </c>
      <c r="K62" s="66">
        <f>2227</f>
        <v>2227</v>
      </c>
      <c r="L62" s="67" t="s">
        <v>857</v>
      </c>
      <c r="M62" s="66">
        <f>2290</f>
        <v>2290</v>
      </c>
      <c r="N62" s="67" t="s">
        <v>371</v>
      </c>
      <c r="O62" s="66">
        <f>2091</f>
        <v>2091</v>
      </c>
      <c r="P62" s="67" t="s">
        <v>872</v>
      </c>
      <c r="Q62" s="66">
        <f>2111</f>
        <v>2111</v>
      </c>
      <c r="R62" s="67" t="s">
        <v>872</v>
      </c>
      <c r="S62" s="68">
        <f>2183.48</f>
        <v>2183.48</v>
      </c>
      <c r="T62" s="65">
        <f>28379</f>
        <v>28379</v>
      </c>
      <c r="U62" s="65" t="str">
        <f>"－"</f>
        <v>－</v>
      </c>
      <c r="V62" s="65">
        <f>61797988</f>
        <v>61797988</v>
      </c>
      <c r="W62" s="65" t="str">
        <f>"－"</f>
        <v>－</v>
      </c>
      <c r="X62" s="69">
        <f>21</f>
        <v>21</v>
      </c>
    </row>
    <row r="63" spans="1:24">
      <c r="A63" s="60" t="s">
        <v>931</v>
      </c>
      <c r="B63" s="60" t="s">
        <v>228</v>
      </c>
      <c r="C63" s="60" t="s">
        <v>229</v>
      </c>
      <c r="D63" s="60" t="s">
        <v>230</v>
      </c>
      <c r="E63" s="61" t="s">
        <v>46</v>
      </c>
      <c r="F63" s="62" t="s">
        <v>46</v>
      </c>
      <c r="G63" s="63" t="s">
        <v>46</v>
      </c>
      <c r="H63" s="64"/>
      <c r="I63" s="64" t="s">
        <v>47</v>
      </c>
      <c r="J63" s="65">
        <v>10</v>
      </c>
      <c r="K63" s="66">
        <f>13390</f>
        <v>13390</v>
      </c>
      <c r="L63" s="67" t="s">
        <v>857</v>
      </c>
      <c r="M63" s="66">
        <f>14000</f>
        <v>14000</v>
      </c>
      <c r="N63" s="67" t="s">
        <v>131</v>
      </c>
      <c r="O63" s="66">
        <f>12790</f>
        <v>12790</v>
      </c>
      <c r="P63" s="67" t="s">
        <v>371</v>
      </c>
      <c r="Q63" s="66">
        <f>13820</f>
        <v>13820</v>
      </c>
      <c r="R63" s="67" t="s">
        <v>872</v>
      </c>
      <c r="S63" s="68">
        <f>13528.1</f>
        <v>13528.1</v>
      </c>
      <c r="T63" s="65">
        <f>2480</f>
        <v>2480</v>
      </c>
      <c r="U63" s="65">
        <f>10</f>
        <v>10</v>
      </c>
      <c r="V63" s="65">
        <f>33645500</f>
        <v>33645500</v>
      </c>
      <c r="W63" s="65">
        <f>136100</f>
        <v>136100</v>
      </c>
      <c r="X63" s="69">
        <f>21</f>
        <v>21</v>
      </c>
    </row>
    <row r="64" spans="1:24">
      <c r="A64" s="60" t="s">
        <v>931</v>
      </c>
      <c r="B64" s="60" t="s">
        <v>231</v>
      </c>
      <c r="C64" s="60" t="s">
        <v>232</v>
      </c>
      <c r="D64" s="60" t="s">
        <v>233</v>
      </c>
      <c r="E64" s="61" t="s">
        <v>46</v>
      </c>
      <c r="F64" s="62" t="s">
        <v>46</v>
      </c>
      <c r="G64" s="63" t="s">
        <v>46</v>
      </c>
      <c r="H64" s="64"/>
      <c r="I64" s="64" t="s">
        <v>47</v>
      </c>
      <c r="J64" s="65">
        <v>10</v>
      </c>
      <c r="K64" s="66">
        <f>5040</f>
        <v>5040</v>
      </c>
      <c r="L64" s="67" t="s">
        <v>860</v>
      </c>
      <c r="M64" s="66">
        <f>5090</f>
        <v>5090</v>
      </c>
      <c r="N64" s="67" t="s">
        <v>371</v>
      </c>
      <c r="O64" s="66">
        <f>4925</f>
        <v>4925</v>
      </c>
      <c r="P64" s="67" t="s">
        <v>131</v>
      </c>
      <c r="Q64" s="66">
        <f>4970</f>
        <v>4970</v>
      </c>
      <c r="R64" s="67" t="s">
        <v>240</v>
      </c>
      <c r="S64" s="68">
        <f>5009.29</f>
        <v>5009.29</v>
      </c>
      <c r="T64" s="65">
        <f>280</f>
        <v>280</v>
      </c>
      <c r="U64" s="65" t="str">
        <f>"－"</f>
        <v>－</v>
      </c>
      <c r="V64" s="65">
        <f>1400750</f>
        <v>1400750</v>
      </c>
      <c r="W64" s="65" t="str">
        <f>"－"</f>
        <v>－</v>
      </c>
      <c r="X64" s="69">
        <f>7</f>
        <v>7</v>
      </c>
    </row>
    <row r="65" spans="1:24">
      <c r="A65" s="60" t="s">
        <v>931</v>
      </c>
      <c r="B65" s="60" t="s">
        <v>234</v>
      </c>
      <c r="C65" s="60" t="s">
        <v>235</v>
      </c>
      <c r="D65" s="60" t="s">
        <v>236</v>
      </c>
      <c r="E65" s="61" t="s">
        <v>46</v>
      </c>
      <c r="F65" s="62" t="s">
        <v>46</v>
      </c>
      <c r="G65" s="63" t="s">
        <v>46</v>
      </c>
      <c r="H65" s="64"/>
      <c r="I65" s="64" t="s">
        <v>47</v>
      </c>
      <c r="J65" s="65">
        <v>10</v>
      </c>
      <c r="K65" s="66">
        <f>2210</f>
        <v>2210</v>
      </c>
      <c r="L65" s="67" t="s">
        <v>857</v>
      </c>
      <c r="M65" s="66">
        <f>2273</f>
        <v>2273</v>
      </c>
      <c r="N65" s="67" t="s">
        <v>855</v>
      </c>
      <c r="O65" s="66">
        <f>2075</f>
        <v>2075</v>
      </c>
      <c r="P65" s="67" t="s">
        <v>872</v>
      </c>
      <c r="Q65" s="66">
        <f>2075</f>
        <v>2075</v>
      </c>
      <c r="R65" s="67" t="s">
        <v>872</v>
      </c>
      <c r="S65" s="68">
        <f>2155.33</f>
        <v>2155.33</v>
      </c>
      <c r="T65" s="65">
        <f>65380</f>
        <v>65380</v>
      </c>
      <c r="U65" s="65" t="str">
        <f>"－"</f>
        <v>－</v>
      </c>
      <c r="V65" s="65">
        <f>142744530</f>
        <v>142744530</v>
      </c>
      <c r="W65" s="65" t="str">
        <f>"－"</f>
        <v>－</v>
      </c>
      <c r="X65" s="69">
        <f>21</f>
        <v>21</v>
      </c>
    </row>
    <row r="66" spans="1:24">
      <c r="A66" s="60" t="s">
        <v>931</v>
      </c>
      <c r="B66" s="60" t="s">
        <v>241</v>
      </c>
      <c r="C66" s="60" t="s">
        <v>242</v>
      </c>
      <c r="D66" s="60" t="s">
        <v>243</v>
      </c>
      <c r="E66" s="61" t="s">
        <v>46</v>
      </c>
      <c r="F66" s="62" t="s">
        <v>46</v>
      </c>
      <c r="G66" s="63" t="s">
        <v>46</v>
      </c>
      <c r="H66" s="64"/>
      <c r="I66" s="64" t="s">
        <v>47</v>
      </c>
      <c r="J66" s="65">
        <v>1</v>
      </c>
      <c r="K66" s="66">
        <f>3445</f>
        <v>3445</v>
      </c>
      <c r="L66" s="67" t="s">
        <v>857</v>
      </c>
      <c r="M66" s="66">
        <f>3490</f>
        <v>3490</v>
      </c>
      <c r="N66" s="67" t="s">
        <v>874</v>
      </c>
      <c r="O66" s="66">
        <f>3305</f>
        <v>3305</v>
      </c>
      <c r="P66" s="67" t="s">
        <v>872</v>
      </c>
      <c r="Q66" s="66">
        <f>3305</f>
        <v>3305</v>
      </c>
      <c r="R66" s="67" t="s">
        <v>872</v>
      </c>
      <c r="S66" s="68">
        <f>3370.95</f>
        <v>3370.95</v>
      </c>
      <c r="T66" s="65">
        <f>2243</f>
        <v>2243</v>
      </c>
      <c r="U66" s="65">
        <f>1</f>
        <v>1</v>
      </c>
      <c r="V66" s="65">
        <f>7601035</f>
        <v>7601035</v>
      </c>
      <c r="W66" s="65">
        <f>3370</f>
        <v>3370</v>
      </c>
      <c r="X66" s="69">
        <f>21</f>
        <v>21</v>
      </c>
    </row>
    <row r="67" spans="1:24">
      <c r="A67" s="60" t="s">
        <v>931</v>
      </c>
      <c r="B67" s="60" t="s">
        <v>244</v>
      </c>
      <c r="C67" s="60" t="s">
        <v>245</v>
      </c>
      <c r="D67" s="60" t="s">
        <v>246</v>
      </c>
      <c r="E67" s="61" t="s">
        <v>46</v>
      </c>
      <c r="F67" s="62" t="s">
        <v>46</v>
      </c>
      <c r="G67" s="63" t="s">
        <v>46</v>
      </c>
      <c r="H67" s="64"/>
      <c r="I67" s="64" t="s">
        <v>47</v>
      </c>
      <c r="J67" s="65">
        <v>1</v>
      </c>
      <c r="K67" s="66">
        <f>896</f>
        <v>896</v>
      </c>
      <c r="L67" s="67" t="s">
        <v>857</v>
      </c>
      <c r="M67" s="66">
        <f>913</f>
        <v>913</v>
      </c>
      <c r="N67" s="67" t="s">
        <v>371</v>
      </c>
      <c r="O67" s="66">
        <f>837</f>
        <v>837</v>
      </c>
      <c r="P67" s="67" t="s">
        <v>872</v>
      </c>
      <c r="Q67" s="66">
        <f>845</f>
        <v>845</v>
      </c>
      <c r="R67" s="67" t="s">
        <v>872</v>
      </c>
      <c r="S67" s="68">
        <f>872.33</f>
        <v>872.33</v>
      </c>
      <c r="T67" s="65">
        <f>80843</f>
        <v>80843</v>
      </c>
      <c r="U67" s="65">
        <f>1</f>
        <v>1</v>
      </c>
      <c r="V67" s="65">
        <f>70028855</f>
        <v>70028855</v>
      </c>
      <c r="W67" s="65">
        <f>873</f>
        <v>873</v>
      </c>
      <c r="X67" s="69">
        <f>21</f>
        <v>21</v>
      </c>
    </row>
    <row r="68" spans="1:24">
      <c r="A68" s="60" t="s">
        <v>931</v>
      </c>
      <c r="B68" s="60" t="s">
        <v>247</v>
      </c>
      <c r="C68" s="60" t="s">
        <v>248</v>
      </c>
      <c r="D68" s="60" t="s">
        <v>249</v>
      </c>
      <c r="E68" s="61" t="s">
        <v>46</v>
      </c>
      <c r="F68" s="62" t="s">
        <v>46</v>
      </c>
      <c r="G68" s="63" t="s">
        <v>46</v>
      </c>
      <c r="H68" s="64"/>
      <c r="I68" s="64" t="s">
        <v>47</v>
      </c>
      <c r="J68" s="65">
        <v>10</v>
      </c>
      <c r="K68" s="66">
        <f>1943</f>
        <v>1943</v>
      </c>
      <c r="L68" s="67" t="s">
        <v>857</v>
      </c>
      <c r="M68" s="66">
        <f>1995</f>
        <v>1995</v>
      </c>
      <c r="N68" s="67" t="s">
        <v>131</v>
      </c>
      <c r="O68" s="66">
        <f>1900</f>
        <v>1900</v>
      </c>
      <c r="P68" s="67" t="s">
        <v>371</v>
      </c>
      <c r="Q68" s="66">
        <f>1993</f>
        <v>1993</v>
      </c>
      <c r="R68" s="67" t="s">
        <v>872</v>
      </c>
      <c r="S68" s="68">
        <f>1955.76</f>
        <v>1955.76</v>
      </c>
      <c r="T68" s="65">
        <f>24208570</f>
        <v>24208570</v>
      </c>
      <c r="U68" s="65">
        <f>23720110</f>
        <v>23720110</v>
      </c>
      <c r="V68" s="65">
        <f>47085555835</f>
        <v>47085555835</v>
      </c>
      <c r="W68" s="65">
        <f>46140887305</f>
        <v>46140887305</v>
      </c>
      <c r="X68" s="69">
        <f>21</f>
        <v>21</v>
      </c>
    </row>
    <row r="69" spans="1:24">
      <c r="A69" s="60" t="s">
        <v>931</v>
      </c>
      <c r="B69" s="60" t="s">
        <v>250</v>
      </c>
      <c r="C69" s="60" t="s">
        <v>251</v>
      </c>
      <c r="D69" s="60" t="s">
        <v>252</v>
      </c>
      <c r="E69" s="61" t="s">
        <v>46</v>
      </c>
      <c r="F69" s="62" t="s">
        <v>46</v>
      </c>
      <c r="G69" s="63" t="s">
        <v>46</v>
      </c>
      <c r="H69" s="64"/>
      <c r="I69" s="64" t="s">
        <v>47</v>
      </c>
      <c r="J69" s="65">
        <v>1</v>
      </c>
      <c r="K69" s="66">
        <f>17370</f>
        <v>17370</v>
      </c>
      <c r="L69" s="67" t="s">
        <v>857</v>
      </c>
      <c r="M69" s="66">
        <f>17830</f>
        <v>17830</v>
      </c>
      <c r="N69" s="67" t="s">
        <v>872</v>
      </c>
      <c r="O69" s="66">
        <f>17070</f>
        <v>17070</v>
      </c>
      <c r="P69" s="67" t="s">
        <v>371</v>
      </c>
      <c r="Q69" s="66">
        <f>17830</f>
        <v>17830</v>
      </c>
      <c r="R69" s="67" t="s">
        <v>872</v>
      </c>
      <c r="S69" s="68">
        <f>17509.52</f>
        <v>17509.52</v>
      </c>
      <c r="T69" s="65">
        <f>22186</f>
        <v>22186</v>
      </c>
      <c r="U69" s="65" t="str">
        <f>"－"</f>
        <v>－</v>
      </c>
      <c r="V69" s="65">
        <f>387313160</f>
        <v>387313160</v>
      </c>
      <c r="W69" s="65" t="str">
        <f>"－"</f>
        <v>－</v>
      </c>
      <c r="X69" s="69">
        <f>21</f>
        <v>21</v>
      </c>
    </row>
    <row r="70" spans="1:24">
      <c r="A70" s="60" t="s">
        <v>931</v>
      </c>
      <c r="B70" s="60" t="s">
        <v>253</v>
      </c>
      <c r="C70" s="60" t="s">
        <v>254</v>
      </c>
      <c r="D70" s="60" t="s">
        <v>255</v>
      </c>
      <c r="E70" s="61" t="s">
        <v>46</v>
      </c>
      <c r="F70" s="62" t="s">
        <v>46</v>
      </c>
      <c r="G70" s="63" t="s">
        <v>46</v>
      </c>
      <c r="H70" s="64"/>
      <c r="I70" s="64" t="s">
        <v>47</v>
      </c>
      <c r="J70" s="65">
        <v>1</v>
      </c>
      <c r="K70" s="66">
        <f>1994</f>
        <v>1994</v>
      </c>
      <c r="L70" s="67" t="s">
        <v>857</v>
      </c>
      <c r="M70" s="66">
        <f>2006</f>
        <v>2006</v>
      </c>
      <c r="N70" s="67" t="s">
        <v>131</v>
      </c>
      <c r="O70" s="66">
        <f>1911</f>
        <v>1911</v>
      </c>
      <c r="P70" s="67" t="s">
        <v>371</v>
      </c>
      <c r="Q70" s="66">
        <f>1994</f>
        <v>1994</v>
      </c>
      <c r="R70" s="67" t="s">
        <v>872</v>
      </c>
      <c r="S70" s="68">
        <f>1968.76</f>
        <v>1968.76</v>
      </c>
      <c r="T70" s="65">
        <f>5993012</f>
        <v>5993012</v>
      </c>
      <c r="U70" s="65">
        <f>1450419</f>
        <v>1450419</v>
      </c>
      <c r="V70" s="65">
        <f>11796028089</f>
        <v>11796028089</v>
      </c>
      <c r="W70" s="65">
        <f>2849773025</f>
        <v>2849773025</v>
      </c>
      <c r="X70" s="69">
        <f>21</f>
        <v>21</v>
      </c>
    </row>
    <row r="71" spans="1:24">
      <c r="A71" s="60" t="s">
        <v>931</v>
      </c>
      <c r="B71" s="60" t="s">
        <v>256</v>
      </c>
      <c r="C71" s="60" t="s">
        <v>257</v>
      </c>
      <c r="D71" s="60" t="s">
        <v>258</v>
      </c>
      <c r="E71" s="61" t="s">
        <v>46</v>
      </c>
      <c r="F71" s="62" t="s">
        <v>46</v>
      </c>
      <c r="G71" s="63" t="s">
        <v>46</v>
      </c>
      <c r="H71" s="64"/>
      <c r="I71" s="64" t="s">
        <v>47</v>
      </c>
      <c r="J71" s="65">
        <v>1</v>
      </c>
      <c r="K71" s="66">
        <f>2238</f>
        <v>2238</v>
      </c>
      <c r="L71" s="67" t="s">
        <v>857</v>
      </c>
      <c r="M71" s="66">
        <f>2245</f>
        <v>2245</v>
      </c>
      <c r="N71" s="67" t="s">
        <v>872</v>
      </c>
      <c r="O71" s="66">
        <f>2135</f>
        <v>2135</v>
      </c>
      <c r="P71" s="67" t="s">
        <v>240</v>
      </c>
      <c r="Q71" s="66">
        <f>2213</f>
        <v>2213</v>
      </c>
      <c r="R71" s="67" t="s">
        <v>872</v>
      </c>
      <c r="S71" s="68">
        <f>2197.14</f>
        <v>2197.14</v>
      </c>
      <c r="T71" s="65">
        <f>4634424</f>
        <v>4634424</v>
      </c>
      <c r="U71" s="65">
        <f>541671</f>
        <v>541671</v>
      </c>
      <c r="V71" s="65">
        <f>10202027603</f>
        <v>10202027603</v>
      </c>
      <c r="W71" s="65">
        <f>1183693441</f>
        <v>1183693441</v>
      </c>
      <c r="X71" s="69">
        <f>21</f>
        <v>21</v>
      </c>
    </row>
    <row r="72" spans="1:24">
      <c r="A72" s="60" t="s">
        <v>931</v>
      </c>
      <c r="B72" s="60" t="s">
        <v>259</v>
      </c>
      <c r="C72" s="60" t="s">
        <v>260</v>
      </c>
      <c r="D72" s="60" t="s">
        <v>261</v>
      </c>
      <c r="E72" s="61" t="s">
        <v>46</v>
      </c>
      <c r="F72" s="62" t="s">
        <v>46</v>
      </c>
      <c r="G72" s="63" t="s">
        <v>46</v>
      </c>
      <c r="H72" s="64"/>
      <c r="I72" s="64" t="s">
        <v>47</v>
      </c>
      <c r="J72" s="65">
        <v>1</v>
      </c>
      <c r="K72" s="66">
        <f>1849</f>
        <v>1849</v>
      </c>
      <c r="L72" s="67" t="s">
        <v>857</v>
      </c>
      <c r="M72" s="66">
        <f>1886</f>
        <v>1886</v>
      </c>
      <c r="N72" s="67" t="s">
        <v>872</v>
      </c>
      <c r="O72" s="66">
        <f>1817</f>
        <v>1817</v>
      </c>
      <c r="P72" s="67" t="s">
        <v>84</v>
      </c>
      <c r="Q72" s="66">
        <f>1883</f>
        <v>1883</v>
      </c>
      <c r="R72" s="67" t="s">
        <v>872</v>
      </c>
      <c r="S72" s="68">
        <f>1852.76</f>
        <v>1852.76</v>
      </c>
      <c r="T72" s="65">
        <f>72436</f>
        <v>72436</v>
      </c>
      <c r="U72" s="65">
        <f>9236</f>
        <v>9236</v>
      </c>
      <c r="V72" s="65">
        <f>134377395</f>
        <v>134377395</v>
      </c>
      <c r="W72" s="65">
        <f>17357766</f>
        <v>17357766</v>
      </c>
      <c r="X72" s="69">
        <f>21</f>
        <v>21</v>
      </c>
    </row>
    <row r="73" spans="1:24">
      <c r="A73" s="60" t="s">
        <v>931</v>
      </c>
      <c r="B73" s="60" t="s">
        <v>262</v>
      </c>
      <c r="C73" s="60" t="s">
        <v>263</v>
      </c>
      <c r="D73" s="60" t="s">
        <v>264</v>
      </c>
      <c r="E73" s="61" t="s">
        <v>46</v>
      </c>
      <c r="F73" s="62" t="s">
        <v>46</v>
      </c>
      <c r="G73" s="63" t="s">
        <v>46</v>
      </c>
      <c r="H73" s="64"/>
      <c r="I73" s="64" t="s">
        <v>47</v>
      </c>
      <c r="J73" s="65">
        <v>1</v>
      </c>
      <c r="K73" s="66">
        <f>2134</f>
        <v>2134</v>
      </c>
      <c r="L73" s="67" t="s">
        <v>857</v>
      </c>
      <c r="M73" s="66">
        <f>2175</f>
        <v>2175</v>
      </c>
      <c r="N73" s="67" t="s">
        <v>48</v>
      </c>
      <c r="O73" s="66">
        <f>2065</f>
        <v>2065</v>
      </c>
      <c r="P73" s="67" t="s">
        <v>371</v>
      </c>
      <c r="Q73" s="66">
        <f>2108</f>
        <v>2108</v>
      </c>
      <c r="R73" s="67" t="s">
        <v>872</v>
      </c>
      <c r="S73" s="68">
        <f>2111</f>
        <v>2111</v>
      </c>
      <c r="T73" s="65">
        <f>232869</f>
        <v>232869</v>
      </c>
      <c r="U73" s="65">
        <f>71975</f>
        <v>71975</v>
      </c>
      <c r="V73" s="65">
        <f>494118779</f>
        <v>494118779</v>
      </c>
      <c r="W73" s="65">
        <f>153018619</f>
        <v>153018619</v>
      </c>
      <c r="X73" s="69">
        <f>21</f>
        <v>21</v>
      </c>
    </row>
    <row r="74" spans="1:24">
      <c r="A74" s="60" t="s">
        <v>931</v>
      </c>
      <c r="B74" s="60" t="s">
        <v>265</v>
      </c>
      <c r="C74" s="60" t="s">
        <v>266</v>
      </c>
      <c r="D74" s="60" t="s">
        <v>267</v>
      </c>
      <c r="E74" s="61" t="s">
        <v>46</v>
      </c>
      <c r="F74" s="62" t="s">
        <v>46</v>
      </c>
      <c r="G74" s="63" t="s">
        <v>46</v>
      </c>
      <c r="H74" s="64"/>
      <c r="I74" s="64" t="s">
        <v>47</v>
      </c>
      <c r="J74" s="65">
        <v>1</v>
      </c>
      <c r="K74" s="66">
        <f>23450</f>
        <v>23450</v>
      </c>
      <c r="L74" s="67" t="s">
        <v>857</v>
      </c>
      <c r="M74" s="66">
        <f>23930</f>
        <v>23930</v>
      </c>
      <c r="N74" s="67" t="s">
        <v>872</v>
      </c>
      <c r="O74" s="66">
        <f>23270</f>
        <v>23270</v>
      </c>
      <c r="P74" s="67" t="s">
        <v>613</v>
      </c>
      <c r="Q74" s="66">
        <f>23930</f>
        <v>23930</v>
      </c>
      <c r="R74" s="67" t="s">
        <v>872</v>
      </c>
      <c r="S74" s="68">
        <f>23568.75</f>
        <v>23568.75</v>
      </c>
      <c r="T74" s="65">
        <f>179</f>
        <v>179</v>
      </c>
      <c r="U74" s="65" t="str">
        <f>"－"</f>
        <v>－</v>
      </c>
      <c r="V74" s="65">
        <f>4223770</f>
        <v>4223770</v>
      </c>
      <c r="W74" s="65" t="str">
        <f>"－"</f>
        <v>－</v>
      </c>
      <c r="X74" s="69">
        <f>16</f>
        <v>16</v>
      </c>
    </row>
    <row r="75" spans="1:24">
      <c r="A75" s="60" t="s">
        <v>931</v>
      </c>
      <c r="B75" s="60" t="s">
        <v>269</v>
      </c>
      <c r="C75" s="60" t="s">
        <v>270</v>
      </c>
      <c r="D75" s="60" t="s">
        <v>271</v>
      </c>
      <c r="E75" s="61" t="s">
        <v>46</v>
      </c>
      <c r="F75" s="62" t="s">
        <v>46</v>
      </c>
      <c r="G75" s="63" t="s">
        <v>46</v>
      </c>
      <c r="H75" s="64"/>
      <c r="I75" s="64" t="s">
        <v>47</v>
      </c>
      <c r="J75" s="65">
        <v>1</v>
      </c>
      <c r="K75" s="66">
        <f>19230</f>
        <v>19230</v>
      </c>
      <c r="L75" s="67" t="s">
        <v>857</v>
      </c>
      <c r="M75" s="66">
        <f>19660</f>
        <v>19660</v>
      </c>
      <c r="N75" s="67" t="s">
        <v>131</v>
      </c>
      <c r="O75" s="66">
        <f>19190</f>
        <v>19190</v>
      </c>
      <c r="P75" s="67" t="s">
        <v>613</v>
      </c>
      <c r="Q75" s="66">
        <f>19660</f>
        <v>19660</v>
      </c>
      <c r="R75" s="67" t="s">
        <v>872</v>
      </c>
      <c r="S75" s="68">
        <f>19397.5</f>
        <v>19397.5</v>
      </c>
      <c r="T75" s="65">
        <f>569</f>
        <v>569</v>
      </c>
      <c r="U75" s="65" t="str">
        <f>"－"</f>
        <v>－</v>
      </c>
      <c r="V75" s="65">
        <f>11083820</f>
        <v>11083820</v>
      </c>
      <c r="W75" s="65" t="str">
        <f>"－"</f>
        <v>－</v>
      </c>
      <c r="X75" s="69">
        <f>12</f>
        <v>12</v>
      </c>
    </row>
    <row r="76" spans="1:24">
      <c r="A76" s="60" t="s">
        <v>931</v>
      </c>
      <c r="B76" s="60" t="s">
        <v>272</v>
      </c>
      <c r="C76" s="60" t="s">
        <v>273</v>
      </c>
      <c r="D76" s="60" t="s">
        <v>274</v>
      </c>
      <c r="E76" s="61" t="s">
        <v>46</v>
      </c>
      <c r="F76" s="62" t="s">
        <v>46</v>
      </c>
      <c r="G76" s="63" t="s">
        <v>46</v>
      </c>
      <c r="H76" s="64"/>
      <c r="I76" s="64" t="s">
        <v>47</v>
      </c>
      <c r="J76" s="65">
        <v>1</v>
      </c>
      <c r="K76" s="66">
        <f>1899</f>
        <v>1899</v>
      </c>
      <c r="L76" s="67" t="s">
        <v>857</v>
      </c>
      <c r="M76" s="66">
        <f>1950</f>
        <v>1950</v>
      </c>
      <c r="N76" s="67" t="s">
        <v>872</v>
      </c>
      <c r="O76" s="66">
        <f>1875</f>
        <v>1875</v>
      </c>
      <c r="P76" s="67" t="s">
        <v>371</v>
      </c>
      <c r="Q76" s="66">
        <f>1950</f>
        <v>1950</v>
      </c>
      <c r="R76" s="67" t="s">
        <v>872</v>
      </c>
      <c r="S76" s="68">
        <f>1913.6</f>
        <v>1913.6</v>
      </c>
      <c r="T76" s="65">
        <f>857</f>
        <v>857</v>
      </c>
      <c r="U76" s="65">
        <f>1</f>
        <v>1</v>
      </c>
      <c r="V76" s="65">
        <f>1644339</f>
        <v>1644339</v>
      </c>
      <c r="W76" s="65">
        <f>1889</f>
        <v>1889</v>
      </c>
      <c r="X76" s="69">
        <f>15</f>
        <v>15</v>
      </c>
    </row>
    <row r="77" spans="1:24">
      <c r="A77" s="60" t="s">
        <v>931</v>
      </c>
      <c r="B77" s="60" t="s">
        <v>275</v>
      </c>
      <c r="C77" s="60" t="s">
        <v>276</v>
      </c>
      <c r="D77" s="60" t="s">
        <v>277</v>
      </c>
      <c r="E77" s="61" t="s">
        <v>46</v>
      </c>
      <c r="F77" s="62" t="s">
        <v>46</v>
      </c>
      <c r="G77" s="63" t="s">
        <v>46</v>
      </c>
      <c r="H77" s="64"/>
      <c r="I77" s="64" t="s">
        <v>47</v>
      </c>
      <c r="J77" s="65">
        <v>1</v>
      </c>
      <c r="K77" s="66">
        <f>2397</f>
        <v>2397</v>
      </c>
      <c r="L77" s="67" t="s">
        <v>857</v>
      </c>
      <c r="M77" s="66">
        <f>2410</f>
        <v>2410</v>
      </c>
      <c r="N77" s="67" t="s">
        <v>858</v>
      </c>
      <c r="O77" s="66">
        <f>2373</f>
        <v>2373</v>
      </c>
      <c r="P77" s="67" t="s">
        <v>875</v>
      </c>
      <c r="Q77" s="66">
        <f>2393</f>
        <v>2393</v>
      </c>
      <c r="R77" s="67" t="s">
        <v>872</v>
      </c>
      <c r="S77" s="68">
        <f>2391.57</f>
        <v>2391.5700000000002</v>
      </c>
      <c r="T77" s="65">
        <f>4801841</f>
        <v>4801841</v>
      </c>
      <c r="U77" s="65">
        <f>2855593</f>
        <v>2855593</v>
      </c>
      <c r="V77" s="65">
        <f>11486918477</f>
        <v>11486918477</v>
      </c>
      <c r="W77" s="65">
        <f>6841613968</f>
        <v>6841613968</v>
      </c>
      <c r="X77" s="69">
        <f>21</f>
        <v>21</v>
      </c>
    </row>
    <row r="78" spans="1:24">
      <c r="A78" s="60" t="s">
        <v>931</v>
      </c>
      <c r="B78" s="60" t="s">
        <v>278</v>
      </c>
      <c r="C78" s="60" t="s">
        <v>279</v>
      </c>
      <c r="D78" s="60" t="s">
        <v>280</v>
      </c>
      <c r="E78" s="61" t="s">
        <v>46</v>
      </c>
      <c r="F78" s="62" t="s">
        <v>46</v>
      </c>
      <c r="G78" s="63" t="s">
        <v>46</v>
      </c>
      <c r="H78" s="64"/>
      <c r="I78" s="64" t="s">
        <v>47</v>
      </c>
      <c r="J78" s="65">
        <v>1</v>
      </c>
      <c r="K78" s="66">
        <f>1891</f>
        <v>1891</v>
      </c>
      <c r="L78" s="67" t="s">
        <v>857</v>
      </c>
      <c r="M78" s="66">
        <f>1960</f>
        <v>1960</v>
      </c>
      <c r="N78" s="67" t="s">
        <v>84</v>
      </c>
      <c r="O78" s="66">
        <f>1857</f>
        <v>1857</v>
      </c>
      <c r="P78" s="67" t="s">
        <v>856</v>
      </c>
      <c r="Q78" s="66">
        <f>1938</f>
        <v>1938</v>
      </c>
      <c r="R78" s="67" t="s">
        <v>872</v>
      </c>
      <c r="S78" s="68">
        <f>1909.5</f>
        <v>1909.5</v>
      </c>
      <c r="T78" s="65">
        <f>1406</f>
        <v>1406</v>
      </c>
      <c r="U78" s="65" t="str">
        <f>"－"</f>
        <v>－</v>
      </c>
      <c r="V78" s="65">
        <f>2680129</f>
        <v>2680129</v>
      </c>
      <c r="W78" s="65" t="str">
        <f>"－"</f>
        <v>－</v>
      </c>
      <c r="X78" s="69">
        <f>20</f>
        <v>20</v>
      </c>
    </row>
    <row r="79" spans="1:24">
      <c r="A79" s="60" t="s">
        <v>931</v>
      </c>
      <c r="B79" s="60" t="s">
        <v>281</v>
      </c>
      <c r="C79" s="60" t="s">
        <v>282</v>
      </c>
      <c r="D79" s="60" t="s">
        <v>283</v>
      </c>
      <c r="E79" s="61" t="s">
        <v>46</v>
      </c>
      <c r="F79" s="62" t="s">
        <v>46</v>
      </c>
      <c r="G79" s="63" t="s">
        <v>46</v>
      </c>
      <c r="H79" s="64"/>
      <c r="I79" s="64" t="s">
        <v>47</v>
      </c>
      <c r="J79" s="65">
        <v>10</v>
      </c>
      <c r="K79" s="66">
        <f>1880</f>
        <v>1880</v>
      </c>
      <c r="L79" s="67" t="s">
        <v>857</v>
      </c>
      <c r="M79" s="66">
        <f>1931</f>
        <v>1931</v>
      </c>
      <c r="N79" s="67" t="s">
        <v>872</v>
      </c>
      <c r="O79" s="66">
        <f>1845</f>
        <v>1845</v>
      </c>
      <c r="P79" s="67" t="s">
        <v>371</v>
      </c>
      <c r="Q79" s="66">
        <f>1930</f>
        <v>1930</v>
      </c>
      <c r="R79" s="67" t="s">
        <v>872</v>
      </c>
      <c r="S79" s="68">
        <f>1889.76</f>
        <v>1889.76</v>
      </c>
      <c r="T79" s="65">
        <f>8170</f>
        <v>8170</v>
      </c>
      <c r="U79" s="65">
        <f>10</f>
        <v>10</v>
      </c>
      <c r="V79" s="65">
        <f>15440640</f>
        <v>15440640</v>
      </c>
      <c r="W79" s="65">
        <f>18830</f>
        <v>18830</v>
      </c>
      <c r="X79" s="69">
        <f>21</f>
        <v>21</v>
      </c>
    </row>
    <row r="80" spans="1:24">
      <c r="A80" s="60" t="s">
        <v>931</v>
      </c>
      <c r="B80" s="60" t="s">
        <v>284</v>
      </c>
      <c r="C80" s="60" t="s">
        <v>285</v>
      </c>
      <c r="D80" s="60" t="s">
        <v>286</v>
      </c>
      <c r="E80" s="61" t="s">
        <v>46</v>
      </c>
      <c r="F80" s="62" t="s">
        <v>46</v>
      </c>
      <c r="G80" s="63" t="s">
        <v>46</v>
      </c>
      <c r="H80" s="64"/>
      <c r="I80" s="64" t="s">
        <v>47</v>
      </c>
      <c r="J80" s="65">
        <v>1</v>
      </c>
      <c r="K80" s="66">
        <f>29700</f>
        <v>29700</v>
      </c>
      <c r="L80" s="67" t="s">
        <v>857</v>
      </c>
      <c r="M80" s="66">
        <f>30600</f>
        <v>30600</v>
      </c>
      <c r="N80" s="67" t="s">
        <v>857</v>
      </c>
      <c r="O80" s="66">
        <f>29020</f>
        <v>29020</v>
      </c>
      <c r="P80" s="67" t="s">
        <v>77</v>
      </c>
      <c r="Q80" s="66">
        <f>30150</f>
        <v>30150</v>
      </c>
      <c r="R80" s="67" t="s">
        <v>873</v>
      </c>
      <c r="S80" s="68">
        <f>29853.75</f>
        <v>29853.75</v>
      </c>
      <c r="T80" s="65">
        <f>31</f>
        <v>31</v>
      </c>
      <c r="U80" s="65" t="str">
        <f>"－"</f>
        <v>－</v>
      </c>
      <c r="V80" s="65">
        <f>915850</f>
        <v>915850</v>
      </c>
      <c r="W80" s="65" t="str">
        <f>"－"</f>
        <v>－</v>
      </c>
      <c r="X80" s="69">
        <f>8</f>
        <v>8</v>
      </c>
    </row>
    <row r="81" spans="1:24">
      <c r="A81" s="60" t="s">
        <v>931</v>
      </c>
      <c r="B81" s="60" t="s">
        <v>287</v>
      </c>
      <c r="C81" s="60" t="s">
        <v>288</v>
      </c>
      <c r="D81" s="60" t="s">
        <v>289</v>
      </c>
      <c r="E81" s="61" t="s">
        <v>46</v>
      </c>
      <c r="F81" s="62" t="s">
        <v>46</v>
      </c>
      <c r="G81" s="63" t="s">
        <v>46</v>
      </c>
      <c r="H81" s="64"/>
      <c r="I81" s="64" t="s">
        <v>47</v>
      </c>
      <c r="J81" s="65">
        <v>1</v>
      </c>
      <c r="K81" s="66">
        <f>21570</f>
        <v>21570</v>
      </c>
      <c r="L81" s="67" t="s">
        <v>857</v>
      </c>
      <c r="M81" s="66">
        <f>21800</f>
        <v>21800</v>
      </c>
      <c r="N81" s="67" t="s">
        <v>873</v>
      </c>
      <c r="O81" s="66">
        <f>21520</f>
        <v>21520</v>
      </c>
      <c r="P81" s="67" t="s">
        <v>73</v>
      </c>
      <c r="Q81" s="66">
        <f>21600</f>
        <v>21600</v>
      </c>
      <c r="R81" s="67" t="s">
        <v>872</v>
      </c>
      <c r="S81" s="68">
        <f>21606.67</f>
        <v>21606.67</v>
      </c>
      <c r="T81" s="65">
        <f>51604</f>
        <v>51604</v>
      </c>
      <c r="U81" s="65">
        <f>8551</f>
        <v>8551</v>
      </c>
      <c r="V81" s="65">
        <f>1116453355</f>
        <v>1116453355</v>
      </c>
      <c r="W81" s="65">
        <f>185023805</f>
        <v>185023805</v>
      </c>
      <c r="X81" s="69">
        <f>21</f>
        <v>21</v>
      </c>
    </row>
    <row r="82" spans="1:24">
      <c r="A82" s="60" t="s">
        <v>931</v>
      </c>
      <c r="B82" s="60" t="s">
        <v>290</v>
      </c>
      <c r="C82" s="60" t="s">
        <v>291</v>
      </c>
      <c r="D82" s="60" t="s">
        <v>292</v>
      </c>
      <c r="E82" s="61" t="s">
        <v>46</v>
      </c>
      <c r="F82" s="62" t="s">
        <v>46</v>
      </c>
      <c r="G82" s="63" t="s">
        <v>46</v>
      </c>
      <c r="H82" s="64"/>
      <c r="I82" s="64" t="s">
        <v>47</v>
      </c>
      <c r="J82" s="65">
        <v>1</v>
      </c>
      <c r="K82" s="66">
        <f>18700</f>
        <v>18700</v>
      </c>
      <c r="L82" s="67" t="s">
        <v>857</v>
      </c>
      <c r="M82" s="66">
        <f>18750</f>
        <v>18750</v>
      </c>
      <c r="N82" s="67" t="s">
        <v>858</v>
      </c>
      <c r="O82" s="66">
        <f>18450</f>
        <v>18450</v>
      </c>
      <c r="P82" s="67" t="s">
        <v>875</v>
      </c>
      <c r="Q82" s="66">
        <f>18590</f>
        <v>18590</v>
      </c>
      <c r="R82" s="67" t="s">
        <v>872</v>
      </c>
      <c r="S82" s="68">
        <f>18600</f>
        <v>18600</v>
      </c>
      <c r="T82" s="65">
        <f>376058</f>
        <v>376058</v>
      </c>
      <c r="U82" s="65">
        <f>296208</f>
        <v>296208</v>
      </c>
      <c r="V82" s="65">
        <f>7001157760</f>
        <v>7001157760</v>
      </c>
      <c r="W82" s="65">
        <f>5521235500</f>
        <v>5521235500</v>
      </c>
      <c r="X82" s="69">
        <f>21</f>
        <v>21</v>
      </c>
    </row>
    <row r="83" spans="1:24">
      <c r="A83" s="60" t="s">
        <v>931</v>
      </c>
      <c r="B83" s="60" t="s">
        <v>293</v>
      </c>
      <c r="C83" s="60" t="s">
        <v>294</v>
      </c>
      <c r="D83" s="60" t="s">
        <v>295</v>
      </c>
      <c r="E83" s="61" t="s">
        <v>46</v>
      </c>
      <c r="F83" s="62" t="s">
        <v>46</v>
      </c>
      <c r="G83" s="63" t="s">
        <v>46</v>
      </c>
      <c r="H83" s="64"/>
      <c r="I83" s="64" t="s">
        <v>47</v>
      </c>
      <c r="J83" s="65">
        <v>10</v>
      </c>
      <c r="K83" s="66">
        <f>2235</f>
        <v>2235</v>
      </c>
      <c r="L83" s="67" t="s">
        <v>857</v>
      </c>
      <c r="M83" s="66">
        <f>2256</f>
        <v>2256</v>
      </c>
      <c r="N83" s="67" t="s">
        <v>84</v>
      </c>
      <c r="O83" s="66">
        <f>2147</f>
        <v>2147</v>
      </c>
      <c r="P83" s="67" t="s">
        <v>240</v>
      </c>
      <c r="Q83" s="66">
        <f>2225</f>
        <v>2225</v>
      </c>
      <c r="R83" s="67" t="s">
        <v>872</v>
      </c>
      <c r="S83" s="68">
        <f>2207.43</f>
        <v>2207.4299999999998</v>
      </c>
      <c r="T83" s="65">
        <f>2079360</f>
        <v>2079360</v>
      </c>
      <c r="U83" s="65">
        <f>516690</f>
        <v>516690</v>
      </c>
      <c r="V83" s="65">
        <f>4573320522</f>
        <v>4573320522</v>
      </c>
      <c r="W83" s="65">
        <f>1135206212</f>
        <v>1135206212</v>
      </c>
      <c r="X83" s="69">
        <f>21</f>
        <v>21</v>
      </c>
    </row>
    <row r="84" spans="1:24">
      <c r="A84" s="60" t="s">
        <v>931</v>
      </c>
      <c r="B84" s="60" t="s">
        <v>296</v>
      </c>
      <c r="C84" s="60" t="s">
        <v>297</v>
      </c>
      <c r="D84" s="60" t="s">
        <v>298</v>
      </c>
      <c r="E84" s="61" t="s">
        <v>46</v>
      </c>
      <c r="F84" s="62" t="s">
        <v>46</v>
      </c>
      <c r="G84" s="63" t="s">
        <v>46</v>
      </c>
      <c r="H84" s="64"/>
      <c r="I84" s="64" t="s">
        <v>47</v>
      </c>
      <c r="J84" s="65">
        <v>1</v>
      </c>
      <c r="K84" s="66">
        <f>34650</f>
        <v>34650</v>
      </c>
      <c r="L84" s="67" t="s">
        <v>857</v>
      </c>
      <c r="M84" s="66">
        <f>36450</f>
        <v>36450</v>
      </c>
      <c r="N84" s="67" t="s">
        <v>131</v>
      </c>
      <c r="O84" s="66">
        <f>34550</f>
        <v>34550</v>
      </c>
      <c r="P84" s="67" t="s">
        <v>371</v>
      </c>
      <c r="Q84" s="66">
        <f>35800</f>
        <v>35800</v>
      </c>
      <c r="R84" s="67" t="s">
        <v>872</v>
      </c>
      <c r="S84" s="68">
        <f>35457.14</f>
        <v>35457.14</v>
      </c>
      <c r="T84" s="65">
        <f>23704</f>
        <v>23704</v>
      </c>
      <c r="U84" s="65">
        <f>1204</f>
        <v>1204</v>
      </c>
      <c r="V84" s="65">
        <f>839498310</f>
        <v>839498310</v>
      </c>
      <c r="W84" s="65">
        <f>42561960</f>
        <v>42561960</v>
      </c>
      <c r="X84" s="69">
        <f>21</f>
        <v>21</v>
      </c>
    </row>
    <row r="85" spans="1:24">
      <c r="A85" s="60" t="s">
        <v>931</v>
      </c>
      <c r="B85" s="60" t="s">
        <v>299</v>
      </c>
      <c r="C85" s="60" t="s">
        <v>300</v>
      </c>
      <c r="D85" s="60" t="s">
        <v>301</v>
      </c>
      <c r="E85" s="61" t="s">
        <v>46</v>
      </c>
      <c r="F85" s="62" t="s">
        <v>46</v>
      </c>
      <c r="G85" s="63" t="s">
        <v>46</v>
      </c>
      <c r="H85" s="64"/>
      <c r="I85" s="64" t="s">
        <v>47</v>
      </c>
      <c r="J85" s="65">
        <v>10</v>
      </c>
      <c r="K85" s="66">
        <f>7690</f>
        <v>7690</v>
      </c>
      <c r="L85" s="67" t="s">
        <v>858</v>
      </c>
      <c r="M85" s="66">
        <f>7690</f>
        <v>7690</v>
      </c>
      <c r="N85" s="67" t="s">
        <v>858</v>
      </c>
      <c r="O85" s="66">
        <f>7590</f>
        <v>7590</v>
      </c>
      <c r="P85" s="67" t="s">
        <v>73</v>
      </c>
      <c r="Q85" s="66">
        <f>7590</f>
        <v>7590</v>
      </c>
      <c r="R85" s="67" t="s">
        <v>73</v>
      </c>
      <c r="S85" s="68">
        <f>7646.67</f>
        <v>7646.67</v>
      </c>
      <c r="T85" s="65">
        <f>118250</f>
        <v>118250</v>
      </c>
      <c r="U85" s="65">
        <f>118000</f>
        <v>118000</v>
      </c>
      <c r="V85" s="65">
        <f>899582100</f>
        <v>899582100</v>
      </c>
      <c r="W85" s="65">
        <f>897663000</f>
        <v>897663000</v>
      </c>
      <c r="X85" s="69">
        <f>3</f>
        <v>3</v>
      </c>
    </row>
    <row r="86" spans="1:24">
      <c r="A86" s="60" t="s">
        <v>931</v>
      </c>
      <c r="B86" s="60" t="s">
        <v>302</v>
      </c>
      <c r="C86" s="60" t="s">
        <v>303</v>
      </c>
      <c r="D86" s="60" t="s">
        <v>304</v>
      </c>
      <c r="E86" s="61" t="s">
        <v>46</v>
      </c>
      <c r="F86" s="62" t="s">
        <v>46</v>
      </c>
      <c r="G86" s="63" t="s">
        <v>46</v>
      </c>
      <c r="H86" s="64"/>
      <c r="I86" s="64" t="s">
        <v>47</v>
      </c>
      <c r="J86" s="65">
        <v>1</v>
      </c>
      <c r="K86" s="66">
        <f>16480</f>
        <v>16480</v>
      </c>
      <c r="L86" s="67" t="s">
        <v>857</v>
      </c>
      <c r="M86" s="66">
        <f>16690</f>
        <v>16690</v>
      </c>
      <c r="N86" s="67" t="s">
        <v>872</v>
      </c>
      <c r="O86" s="66">
        <f>15760</f>
        <v>15760</v>
      </c>
      <c r="P86" s="67" t="s">
        <v>371</v>
      </c>
      <c r="Q86" s="66">
        <f>16680</f>
        <v>16680</v>
      </c>
      <c r="R86" s="67" t="s">
        <v>872</v>
      </c>
      <c r="S86" s="68">
        <f>16335.24</f>
        <v>16335.24</v>
      </c>
      <c r="T86" s="65">
        <f>1169</f>
        <v>1169</v>
      </c>
      <c r="U86" s="65">
        <f>4</f>
        <v>4</v>
      </c>
      <c r="V86" s="65">
        <f>19076540</f>
        <v>19076540</v>
      </c>
      <c r="W86" s="65">
        <f>65820</f>
        <v>65820</v>
      </c>
      <c r="X86" s="69">
        <f>21</f>
        <v>21</v>
      </c>
    </row>
    <row r="87" spans="1:24">
      <c r="A87" s="60" t="s">
        <v>931</v>
      </c>
      <c r="B87" s="60" t="s">
        <v>305</v>
      </c>
      <c r="C87" s="60" t="s">
        <v>306</v>
      </c>
      <c r="D87" s="60" t="s">
        <v>307</v>
      </c>
      <c r="E87" s="61" t="s">
        <v>46</v>
      </c>
      <c r="F87" s="62" t="s">
        <v>46</v>
      </c>
      <c r="G87" s="63" t="s">
        <v>46</v>
      </c>
      <c r="H87" s="64"/>
      <c r="I87" s="64" t="s">
        <v>47</v>
      </c>
      <c r="J87" s="65">
        <v>1</v>
      </c>
      <c r="K87" s="66">
        <f>16200</f>
        <v>16200</v>
      </c>
      <c r="L87" s="67" t="s">
        <v>857</v>
      </c>
      <c r="M87" s="66">
        <f>16590</f>
        <v>16590</v>
      </c>
      <c r="N87" s="67" t="s">
        <v>872</v>
      </c>
      <c r="O87" s="66">
        <f>15590</f>
        <v>15590</v>
      </c>
      <c r="P87" s="67" t="s">
        <v>371</v>
      </c>
      <c r="Q87" s="66">
        <f>16590</f>
        <v>16590</v>
      </c>
      <c r="R87" s="67" t="s">
        <v>872</v>
      </c>
      <c r="S87" s="68">
        <f>16184.76</f>
        <v>16184.76</v>
      </c>
      <c r="T87" s="65">
        <f>1089</f>
        <v>1089</v>
      </c>
      <c r="U87" s="65" t="str">
        <f>"－"</f>
        <v>－</v>
      </c>
      <c r="V87" s="65">
        <f>17562930</f>
        <v>17562930</v>
      </c>
      <c r="W87" s="65" t="str">
        <f>"－"</f>
        <v>－</v>
      </c>
      <c r="X87" s="69">
        <f>21</f>
        <v>21</v>
      </c>
    </row>
    <row r="88" spans="1:24">
      <c r="A88" s="60" t="s">
        <v>931</v>
      </c>
      <c r="B88" s="60" t="s">
        <v>308</v>
      </c>
      <c r="C88" s="60" t="s">
        <v>309</v>
      </c>
      <c r="D88" s="60" t="s">
        <v>310</v>
      </c>
      <c r="E88" s="61" t="s">
        <v>46</v>
      </c>
      <c r="F88" s="62" t="s">
        <v>46</v>
      </c>
      <c r="G88" s="63" t="s">
        <v>46</v>
      </c>
      <c r="H88" s="64"/>
      <c r="I88" s="64" t="s">
        <v>47</v>
      </c>
      <c r="J88" s="65">
        <v>1</v>
      </c>
      <c r="K88" s="66">
        <f>18820</f>
        <v>18820</v>
      </c>
      <c r="L88" s="67" t="s">
        <v>857</v>
      </c>
      <c r="M88" s="66">
        <f>19240</f>
        <v>19240</v>
      </c>
      <c r="N88" s="67" t="s">
        <v>857</v>
      </c>
      <c r="O88" s="66">
        <f>18350</f>
        <v>18350</v>
      </c>
      <c r="P88" s="67" t="s">
        <v>371</v>
      </c>
      <c r="Q88" s="66">
        <f>18860</f>
        <v>18860</v>
      </c>
      <c r="R88" s="67" t="s">
        <v>872</v>
      </c>
      <c r="S88" s="68">
        <f>18800.95</f>
        <v>18800.95</v>
      </c>
      <c r="T88" s="65">
        <f>1681</f>
        <v>1681</v>
      </c>
      <c r="U88" s="65" t="str">
        <f>"－"</f>
        <v>－</v>
      </c>
      <c r="V88" s="65">
        <f>31513320</f>
        <v>31513320</v>
      </c>
      <c r="W88" s="65" t="str">
        <f>"－"</f>
        <v>－</v>
      </c>
      <c r="X88" s="69">
        <f>21</f>
        <v>21</v>
      </c>
    </row>
    <row r="89" spans="1:24">
      <c r="A89" s="60" t="s">
        <v>931</v>
      </c>
      <c r="B89" s="60" t="s">
        <v>311</v>
      </c>
      <c r="C89" s="60" t="s">
        <v>312</v>
      </c>
      <c r="D89" s="60" t="s">
        <v>313</v>
      </c>
      <c r="E89" s="61" t="s">
        <v>46</v>
      </c>
      <c r="F89" s="62" t="s">
        <v>46</v>
      </c>
      <c r="G89" s="63" t="s">
        <v>46</v>
      </c>
      <c r="H89" s="64"/>
      <c r="I89" s="64" t="s">
        <v>47</v>
      </c>
      <c r="J89" s="65">
        <v>10</v>
      </c>
      <c r="K89" s="66">
        <f>10500</f>
        <v>10500</v>
      </c>
      <c r="L89" s="67" t="s">
        <v>857</v>
      </c>
      <c r="M89" s="66">
        <f>10530</f>
        <v>10530</v>
      </c>
      <c r="N89" s="67" t="s">
        <v>857</v>
      </c>
      <c r="O89" s="66">
        <f>10300</f>
        <v>10300</v>
      </c>
      <c r="P89" s="67" t="s">
        <v>874</v>
      </c>
      <c r="Q89" s="66">
        <f>10460</f>
        <v>10460</v>
      </c>
      <c r="R89" s="67" t="s">
        <v>872</v>
      </c>
      <c r="S89" s="68">
        <f>10417.62</f>
        <v>10417.620000000001</v>
      </c>
      <c r="T89" s="65">
        <f>7060</f>
        <v>7060</v>
      </c>
      <c r="U89" s="65">
        <f>10</f>
        <v>10</v>
      </c>
      <c r="V89" s="65">
        <f>73518300</f>
        <v>73518300</v>
      </c>
      <c r="W89" s="65">
        <f>103600</f>
        <v>103600</v>
      </c>
      <c r="X89" s="69">
        <f>21</f>
        <v>21</v>
      </c>
    </row>
    <row r="90" spans="1:24">
      <c r="A90" s="60" t="s">
        <v>931</v>
      </c>
      <c r="B90" s="60" t="s">
        <v>314</v>
      </c>
      <c r="C90" s="60" t="s">
        <v>315</v>
      </c>
      <c r="D90" s="60" t="s">
        <v>316</v>
      </c>
      <c r="E90" s="61" t="s">
        <v>46</v>
      </c>
      <c r="F90" s="62" t="s">
        <v>46</v>
      </c>
      <c r="G90" s="63" t="s">
        <v>46</v>
      </c>
      <c r="H90" s="64"/>
      <c r="I90" s="64" t="s">
        <v>47</v>
      </c>
      <c r="J90" s="65">
        <v>1</v>
      </c>
      <c r="K90" s="66">
        <f>2633</f>
        <v>2633</v>
      </c>
      <c r="L90" s="67" t="s">
        <v>857</v>
      </c>
      <c r="M90" s="66">
        <f>2639</f>
        <v>2639</v>
      </c>
      <c r="N90" s="67" t="s">
        <v>858</v>
      </c>
      <c r="O90" s="66">
        <f>2588</f>
        <v>2588</v>
      </c>
      <c r="P90" s="67" t="s">
        <v>875</v>
      </c>
      <c r="Q90" s="66">
        <f>2629</f>
        <v>2629</v>
      </c>
      <c r="R90" s="67" t="s">
        <v>872</v>
      </c>
      <c r="S90" s="68">
        <f>2617.71</f>
        <v>2617.71</v>
      </c>
      <c r="T90" s="65">
        <f>488071</f>
        <v>488071</v>
      </c>
      <c r="U90" s="65">
        <f>440000</f>
        <v>440000</v>
      </c>
      <c r="V90" s="65">
        <f>1275951169</f>
        <v>1275951169</v>
      </c>
      <c r="W90" s="65">
        <f>1150301552</f>
        <v>1150301552</v>
      </c>
      <c r="X90" s="69">
        <f>21</f>
        <v>21</v>
      </c>
    </row>
    <row r="91" spans="1:24">
      <c r="A91" s="60" t="s">
        <v>931</v>
      </c>
      <c r="B91" s="60" t="s">
        <v>317</v>
      </c>
      <c r="C91" s="60" t="s">
        <v>318</v>
      </c>
      <c r="D91" s="60" t="s">
        <v>319</v>
      </c>
      <c r="E91" s="61" t="s">
        <v>46</v>
      </c>
      <c r="F91" s="62" t="s">
        <v>46</v>
      </c>
      <c r="G91" s="63" t="s">
        <v>46</v>
      </c>
      <c r="H91" s="64"/>
      <c r="I91" s="64" t="s">
        <v>47</v>
      </c>
      <c r="J91" s="65">
        <v>1</v>
      </c>
      <c r="K91" s="66">
        <f>2370</f>
        <v>2370</v>
      </c>
      <c r="L91" s="67" t="s">
        <v>857</v>
      </c>
      <c r="M91" s="66">
        <f>2386</f>
        <v>2386</v>
      </c>
      <c r="N91" s="67" t="s">
        <v>176</v>
      </c>
      <c r="O91" s="66">
        <f>2353</f>
        <v>2353</v>
      </c>
      <c r="P91" s="67" t="s">
        <v>131</v>
      </c>
      <c r="Q91" s="66">
        <f>2383</f>
        <v>2383</v>
      </c>
      <c r="R91" s="67" t="s">
        <v>872</v>
      </c>
      <c r="S91" s="68">
        <f>2367.05</f>
        <v>2367.0500000000002</v>
      </c>
      <c r="T91" s="65">
        <f>52063</f>
        <v>52063</v>
      </c>
      <c r="U91" s="65">
        <f>1</f>
        <v>1</v>
      </c>
      <c r="V91" s="65">
        <f>123121548</f>
        <v>123121548</v>
      </c>
      <c r="W91" s="65">
        <f>2373</f>
        <v>2373</v>
      </c>
      <c r="X91" s="69">
        <f>21</f>
        <v>21</v>
      </c>
    </row>
    <row r="92" spans="1:24">
      <c r="A92" s="60" t="s">
        <v>931</v>
      </c>
      <c r="B92" s="60" t="s">
        <v>320</v>
      </c>
      <c r="C92" s="60" t="s">
        <v>321</v>
      </c>
      <c r="D92" s="60" t="s">
        <v>322</v>
      </c>
      <c r="E92" s="61" t="s">
        <v>46</v>
      </c>
      <c r="F92" s="62" t="s">
        <v>46</v>
      </c>
      <c r="G92" s="63" t="s">
        <v>46</v>
      </c>
      <c r="H92" s="64"/>
      <c r="I92" s="64" t="s">
        <v>47</v>
      </c>
      <c r="J92" s="65">
        <v>1</v>
      </c>
      <c r="K92" s="66">
        <f>14650</f>
        <v>14650</v>
      </c>
      <c r="L92" s="67" t="s">
        <v>857</v>
      </c>
      <c r="M92" s="66">
        <f>15000</f>
        <v>15000</v>
      </c>
      <c r="N92" s="67" t="s">
        <v>131</v>
      </c>
      <c r="O92" s="66">
        <f>14270</f>
        <v>14270</v>
      </c>
      <c r="P92" s="67" t="s">
        <v>371</v>
      </c>
      <c r="Q92" s="66">
        <f>14930</f>
        <v>14930</v>
      </c>
      <c r="R92" s="67" t="s">
        <v>872</v>
      </c>
      <c r="S92" s="68">
        <f>14710.48</f>
        <v>14710.48</v>
      </c>
      <c r="T92" s="65">
        <f>10294</f>
        <v>10294</v>
      </c>
      <c r="U92" s="65">
        <f>6852</f>
        <v>6852</v>
      </c>
      <c r="V92" s="65">
        <f>150471809</f>
        <v>150471809</v>
      </c>
      <c r="W92" s="65">
        <f>99977169</f>
        <v>99977169</v>
      </c>
      <c r="X92" s="69">
        <f>21</f>
        <v>21</v>
      </c>
    </row>
    <row r="93" spans="1:24">
      <c r="A93" s="60" t="s">
        <v>931</v>
      </c>
      <c r="B93" s="60" t="s">
        <v>323</v>
      </c>
      <c r="C93" s="60" t="s">
        <v>324</v>
      </c>
      <c r="D93" s="60" t="s">
        <v>325</v>
      </c>
      <c r="E93" s="61" t="s">
        <v>46</v>
      </c>
      <c r="F93" s="62" t="s">
        <v>46</v>
      </c>
      <c r="G93" s="63" t="s">
        <v>46</v>
      </c>
      <c r="H93" s="64"/>
      <c r="I93" s="64" t="s">
        <v>47</v>
      </c>
      <c r="J93" s="65">
        <v>1</v>
      </c>
      <c r="K93" s="66">
        <f>8210</f>
        <v>8210</v>
      </c>
      <c r="L93" s="67" t="s">
        <v>857</v>
      </c>
      <c r="M93" s="66">
        <f>8310</f>
        <v>8310</v>
      </c>
      <c r="N93" s="67" t="s">
        <v>875</v>
      </c>
      <c r="O93" s="66">
        <f>8110</f>
        <v>8110</v>
      </c>
      <c r="P93" s="67" t="s">
        <v>73</v>
      </c>
      <c r="Q93" s="66">
        <f>8160</f>
        <v>8160</v>
      </c>
      <c r="R93" s="67" t="s">
        <v>872</v>
      </c>
      <c r="S93" s="68">
        <f>8171.9</f>
        <v>8171.9</v>
      </c>
      <c r="T93" s="65">
        <f>2459</f>
        <v>2459</v>
      </c>
      <c r="U93" s="65">
        <f>12</f>
        <v>12</v>
      </c>
      <c r="V93" s="65">
        <f>20152700</f>
        <v>20152700</v>
      </c>
      <c r="W93" s="65">
        <f>98130</f>
        <v>98130</v>
      </c>
      <c r="X93" s="69">
        <f>21</f>
        <v>21</v>
      </c>
    </row>
    <row r="94" spans="1:24">
      <c r="A94" s="60" t="s">
        <v>931</v>
      </c>
      <c r="B94" s="60" t="s">
        <v>326</v>
      </c>
      <c r="C94" s="60" t="s">
        <v>327</v>
      </c>
      <c r="D94" s="60" t="s">
        <v>328</v>
      </c>
      <c r="E94" s="61" t="s">
        <v>46</v>
      </c>
      <c r="F94" s="62" t="s">
        <v>46</v>
      </c>
      <c r="G94" s="63" t="s">
        <v>46</v>
      </c>
      <c r="H94" s="64"/>
      <c r="I94" s="64" t="s">
        <v>47</v>
      </c>
      <c r="J94" s="65">
        <v>1</v>
      </c>
      <c r="K94" s="66">
        <f>6080</f>
        <v>6080</v>
      </c>
      <c r="L94" s="67" t="s">
        <v>857</v>
      </c>
      <c r="M94" s="66">
        <f>6120</f>
        <v>6120</v>
      </c>
      <c r="N94" s="67" t="s">
        <v>873</v>
      </c>
      <c r="O94" s="66">
        <f>5830</f>
        <v>5830</v>
      </c>
      <c r="P94" s="67" t="s">
        <v>860</v>
      </c>
      <c r="Q94" s="66">
        <f>6100</f>
        <v>6100</v>
      </c>
      <c r="R94" s="67" t="s">
        <v>872</v>
      </c>
      <c r="S94" s="68">
        <f>6003.81</f>
        <v>6003.81</v>
      </c>
      <c r="T94" s="65">
        <f>1933777</f>
        <v>1933777</v>
      </c>
      <c r="U94" s="65">
        <f>51547</f>
        <v>51547</v>
      </c>
      <c r="V94" s="65">
        <f>11571417359</f>
        <v>11571417359</v>
      </c>
      <c r="W94" s="65">
        <f>310812089</f>
        <v>310812089</v>
      </c>
      <c r="X94" s="69">
        <f>21</f>
        <v>21</v>
      </c>
    </row>
    <row r="95" spans="1:24">
      <c r="A95" s="60" t="s">
        <v>931</v>
      </c>
      <c r="B95" s="60" t="s">
        <v>329</v>
      </c>
      <c r="C95" s="60" t="s">
        <v>330</v>
      </c>
      <c r="D95" s="60" t="s">
        <v>331</v>
      </c>
      <c r="E95" s="61" t="s">
        <v>46</v>
      </c>
      <c r="F95" s="62" t="s">
        <v>46</v>
      </c>
      <c r="G95" s="63" t="s">
        <v>46</v>
      </c>
      <c r="H95" s="64"/>
      <c r="I95" s="64" t="s">
        <v>47</v>
      </c>
      <c r="J95" s="65">
        <v>1</v>
      </c>
      <c r="K95" s="66">
        <f>3495</f>
        <v>3495</v>
      </c>
      <c r="L95" s="67" t="s">
        <v>857</v>
      </c>
      <c r="M95" s="66">
        <f>3520</f>
        <v>3520</v>
      </c>
      <c r="N95" s="67" t="s">
        <v>857</v>
      </c>
      <c r="O95" s="66">
        <f>3220</f>
        <v>3220</v>
      </c>
      <c r="P95" s="67" t="s">
        <v>371</v>
      </c>
      <c r="Q95" s="66">
        <f>3360</f>
        <v>3360</v>
      </c>
      <c r="R95" s="67" t="s">
        <v>872</v>
      </c>
      <c r="S95" s="68">
        <f>3357.86</f>
        <v>3357.86</v>
      </c>
      <c r="T95" s="65">
        <f>707509</f>
        <v>707509</v>
      </c>
      <c r="U95" s="65">
        <f>250</f>
        <v>250</v>
      </c>
      <c r="V95" s="65">
        <f>2371462220</f>
        <v>2371462220</v>
      </c>
      <c r="W95" s="65">
        <f>821400</f>
        <v>821400</v>
      </c>
      <c r="X95" s="69">
        <f>21</f>
        <v>21</v>
      </c>
    </row>
    <row r="96" spans="1:24">
      <c r="A96" s="60" t="s">
        <v>931</v>
      </c>
      <c r="B96" s="60" t="s">
        <v>332</v>
      </c>
      <c r="C96" s="60" t="s">
        <v>333</v>
      </c>
      <c r="D96" s="60" t="s">
        <v>334</v>
      </c>
      <c r="E96" s="61" t="s">
        <v>46</v>
      </c>
      <c r="F96" s="62" t="s">
        <v>46</v>
      </c>
      <c r="G96" s="63" t="s">
        <v>46</v>
      </c>
      <c r="H96" s="64"/>
      <c r="I96" s="64" t="s">
        <v>47</v>
      </c>
      <c r="J96" s="65">
        <v>1</v>
      </c>
      <c r="K96" s="66">
        <f>8380</f>
        <v>8380</v>
      </c>
      <c r="L96" s="67" t="s">
        <v>857</v>
      </c>
      <c r="M96" s="66">
        <f>8410</f>
        <v>8410</v>
      </c>
      <c r="N96" s="67" t="s">
        <v>857</v>
      </c>
      <c r="O96" s="66">
        <f>7610</f>
        <v>7610</v>
      </c>
      <c r="P96" s="67" t="s">
        <v>874</v>
      </c>
      <c r="Q96" s="66">
        <f>7990</f>
        <v>7990</v>
      </c>
      <c r="R96" s="67" t="s">
        <v>872</v>
      </c>
      <c r="S96" s="68">
        <f>7934.29</f>
        <v>7934.29</v>
      </c>
      <c r="T96" s="65">
        <f>273223</f>
        <v>273223</v>
      </c>
      <c r="U96" s="65">
        <f>12</f>
        <v>12</v>
      </c>
      <c r="V96" s="65">
        <f>2147700090</f>
        <v>2147700090</v>
      </c>
      <c r="W96" s="65">
        <f>93080</f>
        <v>93080</v>
      </c>
      <c r="X96" s="69">
        <f>21</f>
        <v>21</v>
      </c>
    </row>
    <row r="97" spans="1:24">
      <c r="A97" s="60" t="s">
        <v>931</v>
      </c>
      <c r="B97" s="60" t="s">
        <v>335</v>
      </c>
      <c r="C97" s="60" t="s">
        <v>336</v>
      </c>
      <c r="D97" s="60" t="s">
        <v>337</v>
      </c>
      <c r="E97" s="61" t="s">
        <v>46</v>
      </c>
      <c r="F97" s="62" t="s">
        <v>46</v>
      </c>
      <c r="G97" s="63" t="s">
        <v>46</v>
      </c>
      <c r="H97" s="64"/>
      <c r="I97" s="64" t="s">
        <v>47</v>
      </c>
      <c r="J97" s="65">
        <v>1</v>
      </c>
      <c r="K97" s="66">
        <f>87000</f>
        <v>87000</v>
      </c>
      <c r="L97" s="67" t="s">
        <v>857</v>
      </c>
      <c r="M97" s="66">
        <f>87400</f>
        <v>87400</v>
      </c>
      <c r="N97" s="67" t="s">
        <v>857</v>
      </c>
      <c r="O97" s="66">
        <f>76700</f>
        <v>76700</v>
      </c>
      <c r="P97" s="67" t="s">
        <v>874</v>
      </c>
      <c r="Q97" s="66">
        <f>81200</f>
        <v>81200</v>
      </c>
      <c r="R97" s="67" t="s">
        <v>872</v>
      </c>
      <c r="S97" s="68">
        <f>82838.1</f>
        <v>82838.100000000006</v>
      </c>
      <c r="T97" s="65">
        <f>2259</f>
        <v>2259</v>
      </c>
      <c r="U97" s="65" t="str">
        <f>"－"</f>
        <v>－</v>
      </c>
      <c r="V97" s="65">
        <f>184024400</f>
        <v>184024400</v>
      </c>
      <c r="W97" s="65" t="str">
        <f>"－"</f>
        <v>－</v>
      </c>
      <c r="X97" s="69">
        <f>21</f>
        <v>21</v>
      </c>
    </row>
    <row r="98" spans="1:24">
      <c r="A98" s="60" t="s">
        <v>931</v>
      </c>
      <c r="B98" s="60" t="s">
        <v>338</v>
      </c>
      <c r="C98" s="60" t="s">
        <v>339</v>
      </c>
      <c r="D98" s="60" t="s">
        <v>340</v>
      </c>
      <c r="E98" s="61" t="s">
        <v>46</v>
      </c>
      <c r="F98" s="62" t="s">
        <v>46</v>
      </c>
      <c r="G98" s="63" t="s">
        <v>46</v>
      </c>
      <c r="H98" s="64"/>
      <c r="I98" s="64" t="s">
        <v>47</v>
      </c>
      <c r="J98" s="65">
        <v>1</v>
      </c>
      <c r="K98" s="66">
        <f>16660</f>
        <v>16660</v>
      </c>
      <c r="L98" s="67" t="s">
        <v>857</v>
      </c>
      <c r="M98" s="66">
        <f>17410</f>
        <v>17410</v>
      </c>
      <c r="N98" s="67" t="s">
        <v>872</v>
      </c>
      <c r="O98" s="66">
        <f>16500</f>
        <v>16500</v>
      </c>
      <c r="P98" s="67" t="s">
        <v>613</v>
      </c>
      <c r="Q98" s="66">
        <f>17400</f>
        <v>17400</v>
      </c>
      <c r="R98" s="67" t="s">
        <v>872</v>
      </c>
      <c r="S98" s="68">
        <f>16843.81</f>
        <v>16843.810000000001</v>
      </c>
      <c r="T98" s="65">
        <f>1145395</f>
        <v>1145395</v>
      </c>
      <c r="U98" s="65">
        <f>33458</f>
        <v>33458</v>
      </c>
      <c r="V98" s="65">
        <f>19279020282</f>
        <v>19279020282</v>
      </c>
      <c r="W98" s="65">
        <f>554793142</f>
        <v>554793142</v>
      </c>
      <c r="X98" s="69">
        <f>21</f>
        <v>21</v>
      </c>
    </row>
    <row r="99" spans="1:24">
      <c r="A99" s="60" t="s">
        <v>931</v>
      </c>
      <c r="B99" s="60" t="s">
        <v>341</v>
      </c>
      <c r="C99" s="60" t="s">
        <v>342</v>
      </c>
      <c r="D99" s="60" t="s">
        <v>343</v>
      </c>
      <c r="E99" s="61" t="s">
        <v>46</v>
      </c>
      <c r="F99" s="62" t="s">
        <v>46</v>
      </c>
      <c r="G99" s="63" t="s">
        <v>46</v>
      </c>
      <c r="H99" s="64"/>
      <c r="I99" s="64" t="s">
        <v>47</v>
      </c>
      <c r="J99" s="65">
        <v>1</v>
      </c>
      <c r="K99" s="66">
        <f>37800</f>
        <v>37800</v>
      </c>
      <c r="L99" s="67" t="s">
        <v>857</v>
      </c>
      <c r="M99" s="66">
        <f>38200</f>
        <v>38200</v>
      </c>
      <c r="N99" s="67" t="s">
        <v>92</v>
      </c>
      <c r="O99" s="66">
        <f>37150</f>
        <v>37150</v>
      </c>
      <c r="P99" s="67" t="s">
        <v>371</v>
      </c>
      <c r="Q99" s="66">
        <f>37950</f>
        <v>37950</v>
      </c>
      <c r="R99" s="67" t="s">
        <v>872</v>
      </c>
      <c r="S99" s="68">
        <f>37742.86</f>
        <v>37742.86</v>
      </c>
      <c r="T99" s="65">
        <f>143702</f>
        <v>143702</v>
      </c>
      <c r="U99" s="65">
        <f>122</f>
        <v>122</v>
      </c>
      <c r="V99" s="65">
        <f>5423553150</f>
        <v>5423553150</v>
      </c>
      <c r="W99" s="65">
        <f>4623500</f>
        <v>4623500</v>
      </c>
      <c r="X99" s="69">
        <f>21</f>
        <v>21</v>
      </c>
    </row>
    <row r="100" spans="1:24">
      <c r="A100" s="60" t="s">
        <v>931</v>
      </c>
      <c r="B100" s="60" t="s">
        <v>344</v>
      </c>
      <c r="C100" s="60" t="s">
        <v>345</v>
      </c>
      <c r="D100" s="60" t="s">
        <v>346</v>
      </c>
      <c r="E100" s="61" t="s">
        <v>46</v>
      </c>
      <c r="F100" s="62" t="s">
        <v>46</v>
      </c>
      <c r="G100" s="63" t="s">
        <v>46</v>
      </c>
      <c r="H100" s="64"/>
      <c r="I100" s="64" t="s">
        <v>47</v>
      </c>
      <c r="J100" s="65">
        <v>10</v>
      </c>
      <c r="K100" s="66">
        <f>5270</f>
        <v>5270</v>
      </c>
      <c r="L100" s="67" t="s">
        <v>857</v>
      </c>
      <c r="M100" s="66">
        <f>5430</f>
        <v>5430</v>
      </c>
      <c r="N100" s="67" t="s">
        <v>872</v>
      </c>
      <c r="O100" s="66">
        <f>5210</f>
        <v>5210</v>
      </c>
      <c r="P100" s="67" t="s">
        <v>858</v>
      </c>
      <c r="Q100" s="66">
        <f>5430</f>
        <v>5430</v>
      </c>
      <c r="R100" s="67" t="s">
        <v>872</v>
      </c>
      <c r="S100" s="68">
        <f>5318.57</f>
        <v>5318.57</v>
      </c>
      <c r="T100" s="65">
        <f>933430</f>
        <v>933430</v>
      </c>
      <c r="U100" s="65">
        <f>19380</f>
        <v>19380</v>
      </c>
      <c r="V100" s="65">
        <f>4961507473</f>
        <v>4961507473</v>
      </c>
      <c r="W100" s="65">
        <f>102056073</f>
        <v>102056073</v>
      </c>
      <c r="X100" s="69">
        <f>21</f>
        <v>21</v>
      </c>
    </row>
    <row r="101" spans="1:24">
      <c r="A101" s="60" t="s">
        <v>931</v>
      </c>
      <c r="B101" s="60" t="s">
        <v>347</v>
      </c>
      <c r="C101" s="60" t="s">
        <v>348</v>
      </c>
      <c r="D101" s="60" t="s">
        <v>349</v>
      </c>
      <c r="E101" s="61" t="s">
        <v>46</v>
      </c>
      <c r="F101" s="62" t="s">
        <v>46</v>
      </c>
      <c r="G101" s="63" t="s">
        <v>46</v>
      </c>
      <c r="H101" s="64"/>
      <c r="I101" s="64" t="s">
        <v>47</v>
      </c>
      <c r="J101" s="65">
        <v>10</v>
      </c>
      <c r="K101" s="66">
        <f>3475</f>
        <v>3475</v>
      </c>
      <c r="L101" s="67" t="s">
        <v>857</v>
      </c>
      <c r="M101" s="66">
        <f>3560</f>
        <v>3560</v>
      </c>
      <c r="N101" s="67" t="s">
        <v>872</v>
      </c>
      <c r="O101" s="66">
        <f>3440</f>
        <v>3440</v>
      </c>
      <c r="P101" s="67" t="s">
        <v>858</v>
      </c>
      <c r="Q101" s="66">
        <f>3560</f>
        <v>3560</v>
      </c>
      <c r="R101" s="67" t="s">
        <v>872</v>
      </c>
      <c r="S101" s="68">
        <f>3498.57</f>
        <v>3498.57</v>
      </c>
      <c r="T101" s="65">
        <f>361260</f>
        <v>361260</v>
      </c>
      <c r="U101" s="65">
        <f>268500</f>
        <v>268500</v>
      </c>
      <c r="V101" s="65">
        <f>1254015600</f>
        <v>1254015600</v>
      </c>
      <c r="W101" s="65">
        <f>929257450</f>
        <v>929257450</v>
      </c>
      <c r="X101" s="69">
        <f>21</f>
        <v>21</v>
      </c>
    </row>
    <row r="102" spans="1:24">
      <c r="A102" s="60" t="s">
        <v>931</v>
      </c>
      <c r="B102" s="60" t="s">
        <v>350</v>
      </c>
      <c r="C102" s="60" t="s">
        <v>351</v>
      </c>
      <c r="D102" s="60" t="s">
        <v>352</v>
      </c>
      <c r="E102" s="61" t="s">
        <v>46</v>
      </c>
      <c r="F102" s="62" t="s">
        <v>46</v>
      </c>
      <c r="G102" s="63" t="s">
        <v>46</v>
      </c>
      <c r="H102" s="64"/>
      <c r="I102" s="64" t="s">
        <v>47</v>
      </c>
      <c r="J102" s="65">
        <v>10</v>
      </c>
      <c r="K102" s="66">
        <f>5190</f>
        <v>5190</v>
      </c>
      <c r="L102" s="67" t="s">
        <v>857</v>
      </c>
      <c r="M102" s="66">
        <f>5520</f>
        <v>5520</v>
      </c>
      <c r="N102" s="67" t="s">
        <v>872</v>
      </c>
      <c r="O102" s="66">
        <f>5190</f>
        <v>5190</v>
      </c>
      <c r="P102" s="67" t="s">
        <v>857</v>
      </c>
      <c r="Q102" s="66">
        <f>5510</f>
        <v>5510</v>
      </c>
      <c r="R102" s="67" t="s">
        <v>872</v>
      </c>
      <c r="S102" s="68">
        <f>5334.29</f>
        <v>5334.29</v>
      </c>
      <c r="T102" s="65">
        <f>10810</f>
        <v>10810</v>
      </c>
      <c r="U102" s="65" t="str">
        <f>"－"</f>
        <v>－</v>
      </c>
      <c r="V102" s="65">
        <f>57622200</f>
        <v>57622200</v>
      </c>
      <c r="W102" s="65" t="str">
        <f>"－"</f>
        <v>－</v>
      </c>
      <c r="X102" s="69">
        <f>21</f>
        <v>21</v>
      </c>
    </row>
    <row r="103" spans="1:24">
      <c r="A103" s="60" t="s">
        <v>931</v>
      </c>
      <c r="B103" s="60" t="s">
        <v>353</v>
      </c>
      <c r="C103" s="60" t="s">
        <v>354</v>
      </c>
      <c r="D103" s="60" t="s">
        <v>355</v>
      </c>
      <c r="E103" s="61" t="s">
        <v>46</v>
      </c>
      <c r="F103" s="62" t="s">
        <v>46</v>
      </c>
      <c r="G103" s="63" t="s">
        <v>46</v>
      </c>
      <c r="H103" s="64"/>
      <c r="I103" s="64" t="s">
        <v>47</v>
      </c>
      <c r="J103" s="65">
        <v>1</v>
      </c>
      <c r="K103" s="66">
        <f>2640</f>
        <v>2640</v>
      </c>
      <c r="L103" s="67" t="s">
        <v>857</v>
      </c>
      <c r="M103" s="66">
        <f>2732</f>
        <v>2732</v>
      </c>
      <c r="N103" s="67" t="s">
        <v>858</v>
      </c>
      <c r="O103" s="66">
        <f>2226</f>
        <v>2226</v>
      </c>
      <c r="P103" s="67" t="s">
        <v>872</v>
      </c>
      <c r="Q103" s="66">
        <f>2227</f>
        <v>2227</v>
      </c>
      <c r="R103" s="67" t="s">
        <v>872</v>
      </c>
      <c r="S103" s="68">
        <f>2450.81</f>
        <v>2450.81</v>
      </c>
      <c r="T103" s="65">
        <f>33188185</f>
        <v>33188185</v>
      </c>
      <c r="U103" s="65">
        <f>53342</f>
        <v>53342</v>
      </c>
      <c r="V103" s="65">
        <f>81704414897</f>
        <v>81704414897</v>
      </c>
      <c r="W103" s="65">
        <f>133562024</f>
        <v>133562024</v>
      </c>
      <c r="X103" s="69">
        <f>21</f>
        <v>21</v>
      </c>
    </row>
    <row r="104" spans="1:24">
      <c r="A104" s="60" t="s">
        <v>931</v>
      </c>
      <c r="B104" s="60" t="s">
        <v>356</v>
      </c>
      <c r="C104" s="60" t="s">
        <v>357</v>
      </c>
      <c r="D104" s="60" t="s">
        <v>358</v>
      </c>
      <c r="E104" s="61" t="s">
        <v>46</v>
      </c>
      <c r="F104" s="62" t="s">
        <v>46</v>
      </c>
      <c r="G104" s="63" t="s">
        <v>46</v>
      </c>
      <c r="H104" s="64"/>
      <c r="I104" s="64" t="s">
        <v>47</v>
      </c>
      <c r="J104" s="65">
        <v>10</v>
      </c>
      <c r="K104" s="66">
        <f>2980</f>
        <v>2980</v>
      </c>
      <c r="L104" s="67" t="s">
        <v>857</v>
      </c>
      <c r="M104" s="66">
        <f>3065</f>
        <v>3065</v>
      </c>
      <c r="N104" s="67" t="s">
        <v>872</v>
      </c>
      <c r="O104" s="66">
        <f>2947</f>
        <v>2947</v>
      </c>
      <c r="P104" s="67" t="s">
        <v>371</v>
      </c>
      <c r="Q104" s="66">
        <f>3065</f>
        <v>3065</v>
      </c>
      <c r="R104" s="67" t="s">
        <v>872</v>
      </c>
      <c r="S104" s="68">
        <f>3009.29</f>
        <v>3009.29</v>
      </c>
      <c r="T104" s="65">
        <f>84790</f>
        <v>84790</v>
      </c>
      <c r="U104" s="65">
        <f>80</f>
        <v>80</v>
      </c>
      <c r="V104" s="65">
        <f>255107530</f>
        <v>255107530</v>
      </c>
      <c r="W104" s="65">
        <f>240050</f>
        <v>240050</v>
      </c>
      <c r="X104" s="69">
        <f>21</f>
        <v>21</v>
      </c>
    </row>
    <row r="105" spans="1:24">
      <c r="A105" s="60" t="s">
        <v>931</v>
      </c>
      <c r="B105" s="60" t="s">
        <v>359</v>
      </c>
      <c r="C105" s="60" t="s">
        <v>360</v>
      </c>
      <c r="D105" s="60" t="s">
        <v>361</v>
      </c>
      <c r="E105" s="61" t="s">
        <v>46</v>
      </c>
      <c r="F105" s="62" t="s">
        <v>46</v>
      </c>
      <c r="G105" s="63" t="s">
        <v>46</v>
      </c>
      <c r="H105" s="64"/>
      <c r="I105" s="64" t="s">
        <v>47</v>
      </c>
      <c r="J105" s="65">
        <v>10</v>
      </c>
      <c r="K105" s="66">
        <f>1674</f>
        <v>1674</v>
      </c>
      <c r="L105" s="67" t="s">
        <v>857</v>
      </c>
      <c r="M105" s="66">
        <f>1756</f>
        <v>1756</v>
      </c>
      <c r="N105" s="67" t="s">
        <v>872</v>
      </c>
      <c r="O105" s="66">
        <f>1654</f>
        <v>1654</v>
      </c>
      <c r="P105" s="67" t="s">
        <v>857</v>
      </c>
      <c r="Q105" s="66">
        <f>1751</f>
        <v>1751</v>
      </c>
      <c r="R105" s="67" t="s">
        <v>872</v>
      </c>
      <c r="S105" s="68">
        <f>1702.05</f>
        <v>1702.05</v>
      </c>
      <c r="T105" s="65">
        <f>116170</f>
        <v>116170</v>
      </c>
      <c r="U105" s="65">
        <f>200</f>
        <v>200</v>
      </c>
      <c r="V105" s="65">
        <f>197685380</f>
        <v>197685380</v>
      </c>
      <c r="W105" s="65">
        <f>324720</f>
        <v>324720</v>
      </c>
      <c r="X105" s="69">
        <f>21</f>
        <v>21</v>
      </c>
    </row>
    <row r="106" spans="1:24">
      <c r="A106" s="60" t="s">
        <v>931</v>
      </c>
      <c r="B106" s="60" t="s">
        <v>362</v>
      </c>
      <c r="C106" s="60" t="s">
        <v>363</v>
      </c>
      <c r="D106" s="60" t="s">
        <v>364</v>
      </c>
      <c r="E106" s="61" t="s">
        <v>46</v>
      </c>
      <c r="F106" s="62" t="s">
        <v>46</v>
      </c>
      <c r="G106" s="63" t="s">
        <v>46</v>
      </c>
      <c r="H106" s="64"/>
      <c r="I106" s="64" t="s">
        <v>47</v>
      </c>
      <c r="J106" s="65">
        <v>1</v>
      </c>
      <c r="K106" s="66">
        <f>48250</f>
        <v>48250</v>
      </c>
      <c r="L106" s="67" t="s">
        <v>857</v>
      </c>
      <c r="M106" s="66">
        <f>49850</f>
        <v>49850</v>
      </c>
      <c r="N106" s="67" t="s">
        <v>872</v>
      </c>
      <c r="O106" s="66">
        <f>47800</f>
        <v>47800</v>
      </c>
      <c r="P106" s="67" t="s">
        <v>858</v>
      </c>
      <c r="Q106" s="66">
        <f>49850</f>
        <v>49850</v>
      </c>
      <c r="R106" s="67" t="s">
        <v>872</v>
      </c>
      <c r="S106" s="68">
        <f>48797.62</f>
        <v>48797.62</v>
      </c>
      <c r="T106" s="65">
        <f>307253</f>
        <v>307253</v>
      </c>
      <c r="U106" s="65">
        <f>84000</f>
        <v>84000</v>
      </c>
      <c r="V106" s="65">
        <f>14993104950</f>
        <v>14993104950</v>
      </c>
      <c r="W106" s="65">
        <f>4110191800</f>
        <v>4110191800</v>
      </c>
      <c r="X106" s="69">
        <f>21</f>
        <v>21</v>
      </c>
    </row>
    <row r="107" spans="1:24">
      <c r="A107" s="60" t="s">
        <v>931</v>
      </c>
      <c r="B107" s="60" t="s">
        <v>365</v>
      </c>
      <c r="C107" s="60" t="s">
        <v>366</v>
      </c>
      <c r="D107" s="60" t="s">
        <v>367</v>
      </c>
      <c r="E107" s="61" t="s">
        <v>46</v>
      </c>
      <c r="F107" s="62" t="s">
        <v>46</v>
      </c>
      <c r="G107" s="63" t="s">
        <v>46</v>
      </c>
      <c r="H107" s="64"/>
      <c r="I107" s="64" t="s">
        <v>47</v>
      </c>
      <c r="J107" s="65">
        <v>1</v>
      </c>
      <c r="K107" s="66">
        <f>3000</f>
        <v>3000</v>
      </c>
      <c r="L107" s="67" t="s">
        <v>857</v>
      </c>
      <c r="M107" s="66">
        <f>3110</f>
        <v>3110</v>
      </c>
      <c r="N107" s="67" t="s">
        <v>856</v>
      </c>
      <c r="O107" s="66">
        <f>2960</f>
        <v>2960</v>
      </c>
      <c r="P107" s="67" t="s">
        <v>874</v>
      </c>
      <c r="Q107" s="66">
        <f>3060</f>
        <v>3060</v>
      </c>
      <c r="R107" s="67" t="s">
        <v>872</v>
      </c>
      <c r="S107" s="68">
        <f>3019.38</f>
        <v>3019.38</v>
      </c>
      <c r="T107" s="65">
        <f>16242</f>
        <v>16242</v>
      </c>
      <c r="U107" s="65" t="str">
        <f>"－"</f>
        <v>－</v>
      </c>
      <c r="V107" s="65">
        <f>48957202</f>
        <v>48957202</v>
      </c>
      <c r="W107" s="65" t="str">
        <f>"－"</f>
        <v>－</v>
      </c>
      <c r="X107" s="69">
        <f>21</f>
        <v>21</v>
      </c>
    </row>
    <row r="108" spans="1:24">
      <c r="A108" s="60" t="s">
        <v>931</v>
      </c>
      <c r="B108" s="60" t="s">
        <v>368</v>
      </c>
      <c r="C108" s="60" t="s">
        <v>369</v>
      </c>
      <c r="D108" s="60" t="s">
        <v>370</v>
      </c>
      <c r="E108" s="61" t="s">
        <v>46</v>
      </c>
      <c r="F108" s="62" t="s">
        <v>46</v>
      </c>
      <c r="G108" s="63" t="s">
        <v>46</v>
      </c>
      <c r="H108" s="64"/>
      <c r="I108" s="64" t="s">
        <v>47</v>
      </c>
      <c r="J108" s="65">
        <v>1</v>
      </c>
      <c r="K108" s="66">
        <f>3970</f>
        <v>3970</v>
      </c>
      <c r="L108" s="67" t="s">
        <v>857</v>
      </c>
      <c r="M108" s="66">
        <f>4080</f>
        <v>4080</v>
      </c>
      <c r="N108" s="67" t="s">
        <v>872</v>
      </c>
      <c r="O108" s="66">
        <f>3735</f>
        <v>3735</v>
      </c>
      <c r="P108" s="67" t="s">
        <v>77</v>
      </c>
      <c r="Q108" s="66">
        <f>4050</f>
        <v>4050</v>
      </c>
      <c r="R108" s="67" t="s">
        <v>872</v>
      </c>
      <c r="S108" s="68">
        <f>3881.9</f>
        <v>3881.9</v>
      </c>
      <c r="T108" s="65">
        <f>13510</f>
        <v>13510</v>
      </c>
      <c r="U108" s="65" t="str">
        <f>"－"</f>
        <v>－</v>
      </c>
      <c r="V108" s="65">
        <f>52182900</f>
        <v>52182900</v>
      </c>
      <c r="W108" s="65" t="str">
        <f>"－"</f>
        <v>－</v>
      </c>
      <c r="X108" s="69">
        <f>21</f>
        <v>21</v>
      </c>
    </row>
    <row r="109" spans="1:24">
      <c r="A109" s="60" t="s">
        <v>931</v>
      </c>
      <c r="B109" s="60" t="s">
        <v>372</v>
      </c>
      <c r="C109" s="60" t="s">
        <v>373</v>
      </c>
      <c r="D109" s="60" t="s">
        <v>374</v>
      </c>
      <c r="E109" s="61" t="s">
        <v>46</v>
      </c>
      <c r="F109" s="62" t="s">
        <v>46</v>
      </c>
      <c r="G109" s="63" t="s">
        <v>46</v>
      </c>
      <c r="H109" s="64"/>
      <c r="I109" s="64" t="s">
        <v>47</v>
      </c>
      <c r="J109" s="65">
        <v>1</v>
      </c>
      <c r="K109" s="66">
        <f>4065</f>
        <v>4065</v>
      </c>
      <c r="L109" s="67" t="s">
        <v>857</v>
      </c>
      <c r="M109" s="66">
        <f>4505</f>
        <v>4505</v>
      </c>
      <c r="N109" s="67" t="s">
        <v>176</v>
      </c>
      <c r="O109" s="66">
        <f>3920</f>
        <v>3920</v>
      </c>
      <c r="P109" s="67" t="s">
        <v>100</v>
      </c>
      <c r="Q109" s="66">
        <f>4455</f>
        <v>4455</v>
      </c>
      <c r="R109" s="67" t="s">
        <v>872</v>
      </c>
      <c r="S109" s="68">
        <f>4160.95</f>
        <v>4160.95</v>
      </c>
      <c r="T109" s="65">
        <f>220922</f>
        <v>220922</v>
      </c>
      <c r="U109" s="65">
        <f>4</f>
        <v>4</v>
      </c>
      <c r="V109" s="65">
        <f>935978235</f>
        <v>935978235</v>
      </c>
      <c r="W109" s="65">
        <f>15950</f>
        <v>15950</v>
      </c>
      <c r="X109" s="69">
        <f>21</f>
        <v>21</v>
      </c>
    </row>
    <row r="110" spans="1:24">
      <c r="A110" s="60" t="s">
        <v>931</v>
      </c>
      <c r="B110" s="60" t="s">
        <v>375</v>
      </c>
      <c r="C110" s="60" t="s">
        <v>376</v>
      </c>
      <c r="D110" s="60" t="s">
        <v>377</v>
      </c>
      <c r="E110" s="61" t="s">
        <v>46</v>
      </c>
      <c r="F110" s="62" t="s">
        <v>46</v>
      </c>
      <c r="G110" s="63" t="s">
        <v>46</v>
      </c>
      <c r="H110" s="64"/>
      <c r="I110" s="64" t="s">
        <v>47</v>
      </c>
      <c r="J110" s="65">
        <v>1</v>
      </c>
      <c r="K110" s="66">
        <f>44400</f>
        <v>44400</v>
      </c>
      <c r="L110" s="67" t="s">
        <v>857</v>
      </c>
      <c r="M110" s="66">
        <f>44600</f>
        <v>44600</v>
      </c>
      <c r="N110" s="67" t="s">
        <v>872</v>
      </c>
      <c r="O110" s="66">
        <f>43600</f>
        <v>43600</v>
      </c>
      <c r="P110" s="67" t="s">
        <v>371</v>
      </c>
      <c r="Q110" s="66">
        <f>44550</f>
        <v>44550</v>
      </c>
      <c r="R110" s="67" t="s">
        <v>872</v>
      </c>
      <c r="S110" s="68">
        <f>44159.52</f>
        <v>44159.519999999997</v>
      </c>
      <c r="T110" s="65">
        <f>16448</f>
        <v>16448</v>
      </c>
      <c r="U110" s="65">
        <f>112</f>
        <v>112</v>
      </c>
      <c r="V110" s="65">
        <f>724893365</f>
        <v>724893365</v>
      </c>
      <c r="W110" s="65">
        <f>4973315</f>
        <v>4973315</v>
      </c>
      <c r="X110" s="69">
        <f>21</f>
        <v>21</v>
      </c>
    </row>
    <row r="111" spans="1:24">
      <c r="A111" s="60" t="s">
        <v>931</v>
      </c>
      <c r="B111" s="60" t="s">
        <v>378</v>
      </c>
      <c r="C111" s="60" t="s">
        <v>379</v>
      </c>
      <c r="D111" s="60" t="s">
        <v>380</v>
      </c>
      <c r="E111" s="61" t="s">
        <v>46</v>
      </c>
      <c r="F111" s="62" t="s">
        <v>46</v>
      </c>
      <c r="G111" s="63" t="s">
        <v>46</v>
      </c>
      <c r="H111" s="64" t="s">
        <v>540</v>
      </c>
      <c r="I111" s="64" t="s">
        <v>47</v>
      </c>
      <c r="J111" s="65">
        <v>10</v>
      </c>
      <c r="K111" s="66">
        <f>1245</f>
        <v>1245</v>
      </c>
      <c r="L111" s="67" t="s">
        <v>77</v>
      </c>
      <c r="M111" s="66">
        <f>1290</f>
        <v>1290</v>
      </c>
      <c r="N111" s="67" t="s">
        <v>176</v>
      </c>
      <c r="O111" s="66">
        <f>1227</f>
        <v>1227</v>
      </c>
      <c r="P111" s="67" t="s">
        <v>77</v>
      </c>
      <c r="Q111" s="66">
        <f>1250</f>
        <v>1250</v>
      </c>
      <c r="R111" s="67" t="s">
        <v>73</v>
      </c>
      <c r="S111" s="68">
        <f>1248.4</f>
        <v>1248.4000000000001</v>
      </c>
      <c r="T111" s="65">
        <f>570</f>
        <v>570</v>
      </c>
      <c r="U111" s="65" t="str">
        <f>"－"</f>
        <v>－</v>
      </c>
      <c r="V111" s="65">
        <f>709750</f>
        <v>709750</v>
      </c>
      <c r="W111" s="65" t="str">
        <f>"－"</f>
        <v>－</v>
      </c>
      <c r="X111" s="69">
        <f>5</f>
        <v>5</v>
      </c>
    </row>
    <row r="112" spans="1:24">
      <c r="A112" s="60" t="s">
        <v>931</v>
      </c>
      <c r="B112" s="60" t="s">
        <v>381</v>
      </c>
      <c r="C112" s="60" t="s">
        <v>382</v>
      </c>
      <c r="D112" s="60" t="s">
        <v>383</v>
      </c>
      <c r="E112" s="61" t="s">
        <v>46</v>
      </c>
      <c r="F112" s="62" t="s">
        <v>46</v>
      </c>
      <c r="G112" s="63" t="s">
        <v>46</v>
      </c>
      <c r="H112" s="64"/>
      <c r="I112" s="64" t="s">
        <v>47</v>
      </c>
      <c r="J112" s="65">
        <v>10</v>
      </c>
      <c r="K112" s="66">
        <f>23230</f>
        <v>23230</v>
      </c>
      <c r="L112" s="67" t="s">
        <v>857</v>
      </c>
      <c r="M112" s="66">
        <f>24470</f>
        <v>24470</v>
      </c>
      <c r="N112" s="67" t="s">
        <v>131</v>
      </c>
      <c r="O112" s="66">
        <f>22170</f>
        <v>22170</v>
      </c>
      <c r="P112" s="67" t="s">
        <v>371</v>
      </c>
      <c r="Q112" s="66">
        <f>24190</f>
        <v>24190</v>
      </c>
      <c r="R112" s="67" t="s">
        <v>872</v>
      </c>
      <c r="S112" s="68">
        <f>23476.67</f>
        <v>23476.67</v>
      </c>
      <c r="T112" s="65">
        <f>3636270</f>
        <v>3636270</v>
      </c>
      <c r="U112" s="65">
        <f>3960</f>
        <v>3960</v>
      </c>
      <c r="V112" s="65">
        <f>85311350200</f>
        <v>85311350200</v>
      </c>
      <c r="W112" s="65">
        <f>93502500</f>
        <v>93502500</v>
      </c>
      <c r="X112" s="69">
        <f>21</f>
        <v>21</v>
      </c>
    </row>
    <row r="113" spans="1:24">
      <c r="A113" s="60" t="s">
        <v>931</v>
      </c>
      <c r="B113" s="60" t="s">
        <v>384</v>
      </c>
      <c r="C113" s="60" t="s">
        <v>385</v>
      </c>
      <c r="D113" s="60" t="s">
        <v>386</v>
      </c>
      <c r="E113" s="61" t="s">
        <v>46</v>
      </c>
      <c r="F113" s="62" t="s">
        <v>46</v>
      </c>
      <c r="G113" s="63" t="s">
        <v>46</v>
      </c>
      <c r="H113" s="64"/>
      <c r="I113" s="64" t="s">
        <v>47</v>
      </c>
      <c r="J113" s="65">
        <v>10</v>
      </c>
      <c r="K113" s="66">
        <f>2256</f>
        <v>2256</v>
      </c>
      <c r="L113" s="67" t="s">
        <v>857</v>
      </c>
      <c r="M113" s="66">
        <f>2302</f>
        <v>2302</v>
      </c>
      <c r="N113" s="67" t="s">
        <v>371</v>
      </c>
      <c r="O113" s="66">
        <f>2192</f>
        <v>2192</v>
      </c>
      <c r="P113" s="67" t="s">
        <v>872</v>
      </c>
      <c r="Q113" s="66">
        <f>2201</f>
        <v>2201</v>
      </c>
      <c r="R113" s="67" t="s">
        <v>872</v>
      </c>
      <c r="S113" s="68">
        <f>2238.57</f>
        <v>2238.5700000000002</v>
      </c>
      <c r="T113" s="65">
        <f>379230</f>
        <v>379230</v>
      </c>
      <c r="U113" s="65">
        <f>27650</f>
        <v>27650</v>
      </c>
      <c r="V113" s="65">
        <f>847931820</f>
        <v>847931820</v>
      </c>
      <c r="W113" s="65">
        <f>61736500</f>
        <v>61736500</v>
      </c>
      <c r="X113" s="69">
        <f>21</f>
        <v>21</v>
      </c>
    </row>
    <row r="114" spans="1:24">
      <c r="A114" s="60" t="s">
        <v>931</v>
      </c>
      <c r="B114" s="60" t="s">
        <v>387</v>
      </c>
      <c r="C114" s="60" t="s">
        <v>388</v>
      </c>
      <c r="D114" s="60" t="s">
        <v>389</v>
      </c>
      <c r="E114" s="61" t="s">
        <v>46</v>
      </c>
      <c r="F114" s="62" t="s">
        <v>46</v>
      </c>
      <c r="G114" s="63" t="s">
        <v>46</v>
      </c>
      <c r="H114" s="64"/>
      <c r="I114" s="64" t="s">
        <v>47</v>
      </c>
      <c r="J114" s="65">
        <v>1</v>
      </c>
      <c r="K114" s="66">
        <f>14360</f>
        <v>14360</v>
      </c>
      <c r="L114" s="67" t="s">
        <v>857</v>
      </c>
      <c r="M114" s="66">
        <f>15130</f>
        <v>15130</v>
      </c>
      <c r="N114" s="67" t="s">
        <v>131</v>
      </c>
      <c r="O114" s="66">
        <f>13740</f>
        <v>13740</v>
      </c>
      <c r="P114" s="67" t="s">
        <v>371</v>
      </c>
      <c r="Q114" s="66">
        <f>14940</f>
        <v>14940</v>
      </c>
      <c r="R114" s="67" t="s">
        <v>872</v>
      </c>
      <c r="S114" s="68">
        <f>14507.62</f>
        <v>14507.62</v>
      </c>
      <c r="T114" s="65">
        <f>111333359</f>
        <v>111333359</v>
      </c>
      <c r="U114" s="65">
        <f>59425</f>
        <v>59425</v>
      </c>
      <c r="V114" s="65">
        <f>1611859120654</f>
        <v>1611859120654</v>
      </c>
      <c r="W114" s="65">
        <f>857508884</f>
        <v>857508884</v>
      </c>
      <c r="X114" s="69">
        <f>21</f>
        <v>21</v>
      </c>
    </row>
    <row r="115" spans="1:24">
      <c r="A115" s="60" t="s">
        <v>931</v>
      </c>
      <c r="B115" s="60" t="s">
        <v>390</v>
      </c>
      <c r="C115" s="60" t="s">
        <v>391</v>
      </c>
      <c r="D115" s="60" t="s">
        <v>392</v>
      </c>
      <c r="E115" s="61" t="s">
        <v>46</v>
      </c>
      <c r="F115" s="62" t="s">
        <v>46</v>
      </c>
      <c r="G115" s="63" t="s">
        <v>46</v>
      </c>
      <c r="H115" s="64"/>
      <c r="I115" s="64" t="s">
        <v>47</v>
      </c>
      <c r="J115" s="65">
        <v>1</v>
      </c>
      <c r="K115" s="66">
        <f>1056</f>
        <v>1056</v>
      </c>
      <c r="L115" s="67" t="s">
        <v>857</v>
      </c>
      <c r="M115" s="66">
        <f>1076</f>
        <v>1076</v>
      </c>
      <c r="N115" s="67" t="s">
        <v>371</v>
      </c>
      <c r="O115" s="66">
        <f>1027</f>
        <v>1027</v>
      </c>
      <c r="P115" s="67" t="s">
        <v>131</v>
      </c>
      <c r="Q115" s="66">
        <f>1031</f>
        <v>1031</v>
      </c>
      <c r="R115" s="67" t="s">
        <v>872</v>
      </c>
      <c r="S115" s="68">
        <f>1048.43</f>
        <v>1048.43</v>
      </c>
      <c r="T115" s="65">
        <f>12842553</f>
        <v>12842553</v>
      </c>
      <c r="U115" s="65">
        <f>960000</f>
        <v>960000</v>
      </c>
      <c r="V115" s="65">
        <f>13486433881</f>
        <v>13486433881</v>
      </c>
      <c r="W115" s="65">
        <f>990336000</f>
        <v>990336000</v>
      </c>
      <c r="X115" s="69">
        <f>21</f>
        <v>21</v>
      </c>
    </row>
    <row r="116" spans="1:24">
      <c r="A116" s="60" t="s">
        <v>931</v>
      </c>
      <c r="B116" s="60" t="s">
        <v>393</v>
      </c>
      <c r="C116" s="60" t="s">
        <v>394</v>
      </c>
      <c r="D116" s="60" t="s">
        <v>395</v>
      </c>
      <c r="E116" s="61" t="s">
        <v>46</v>
      </c>
      <c r="F116" s="62" t="s">
        <v>46</v>
      </c>
      <c r="G116" s="63" t="s">
        <v>46</v>
      </c>
      <c r="H116" s="64"/>
      <c r="I116" s="64" t="s">
        <v>47</v>
      </c>
      <c r="J116" s="65">
        <v>10</v>
      </c>
      <c r="K116" s="66">
        <f>8400</f>
        <v>8400</v>
      </c>
      <c r="L116" s="67" t="s">
        <v>857</v>
      </c>
      <c r="M116" s="66">
        <f>9120</f>
        <v>9120</v>
      </c>
      <c r="N116" s="67" t="s">
        <v>131</v>
      </c>
      <c r="O116" s="66">
        <f>7550</f>
        <v>7550</v>
      </c>
      <c r="P116" s="67" t="s">
        <v>371</v>
      </c>
      <c r="Q116" s="66">
        <f>8030</f>
        <v>8030</v>
      </c>
      <c r="R116" s="67" t="s">
        <v>872</v>
      </c>
      <c r="S116" s="68">
        <f>8353.81</f>
        <v>8353.81</v>
      </c>
      <c r="T116" s="65">
        <f>53690</f>
        <v>53690</v>
      </c>
      <c r="U116" s="65">
        <f>80</f>
        <v>80</v>
      </c>
      <c r="V116" s="65">
        <f>440669500</f>
        <v>440669500</v>
      </c>
      <c r="W116" s="65">
        <f>641600</f>
        <v>641600</v>
      </c>
      <c r="X116" s="69">
        <f>21</f>
        <v>21</v>
      </c>
    </row>
    <row r="117" spans="1:24">
      <c r="A117" s="60" t="s">
        <v>931</v>
      </c>
      <c r="B117" s="60" t="s">
        <v>396</v>
      </c>
      <c r="C117" s="60" t="s">
        <v>397</v>
      </c>
      <c r="D117" s="60" t="s">
        <v>398</v>
      </c>
      <c r="E117" s="61" t="s">
        <v>46</v>
      </c>
      <c r="F117" s="62" t="s">
        <v>46</v>
      </c>
      <c r="G117" s="63" t="s">
        <v>46</v>
      </c>
      <c r="H117" s="64"/>
      <c r="I117" s="64" t="s">
        <v>47</v>
      </c>
      <c r="J117" s="65">
        <v>10</v>
      </c>
      <c r="K117" s="66">
        <f>7550</f>
        <v>7550</v>
      </c>
      <c r="L117" s="67" t="s">
        <v>857</v>
      </c>
      <c r="M117" s="66">
        <f>8000</f>
        <v>8000</v>
      </c>
      <c r="N117" s="67" t="s">
        <v>371</v>
      </c>
      <c r="O117" s="66">
        <f>7210</f>
        <v>7210</v>
      </c>
      <c r="P117" s="67" t="s">
        <v>48</v>
      </c>
      <c r="Q117" s="66">
        <f>7840</f>
        <v>7840</v>
      </c>
      <c r="R117" s="67" t="s">
        <v>872</v>
      </c>
      <c r="S117" s="68">
        <f>7596.19</f>
        <v>7596.19</v>
      </c>
      <c r="T117" s="65">
        <f>12400</f>
        <v>12400</v>
      </c>
      <c r="U117" s="65" t="str">
        <f>"－"</f>
        <v>－</v>
      </c>
      <c r="V117" s="65">
        <f>95079000</f>
        <v>95079000</v>
      </c>
      <c r="W117" s="65" t="str">
        <f>"－"</f>
        <v>－</v>
      </c>
      <c r="X117" s="69">
        <f>21</f>
        <v>21</v>
      </c>
    </row>
    <row r="118" spans="1:24">
      <c r="A118" s="60" t="s">
        <v>931</v>
      </c>
      <c r="B118" s="60" t="s">
        <v>399</v>
      </c>
      <c r="C118" s="60" t="s">
        <v>400</v>
      </c>
      <c r="D118" s="60" t="s">
        <v>401</v>
      </c>
      <c r="E118" s="61" t="s">
        <v>46</v>
      </c>
      <c r="F118" s="62" t="s">
        <v>46</v>
      </c>
      <c r="G118" s="63" t="s">
        <v>46</v>
      </c>
      <c r="H118" s="64" t="s">
        <v>540</v>
      </c>
      <c r="I118" s="64" t="s">
        <v>47</v>
      </c>
      <c r="J118" s="65">
        <v>10</v>
      </c>
      <c r="K118" s="66">
        <f>1650</f>
        <v>1650</v>
      </c>
      <c r="L118" s="67" t="s">
        <v>77</v>
      </c>
      <c r="M118" s="66">
        <f>1680</f>
        <v>1680</v>
      </c>
      <c r="N118" s="67" t="s">
        <v>176</v>
      </c>
      <c r="O118" s="66">
        <f>1645</f>
        <v>1645</v>
      </c>
      <c r="P118" s="67" t="s">
        <v>77</v>
      </c>
      <c r="Q118" s="66">
        <f>1677</f>
        <v>1677</v>
      </c>
      <c r="R118" s="67" t="s">
        <v>873</v>
      </c>
      <c r="S118" s="68">
        <f>1661.2</f>
        <v>1661.2</v>
      </c>
      <c r="T118" s="65">
        <f>2490</f>
        <v>2490</v>
      </c>
      <c r="U118" s="65" t="str">
        <f>"－"</f>
        <v>－</v>
      </c>
      <c r="V118" s="65">
        <f>4103050</f>
        <v>4103050</v>
      </c>
      <c r="W118" s="65" t="str">
        <f>"－"</f>
        <v>－</v>
      </c>
      <c r="X118" s="69">
        <f>5</f>
        <v>5</v>
      </c>
    </row>
    <row r="119" spans="1:24">
      <c r="A119" s="60" t="s">
        <v>931</v>
      </c>
      <c r="B119" s="60" t="s">
        <v>402</v>
      </c>
      <c r="C119" s="60" t="s">
        <v>403</v>
      </c>
      <c r="D119" s="60" t="s">
        <v>404</v>
      </c>
      <c r="E119" s="61" t="s">
        <v>46</v>
      </c>
      <c r="F119" s="62" t="s">
        <v>46</v>
      </c>
      <c r="G119" s="63" t="s">
        <v>46</v>
      </c>
      <c r="H119" s="64"/>
      <c r="I119" s="64" t="s">
        <v>47</v>
      </c>
      <c r="J119" s="65">
        <v>10</v>
      </c>
      <c r="K119" s="66">
        <f>800</f>
        <v>800</v>
      </c>
      <c r="L119" s="67" t="s">
        <v>857</v>
      </c>
      <c r="M119" s="66">
        <f>823</f>
        <v>823</v>
      </c>
      <c r="N119" s="67" t="s">
        <v>875</v>
      </c>
      <c r="O119" s="66">
        <f>744</f>
        <v>744</v>
      </c>
      <c r="P119" s="67" t="s">
        <v>371</v>
      </c>
      <c r="Q119" s="66">
        <f>766</f>
        <v>766</v>
      </c>
      <c r="R119" s="67" t="s">
        <v>872</v>
      </c>
      <c r="S119" s="68">
        <f>782.33</f>
        <v>782.33</v>
      </c>
      <c r="T119" s="65">
        <f>18440</f>
        <v>18440</v>
      </c>
      <c r="U119" s="65">
        <f>10</f>
        <v>10</v>
      </c>
      <c r="V119" s="65">
        <f>14298600</f>
        <v>14298600</v>
      </c>
      <c r="W119" s="65">
        <f>8050</f>
        <v>8050</v>
      </c>
      <c r="X119" s="69">
        <f>21</f>
        <v>21</v>
      </c>
    </row>
    <row r="120" spans="1:24">
      <c r="A120" s="60" t="s">
        <v>931</v>
      </c>
      <c r="B120" s="60" t="s">
        <v>408</v>
      </c>
      <c r="C120" s="60" t="s">
        <v>409</v>
      </c>
      <c r="D120" s="60" t="s">
        <v>410</v>
      </c>
      <c r="E120" s="61" t="s">
        <v>46</v>
      </c>
      <c r="F120" s="62" t="s">
        <v>46</v>
      </c>
      <c r="G120" s="63" t="s">
        <v>46</v>
      </c>
      <c r="H120" s="64"/>
      <c r="I120" s="64" t="s">
        <v>47</v>
      </c>
      <c r="J120" s="65">
        <v>1</v>
      </c>
      <c r="K120" s="66">
        <f>22260</f>
        <v>22260</v>
      </c>
      <c r="L120" s="67" t="s">
        <v>857</v>
      </c>
      <c r="M120" s="66">
        <f>23150</f>
        <v>23150</v>
      </c>
      <c r="N120" s="67" t="s">
        <v>131</v>
      </c>
      <c r="O120" s="66">
        <f>21980</f>
        <v>21980</v>
      </c>
      <c r="P120" s="67" t="s">
        <v>371</v>
      </c>
      <c r="Q120" s="66">
        <f>22610</f>
        <v>22610</v>
      </c>
      <c r="R120" s="67" t="s">
        <v>872</v>
      </c>
      <c r="S120" s="68">
        <f>22505.24</f>
        <v>22505.24</v>
      </c>
      <c r="T120" s="65">
        <f>39803</f>
        <v>39803</v>
      </c>
      <c r="U120" s="65">
        <f>2</f>
        <v>2</v>
      </c>
      <c r="V120" s="65">
        <f>899977640</f>
        <v>899977640</v>
      </c>
      <c r="W120" s="65">
        <f>44990</f>
        <v>44990</v>
      </c>
      <c r="X120" s="69">
        <f>21</f>
        <v>21</v>
      </c>
    </row>
    <row r="121" spans="1:24">
      <c r="A121" s="60" t="s">
        <v>931</v>
      </c>
      <c r="B121" s="60" t="s">
        <v>411</v>
      </c>
      <c r="C121" s="60" t="s">
        <v>412</v>
      </c>
      <c r="D121" s="60" t="s">
        <v>413</v>
      </c>
      <c r="E121" s="61" t="s">
        <v>46</v>
      </c>
      <c r="F121" s="62" t="s">
        <v>46</v>
      </c>
      <c r="G121" s="63" t="s">
        <v>46</v>
      </c>
      <c r="H121" s="64"/>
      <c r="I121" s="64" t="s">
        <v>47</v>
      </c>
      <c r="J121" s="65">
        <v>1</v>
      </c>
      <c r="K121" s="66">
        <f>2196</f>
        <v>2196</v>
      </c>
      <c r="L121" s="67" t="s">
        <v>857</v>
      </c>
      <c r="M121" s="66">
        <f>2251</f>
        <v>2251</v>
      </c>
      <c r="N121" s="67" t="s">
        <v>131</v>
      </c>
      <c r="O121" s="66">
        <f>2148</f>
        <v>2148</v>
      </c>
      <c r="P121" s="67" t="s">
        <v>371</v>
      </c>
      <c r="Q121" s="66">
        <f>2240</f>
        <v>2240</v>
      </c>
      <c r="R121" s="67" t="s">
        <v>872</v>
      </c>
      <c r="S121" s="68">
        <f>2206.24</f>
        <v>2206.2399999999998</v>
      </c>
      <c r="T121" s="65">
        <f>24112</f>
        <v>24112</v>
      </c>
      <c r="U121" s="65" t="str">
        <f>"－"</f>
        <v>－</v>
      </c>
      <c r="V121" s="65">
        <f>53035361</f>
        <v>53035361</v>
      </c>
      <c r="W121" s="65" t="str">
        <f>"－"</f>
        <v>－</v>
      </c>
      <c r="X121" s="69">
        <f>21</f>
        <v>21</v>
      </c>
    </row>
    <row r="122" spans="1:24">
      <c r="A122" s="60" t="s">
        <v>931</v>
      </c>
      <c r="B122" s="60" t="s">
        <v>414</v>
      </c>
      <c r="C122" s="60" t="s">
        <v>415</v>
      </c>
      <c r="D122" s="60" t="s">
        <v>416</v>
      </c>
      <c r="E122" s="61" t="s">
        <v>46</v>
      </c>
      <c r="F122" s="62" t="s">
        <v>46</v>
      </c>
      <c r="G122" s="63" t="s">
        <v>46</v>
      </c>
      <c r="H122" s="64"/>
      <c r="I122" s="64" t="s">
        <v>47</v>
      </c>
      <c r="J122" s="65">
        <v>10</v>
      </c>
      <c r="K122" s="66">
        <f>15340</f>
        <v>15340</v>
      </c>
      <c r="L122" s="67" t="s">
        <v>857</v>
      </c>
      <c r="M122" s="66">
        <f>16170</f>
        <v>16170</v>
      </c>
      <c r="N122" s="67" t="s">
        <v>131</v>
      </c>
      <c r="O122" s="66">
        <f>14680</f>
        <v>14680</v>
      </c>
      <c r="P122" s="67" t="s">
        <v>371</v>
      </c>
      <c r="Q122" s="66">
        <f>15970</f>
        <v>15970</v>
      </c>
      <c r="R122" s="67" t="s">
        <v>872</v>
      </c>
      <c r="S122" s="68">
        <f>15502.86</f>
        <v>15502.86</v>
      </c>
      <c r="T122" s="65">
        <f>18820660</f>
        <v>18820660</v>
      </c>
      <c r="U122" s="65">
        <f>10660</f>
        <v>10660</v>
      </c>
      <c r="V122" s="65">
        <f>291116608260</f>
        <v>291116608260</v>
      </c>
      <c r="W122" s="65">
        <f>163840360</f>
        <v>163840360</v>
      </c>
      <c r="X122" s="69">
        <f>21</f>
        <v>21</v>
      </c>
    </row>
    <row r="123" spans="1:24">
      <c r="A123" s="60" t="s">
        <v>931</v>
      </c>
      <c r="B123" s="60" t="s">
        <v>417</v>
      </c>
      <c r="C123" s="60" t="s">
        <v>418</v>
      </c>
      <c r="D123" s="60" t="s">
        <v>419</v>
      </c>
      <c r="E123" s="61" t="s">
        <v>46</v>
      </c>
      <c r="F123" s="62" t="s">
        <v>46</v>
      </c>
      <c r="G123" s="63" t="s">
        <v>46</v>
      </c>
      <c r="H123" s="64"/>
      <c r="I123" s="64" t="s">
        <v>47</v>
      </c>
      <c r="J123" s="65">
        <v>10</v>
      </c>
      <c r="K123" s="66">
        <f>2813</f>
        <v>2813</v>
      </c>
      <c r="L123" s="67" t="s">
        <v>857</v>
      </c>
      <c r="M123" s="66">
        <f>2868</f>
        <v>2868</v>
      </c>
      <c r="N123" s="67" t="s">
        <v>371</v>
      </c>
      <c r="O123" s="66">
        <f>2738</f>
        <v>2738</v>
      </c>
      <c r="P123" s="67" t="s">
        <v>131</v>
      </c>
      <c r="Q123" s="66">
        <f>2750</f>
        <v>2750</v>
      </c>
      <c r="R123" s="67" t="s">
        <v>872</v>
      </c>
      <c r="S123" s="68">
        <f>2794.1</f>
        <v>2794.1</v>
      </c>
      <c r="T123" s="65">
        <f>882040</f>
        <v>882040</v>
      </c>
      <c r="U123" s="65" t="str">
        <f>"－"</f>
        <v>－</v>
      </c>
      <c r="V123" s="65">
        <f>2459669650</f>
        <v>2459669650</v>
      </c>
      <c r="W123" s="65" t="str">
        <f>"－"</f>
        <v>－</v>
      </c>
      <c r="X123" s="69">
        <f>21</f>
        <v>21</v>
      </c>
    </row>
    <row r="124" spans="1:24">
      <c r="A124" s="60" t="s">
        <v>931</v>
      </c>
      <c r="B124" s="60" t="s">
        <v>420</v>
      </c>
      <c r="C124" s="60" t="s">
        <v>421</v>
      </c>
      <c r="D124" s="60" t="s">
        <v>422</v>
      </c>
      <c r="E124" s="61" t="s">
        <v>46</v>
      </c>
      <c r="F124" s="62" t="s">
        <v>46</v>
      </c>
      <c r="G124" s="63" t="s">
        <v>46</v>
      </c>
      <c r="H124" s="64"/>
      <c r="I124" s="64" t="s">
        <v>47</v>
      </c>
      <c r="J124" s="65">
        <v>10</v>
      </c>
      <c r="K124" s="66">
        <f>1010</f>
        <v>1010</v>
      </c>
      <c r="L124" s="67" t="s">
        <v>857</v>
      </c>
      <c r="M124" s="66">
        <f>1038</f>
        <v>1038</v>
      </c>
      <c r="N124" s="67" t="s">
        <v>131</v>
      </c>
      <c r="O124" s="66">
        <f>946</f>
        <v>946</v>
      </c>
      <c r="P124" s="67" t="s">
        <v>874</v>
      </c>
      <c r="Q124" s="66">
        <f>982</f>
        <v>982</v>
      </c>
      <c r="R124" s="67" t="s">
        <v>872</v>
      </c>
      <c r="S124" s="68">
        <f>996.71</f>
        <v>996.71</v>
      </c>
      <c r="T124" s="65">
        <f>1940</f>
        <v>1940</v>
      </c>
      <c r="U124" s="65">
        <f>10</f>
        <v>10</v>
      </c>
      <c r="V124" s="65">
        <f>1925610</f>
        <v>1925610</v>
      </c>
      <c r="W124" s="65">
        <f>10200</f>
        <v>10200</v>
      </c>
      <c r="X124" s="69">
        <f>17</f>
        <v>17</v>
      </c>
    </row>
    <row r="125" spans="1:24">
      <c r="A125" s="60" t="s">
        <v>931</v>
      </c>
      <c r="B125" s="60" t="s">
        <v>423</v>
      </c>
      <c r="C125" s="60" t="s">
        <v>424</v>
      </c>
      <c r="D125" s="60" t="s">
        <v>425</v>
      </c>
      <c r="E125" s="61" t="s">
        <v>46</v>
      </c>
      <c r="F125" s="62" t="s">
        <v>46</v>
      </c>
      <c r="G125" s="63" t="s">
        <v>46</v>
      </c>
      <c r="H125" s="64"/>
      <c r="I125" s="64" t="s">
        <v>47</v>
      </c>
      <c r="J125" s="65">
        <v>10</v>
      </c>
      <c r="K125" s="66">
        <f>1531</f>
        <v>1531</v>
      </c>
      <c r="L125" s="67" t="s">
        <v>860</v>
      </c>
      <c r="M125" s="66">
        <f>1543</f>
        <v>1543</v>
      </c>
      <c r="N125" s="67" t="s">
        <v>131</v>
      </c>
      <c r="O125" s="66">
        <f>1487</f>
        <v>1487</v>
      </c>
      <c r="P125" s="67" t="s">
        <v>371</v>
      </c>
      <c r="Q125" s="66">
        <f>1526</f>
        <v>1526</v>
      </c>
      <c r="R125" s="67" t="s">
        <v>873</v>
      </c>
      <c r="S125" s="68">
        <f>1519.56</f>
        <v>1519.56</v>
      </c>
      <c r="T125" s="65">
        <f>250</f>
        <v>250</v>
      </c>
      <c r="U125" s="65" t="str">
        <f>"－"</f>
        <v>－</v>
      </c>
      <c r="V125" s="65">
        <f>380780</f>
        <v>380780</v>
      </c>
      <c r="W125" s="65" t="str">
        <f>"－"</f>
        <v>－</v>
      </c>
      <c r="X125" s="69">
        <f>9</f>
        <v>9</v>
      </c>
    </row>
    <row r="126" spans="1:24">
      <c r="A126" s="60" t="s">
        <v>931</v>
      </c>
      <c r="B126" s="60" t="s">
        <v>426</v>
      </c>
      <c r="C126" s="60" t="s">
        <v>427</v>
      </c>
      <c r="D126" s="60" t="s">
        <v>428</v>
      </c>
      <c r="E126" s="61" t="s">
        <v>46</v>
      </c>
      <c r="F126" s="62" t="s">
        <v>46</v>
      </c>
      <c r="G126" s="63" t="s">
        <v>46</v>
      </c>
      <c r="H126" s="64"/>
      <c r="I126" s="64" t="s">
        <v>47</v>
      </c>
      <c r="J126" s="65">
        <v>1</v>
      </c>
      <c r="K126" s="66">
        <f>1711</f>
        <v>1711</v>
      </c>
      <c r="L126" s="67" t="s">
        <v>857</v>
      </c>
      <c r="M126" s="66">
        <f>1763</f>
        <v>1763</v>
      </c>
      <c r="N126" s="67" t="s">
        <v>854</v>
      </c>
      <c r="O126" s="66">
        <f>1630</f>
        <v>1630</v>
      </c>
      <c r="P126" s="67" t="s">
        <v>371</v>
      </c>
      <c r="Q126" s="66">
        <f>1741</f>
        <v>1741</v>
      </c>
      <c r="R126" s="67" t="s">
        <v>872</v>
      </c>
      <c r="S126" s="68">
        <f>1724.89</f>
        <v>1724.89</v>
      </c>
      <c r="T126" s="65">
        <f>170827</f>
        <v>170827</v>
      </c>
      <c r="U126" s="65">
        <f>170001</f>
        <v>170001</v>
      </c>
      <c r="V126" s="65">
        <f>294125543</f>
        <v>294125543</v>
      </c>
      <c r="W126" s="65">
        <f>292721351</f>
        <v>292721351</v>
      </c>
      <c r="X126" s="69">
        <f>19</f>
        <v>19</v>
      </c>
    </row>
    <row r="127" spans="1:24">
      <c r="A127" s="60" t="s">
        <v>931</v>
      </c>
      <c r="B127" s="60" t="s">
        <v>429</v>
      </c>
      <c r="C127" s="60" t="s">
        <v>430</v>
      </c>
      <c r="D127" s="60" t="s">
        <v>431</v>
      </c>
      <c r="E127" s="61" t="s">
        <v>46</v>
      </c>
      <c r="F127" s="62" t="s">
        <v>46</v>
      </c>
      <c r="G127" s="63" t="s">
        <v>46</v>
      </c>
      <c r="H127" s="64"/>
      <c r="I127" s="64" t="s">
        <v>47</v>
      </c>
      <c r="J127" s="65">
        <v>1</v>
      </c>
      <c r="K127" s="66">
        <f>17300</f>
        <v>17300</v>
      </c>
      <c r="L127" s="67" t="s">
        <v>857</v>
      </c>
      <c r="M127" s="66">
        <f>17820</f>
        <v>17820</v>
      </c>
      <c r="N127" s="67" t="s">
        <v>131</v>
      </c>
      <c r="O127" s="66">
        <f>17010</f>
        <v>17010</v>
      </c>
      <c r="P127" s="67" t="s">
        <v>371</v>
      </c>
      <c r="Q127" s="66">
        <f>17710</f>
        <v>17710</v>
      </c>
      <c r="R127" s="67" t="s">
        <v>872</v>
      </c>
      <c r="S127" s="68">
        <f>17462.38</f>
        <v>17462.38</v>
      </c>
      <c r="T127" s="65">
        <f>68321</f>
        <v>68321</v>
      </c>
      <c r="U127" s="65">
        <f>36800</f>
        <v>36800</v>
      </c>
      <c r="V127" s="65">
        <f>1194418830</f>
        <v>1194418830</v>
      </c>
      <c r="W127" s="65">
        <f>647856700</f>
        <v>647856700</v>
      </c>
      <c r="X127" s="69">
        <f>21</f>
        <v>21</v>
      </c>
    </row>
    <row r="128" spans="1:24">
      <c r="A128" s="60" t="s">
        <v>931</v>
      </c>
      <c r="B128" s="60" t="s">
        <v>432</v>
      </c>
      <c r="C128" s="60" t="s">
        <v>433</v>
      </c>
      <c r="D128" s="60" t="s">
        <v>434</v>
      </c>
      <c r="E128" s="61" t="s">
        <v>46</v>
      </c>
      <c r="F128" s="62" t="s">
        <v>46</v>
      </c>
      <c r="G128" s="63" t="s">
        <v>46</v>
      </c>
      <c r="H128" s="64"/>
      <c r="I128" s="64" t="s">
        <v>47</v>
      </c>
      <c r="J128" s="65">
        <v>1</v>
      </c>
      <c r="K128" s="66">
        <f>1577</f>
        <v>1577</v>
      </c>
      <c r="L128" s="67" t="s">
        <v>857</v>
      </c>
      <c r="M128" s="66">
        <f>1623</f>
        <v>1623</v>
      </c>
      <c r="N128" s="67" t="s">
        <v>131</v>
      </c>
      <c r="O128" s="66">
        <f>1551</f>
        <v>1551</v>
      </c>
      <c r="P128" s="67" t="s">
        <v>371</v>
      </c>
      <c r="Q128" s="66">
        <f>1617</f>
        <v>1617</v>
      </c>
      <c r="R128" s="67" t="s">
        <v>872</v>
      </c>
      <c r="S128" s="68">
        <f>1592.1</f>
        <v>1592.1</v>
      </c>
      <c r="T128" s="65">
        <f>54710</f>
        <v>54710</v>
      </c>
      <c r="U128" s="65" t="str">
        <f>"－"</f>
        <v>－</v>
      </c>
      <c r="V128" s="65">
        <f>86961406</f>
        <v>86961406</v>
      </c>
      <c r="W128" s="65" t="str">
        <f>"－"</f>
        <v>－</v>
      </c>
      <c r="X128" s="69">
        <f>21</f>
        <v>21</v>
      </c>
    </row>
    <row r="129" spans="1:24">
      <c r="A129" s="60" t="s">
        <v>931</v>
      </c>
      <c r="B129" s="60" t="s">
        <v>435</v>
      </c>
      <c r="C129" s="60" t="s">
        <v>436</v>
      </c>
      <c r="D129" s="60" t="s">
        <v>437</v>
      </c>
      <c r="E129" s="61" t="s">
        <v>46</v>
      </c>
      <c r="F129" s="62" t="s">
        <v>46</v>
      </c>
      <c r="G129" s="63" t="s">
        <v>46</v>
      </c>
      <c r="H129" s="64"/>
      <c r="I129" s="64" t="s">
        <v>47</v>
      </c>
      <c r="J129" s="65">
        <v>1</v>
      </c>
      <c r="K129" s="66">
        <f>17650</f>
        <v>17650</v>
      </c>
      <c r="L129" s="67" t="s">
        <v>857</v>
      </c>
      <c r="M129" s="66">
        <f>18150</f>
        <v>18150</v>
      </c>
      <c r="N129" s="67" t="s">
        <v>131</v>
      </c>
      <c r="O129" s="66">
        <f>17330</f>
        <v>17330</v>
      </c>
      <c r="P129" s="67" t="s">
        <v>371</v>
      </c>
      <c r="Q129" s="66">
        <f>18050</f>
        <v>18050</v>
      </c>
      <c r="R129" s="67" t="s">
        <v>872</v>
      </c>
      <c r="S129" s="68">
        <f>17788.57</f>
        <v>17788.57</v>
      </c>
      <c r="T129" s="65">
        <f>12501</f>
        <v>12501</v>
      </c>
      <c r="U129" s="65" t="str">
        <f>"－"</f>
        <v>－</v>
      </c>
      <c r="V129" s="65">
        <f>222278760</f>
        <v>222278760</v>
      </c>
      <c r="W129" s="65" t="str">
        <f>"－"</f>
        <v>－</v>
      </c>
      <c r="X129" s="69">
        <f>21</f>
        <v>21</v>
      </c>
    </row>
    <row r="130" spans="1:24">
      <c r="A130" s="60" t="s">
        <v>931</v>
      </c>
      <c r="B130" s="60" t="s">
        <v>438</v>
      </c>
      <c r="C130" s="60" t="s">
        <v>439</v>
      </c>
      <c r="D130" s="60" t="s">
        <v>440</v>
      </c>
      <c r="E130" s="61" t="s">
        <v>46</v>
      </c>
      <c r="F130" s="62" t="s">
        <v>46</v>
      </c>
      <c r="G130" s="63" t="s">
        <v>46</v>
      </c>
      <c r="H130" s="64"/>
      <c r="I130" s="64" t="s">
        <v>47</v>
      </c>
      <c r="J130" s="65">
        <v>10</v>
      </c>
      <c r="K130" s="66">
        <f>2196</f>
        <v>2196</v>
      </c>
      <c r="L130" s="67" t="s">
        <v>857</v>
      </c>
      <c r="M130" s="66">
        <f>2222</f>
        <v>2222</v>
      </c>
      <c r="N130" s="67" t="s">
        <v>873</v>
      </c>
      <c r="O130" s="66">
        <f>2115</f>
        <v>2115</v>
      </c>
      <c r="P130" s="67" t="s">
        <v>240</v>
      </c>
      <c r="Q130" s="66">
        <f>2187</f>
        <v>2187</v>
      </c>
      <c r="R130" s="67" t="s">
        <v>872</v>
      </c>
      <c r="S130" s="68">
        <f>2172.38</f>
        <v>2172.38</v>
      </c>
      <c r="T130" s="65">
        <f>5252460</f>
        <v>5252460</v>
      </c>
      <c r="U130" s="65">
        <f>1404400</f>
        <v>1404400</v>
      </c>
      <c r="V130" s="65">
        <f>11496339450</f>
        <v>11496339450</v>
      </c>
      <c r="W130" s="65">
        <f>3064098730</f>
        <v>3064098730</v>
      </c>
      <c r="X130" s="69">
        <f>21</f>
        <v>21</v>
      </c>
    </row>
    <row r="131" spans="1:24">
      <c r="A131" s="60" t="s">
        <v>931</v>
      </c>
      <c r="B131" s="60" t="s">
        <v>441</v>
      </c>
      <c r="C131" s="60" t="s">
        <v>442</v>
      </c>
      <c r="D131" s="60" t="s">
        <v>443</v>
      </c>
      <c r="E131" s="61" t="s">
        <v>46</v>
      </c>
      <c r="F131" s="62" t="s">
        <v>46</v>
      </c>
      <c r="G131" s="63" t="s">
        <v>46</v>
      </c>
      <c r="H131" s="64"/>
      <c r="I131" s="64" t="s">
        <v>47</v>
      </c>
      <c r="J131" s="65">
        <v>10</v>
      </c>
      <c r="K131" s="66">
        <f>1717</f>
        <v>1717</v>
      </c>
      <c r="L131" s="67" t="s">
        <v>131</v>
      </c>
      <c r="M131" s="66">
        <f>1717</f>
        <v>1717</v>
      </c>
      <c r="N131" s="67" t="s">
        <v>131</v>
      </c>
      <c r="O131" s="66">
        <f>1654</f>
        <v>1654</v>
      </c>
      <c r="P131" s="67" t="s">
        <v>371</v>
      </c>
      <c r="Q131" s="66">
        <f>1717</f>
        <v>1717</v>
      </c>
      <c r="R131" s="67" t="s">
        <v>872</v>
      </c>
      <c r="S131" s="68">
        <f>1694.57</f>
        <v>1694.57</v>
      </c>
      <c r="T131" s="65">
        <f>1240</f>
        <v>1240</v>
      </c>
      <c r="U131" s="65" t="str">
        <f>"－"</f>
        <v>－</v>
      </c>
      <c r="V131" s="65">
        <f>2122980</f>
        <v>2122980</v>
      </c>
      <c r="W131" s="65" t="str">
        <f>"－"</f>
        <v>－</v>
      </c>
      <c r="X131" s="69">
        <f>7</f>
        <v>7</v>
      </c>
    </row>
    <row r="132" spans="1:24">
      <c r="A132" s="60" t="s">
        <v>931</v>
      </c>
      <c r="B132" s="60" t="s">
        <v>444</v>
      </c>
      <c r="C132" s="60" t="s">
        <v>445</v>
      </c>
      <c r="D132" s="60" t="s">
        <v>446</v>
      </c>
      <c r="E132" s="61" t="s">
        <v>46</v>
      </c>
      <c r="F132" s="62" t="s">
        <v>46</v>
      </c>
      <c r="G132" s="63" t="s">
        <v>46</v>
      </c>
      <c r="H132" s="64"/>
      <c r="I132" s="64" t="s">
        <v>47</v>
      </c>
      <c r="J132" s="65">
        <v>10</v>
      </c>
      <c r="K132" s="66">
        <f>2222</f>
        <v>2222</v>
      </c>
      <c r="L132" s="67" t="s">
        <v>857</v>
      </c>
      <c r="M132" s="66">
        <f>2243</f>
        <v>2243</v>
      </c>
      <c r="N132" s="67" t="s">
        <v>84</v>
      </c>
      <c r="O132" s="66">
        <f>2136</f>
        <v>2136</v>
      </c>
      <c r="P132" s="67" t="s">
        <v>240</v>
      </c>
      <c r="Q132" s="66">
        <f>2213</f>
        <v>2213</v>
      </c>
      <c r="R132" s="67" t="s">
        <v>872</v>
      </c>
      <c r="S132" s="68">
        <f>2194.81</f>
        <v>2194.81</v>
      </c>
      <c r="T132" s="65">
        <f>753480</f>
        <v>753480</v>
      </c>
      <c r="U132" s="65">
        <f>181960</f>
        <v>181960</v>
      </c>
      <c r="V132" s="65">
        <f>1646054400</f>
        <v>1646054400</v>
      </c>
      <c r="W132" s="65">
        <f>397602300</f>
        <v>397602300</v>
      </c>
      <c r="X132" s="69">
        <f>21</f>
        <v>21</v>
      </c>
    </row>
    <row r="133" spans="1:24">
      <c r="A133" s="60" t="s">
        <v>931</v>
      </c>
      <c r="B133" s="60" t="s">
        <v>447</v>
      </c>
      <c r="C133" s="60" t="s">
        <v>448</v>
      </c>
      <c r="D133" s="60" t="s">
        <v>449</v>
      </c>
      <c r="E133" s="61" t="s">
        <v>46</v>
      </c>
      <c r="F133" s="62" t="s">
        <v>46</v>
      </c>
      <c r="G133" s="63" t="s">
        <v>46</v>
      </c>
      <c r="H133" s="64" t="s">
        <v>878</v>
      </c>
      <c r="I133" s="64"/>
      <c r="J133" s="65">
        <v>1</v>
      </c>
      <c r="K133" s="66">
        <f>19520</f>
        <v>19520</v>
      </c>
      <c r="L133" s="67" t="s">
        <v>855</v>
      </c>
      <c r="M133" s="66">
        <f>19520</f>
        <v>19520</v>
      </c>
      <c r="N133" s="67" t="s">
        <v>855</v>
      </c>
      <c r="O133" s="66">
        <f>18520</f>
        <v>18520</v>
      </c>
      <c r="P133" s="67" t="s">
        <v>371</v>
      </c>
      <c r="Q133" s="66">
        <f>18930</f>
        <v>18930</v>
      </c>
      <c r="R133" s="67" t="s">
        <v>240</v>
      </c>
      <c r="S133" s="68">
        <f>19134</f>
        <v>19134</v>
      </c>
      <c r="T133" s="65">
        <f>203</f>
        <v>203</v>
      </c>
      <c r="U133" s="65" t="str">
        <f>"－"</f>
        <v>－</v>
      </c>
      <c r="V133" s="65">
        <f>3784650</f>
        <v>3784650</v>
      </c>
      <c r="W133" s="65" t="str">
        <f>"－"</f>
        <v>－</v>
      </c>
      <c r="X133" s="69">
        <f>5</f>
        <v>5</v>
      </c>
    </row>
    <row r="134" spans="1:24">
      <c r="A134" s="60" t="s">
        <v>931</v>
      </c>
      <c r="B134" s="60" t="s">
        <v>450</v>
      </c>
      <c r="C134" s="60" t="s">
        <v>451</v>
      </c>
      <c r="D134" s="60" t="s">
        <v>452</v>
      </c>
      <c r="E134" s="61" t="s">
        <v>46</v>
      </c>
      <c r="F134" s="62" t="s">
        <v>46</v>
      </c>
      <c r="G134" s="63" t="s">
        <v>46</v>
      </c>
      <c r="H134" s="64"/>
      <c r="I134" s="64" t="s">
        <v>47</v>
      </c>
      <c r="J134" s="65">
        <v>1</v>
      </c>
      <c r="K134" s="66">
        <f>17620</f>
        <v>17620</v>
      </c>
      <c r="L134" s="67" t="s">
        <v>857</v>
      </c>
      <c r="M134" s="66">
        <f>17940</f>
        <v>17940</v>
      </c>
      <c r="N134" s="67" t="s">
        <v>131</v>
      </c>
      <c r="O134" s="66">
        <f>17170</f>
        <v>17170</v>
      </c>
      <c r="P134" s="67" t="s">
        <v>371</v>
      </c>
      <c r="Q134" s="66">
        <f>17890</f>
        <v>17890</v>
      </c>
      <c r="R134" s="67" t="s">
        <v>872</v>
      </c>
      <c r="S134" s="68">
        <f>17614.71</f>
        <v>17614.71</v>
      </c>
      <c r="T134" s="65">
        <f>1128</f>
        <v>1128</v>
      </c>
      <c r="U134" s="65">
        <f>1</f>
        <v>1</v>
      </c>
      <c r="V134" s="65">
        <f>19685700</f>
        <v>19685700</v>
      </c>
      <c r="W134" s="65">
        <f>17530</f>
        <v>17530</v>
      </c>
      <c r="X134" s="69">
        <f>17</f>
        <v>17</v>
      </c>
    </row>
    <row r="135" spans="1:24">
      <c r="A135" s="60" t="s">
        <v>931</v>
      </c>
      <c r="B135" s="60" t="s">
        <v>453</v>
      </c>
      <c r="C135" s="60" t="s">
        <v>454</v>
      </c>
      <c r="D135" s="60" t="s">
        <v>455</v>
      </c>
      <c r="E135" s="61" t="s">
        <v>46</v>
      </c>
      <c r="F135" s="62" t="s">
        <v>46</v>
      </c>
      <c r="G135" s="63" t="s">
        <v>46</v>
      </c>
      <c r="H135" s="64"/>
      <c r="I135" s="64" t="s">
        <v>47</v>
      </c>
      <c r="J135" s="65">
        <v>100</v>
      </c>
      <c r="K135" s="66">
        <f>143</f>
        <v>143</v>
      </c>
      <c r="L135" s="67" t="s">
        <v>857</v>
      </c>
      <c r="M135" s="66">
        <f>151</f>
        <v>151</v>
      </c>
      <c r="N135" s="67" t="s">
        <v>131</v>
      </c>
      <c r="O135" s="66">
        <f>141</f>
        <v>141</v>
      </c>
      <c r="P135" s="67" t="s">
        <v>858</v>
      </c>
      <c r="Q135" s="66">
        <f>146</f>
        <v>146</v>
      </c>
      <c r="R135" s="67" t="s">
        <v>872</v>
      </c>
      <c r="S135" s="68">
        <f>144.76</f>
        <v>144.76</v>
      </c>
      <c r="T135" s="65">
        <f>35286200</f>
        <v>35286200</v>
      </c>
      <c r="U135" s="65">
        <f>7100</f>
        <v>7100</v>
      </c>
      <c r="V135" s="65">
        <f>5159226920</f>
        <v>5159226920</v>
      </c>
      <c r="W135" s="65">
        <f>1006520</f>
        <v>1006520</v>
      </c>
      <c r="X135" s="69">
        <f>21</f>
        <v>21</v>
      </c>
    </row>
    <row r="136" spans="1:24">
      <c r="A136" s="60" t="s">
        <v>931</v>
      </c>
      <c r="B136" s="60" t="s">
        <v>456</v>
      </c>
      <c r="C136" s="60" t="s">
        <v>457</v>
      </c>
      <c r="D136" s="60" t="s">
        <v>458</v>
      </c>
      <c r="E136" s="61" t="s">
        <v>46</v>
      </c>
      <c r="F136" s="62" t="s">
        <v>46</v>
      </c>
      <c r="G136" s="63" t="s">
        <v>46</v>
      </c>
      <c r="H136" s="64"/>
      <c r="I136" s="64" t="s">
        <v>47</v>
      </c>
      <c r="J136" s="65">
        <v>1</v>
      </c>
      <c r="K136" s="66">
        <f>27350</f>
        <v>27350</v>
      </c>
      <c r="L136" s="67" t="s">
        <v>857</v>
      </c>
      <c r="M136" s="66">
        <f>28450</f>
        <v>28450</v>
      </c>
      <c r="N136" s="67" t="s">
        <v>872</v>
      </c>
      <c r="O136" s="66">
        <f>27240</f>
        <v>27240</v>
      </c>
      <c r="P136" s="67" t="s">
        <v>854</v>
      </c>
      <c r="Q136" s="66">
        <f>28450</f>
        <v>28450</v>
      </c>
      <c r="R136" s="67" t="s">
        <v>872</v>
      </c>
      <c r="S136" s="68">
        <f>27754.76</f>
        <v>27754.76</v>
      </c>
      <c r="T136" s="65">
        <f>908</f>
        <v>908</v>
      </c>
      <c r="U136" s="65" t="str">
        <f>"－"</f>
        <v>－</v>
      </c>
      <c r="V136" s="65">
        <f>25143080</f>
        <v>25143080</v>
      </c>
      <c r="W136" s="65" t="str">
        <f>"－"</f>
        <v>－</v>
      </c>
      <c r="X136" s="69">
        <f>21</f>
        <v>21</v>
      </c>
    </row>
    <row r="137" spans="1:24">
      <c r="A137" s="60" t="s">
        <v>931</v>
      </c>
      <c r="B137" s="60" t="s">
        <v>459</v>
      </c>
      <c r="C137" s="60" t="s">
        <v>460</v>
      </c>
      <c r="D137" s="60" t="s">
        <v>461</v>
      </c>
      <c r="E137" s="61" t="s">
        <v>46</v>
      </c>
      <c r="F137" s="62" t="s">
        <v>46</v>
      </c>
      <c r="G137" s="63" t="s">
        <v>46</v>
      </c>
      <c r="H137" s="64"/>
      <c r="I137" s="64" t="s">
        <v>47</v>
      </c>
      <c r="J137" s="65">
        <v>1</v>
      </c>
      <c r="K137" s="66">
        <f>9690</f>
        <v>9690</v>
      </c>
      <c r="L137" s="67" t="s">
        <v>857</v>
      </c>
      <c r="M137" s="66">
        <f>10100</f>
        <v>10100</v>
      </c>
      <c r="N137" s="67" t="s">
        <v>131</v>
      </c>
      <c r="O137" s="66">
        <f>9030</f>
        <v>9030</v>
      </c>
      <c r="P137" s="67" t="s">
        <v>371</v>
      </c>
      <c r="Q137" s="66">
        <f>9410</f>
        <v>9410</v>
      </c>
      <c r="R137" s="67" t="s">
        <v>872</v>
      </c>
      <c r="S137" s="68">
        <f>9563.33</f>
        <v>9563.33</v>
      </c>
      <c r="T137" s="65">
        <f>6346</f>
        <v>6346</v>
      </c>
      <c r="U137" s="65">
        <f>1</f>
        <v>1</v>
      </c>
      <c r="V137" s="65">
        <f>60529400</f>
        <v>60529400</v>
      </c>
      <c r="W137" s="65">
        <f>9720</f>
        <v>9720</v>
      </c>
      <c r="X137" s="69">
        <f>21</f>
        <v>21</v>
      </c>
    </row>
    <row r="138" spans="1:24">
      <c r="A138" s="60" t="s">
        <v>931</v>
      </c>
      <c r="B138" s="60" t="s">
        <v>462</v>
      </c>
      <c r="C138" s="60" t="s">
        <v>463</v>
      </c>
      <c r="D138" s="60" t="s">
        <v>464</v>
      </c>
      <c r="E138" s="61" t="s">
        <v>46</v>
      </c>
      <c r="F138" s="62" t="s">
        <v>46</v>
      </c>
      <c r="G138" s="63" t="s">
        <v>46</v>
      </c>
      <c r="H138" s="64"/>
      <c r="I138" s="64" t="s">
        <v>47</v>
      </c>
      <c r="J138" s="65">
        <v>1</v>
      </c>
      <c r="K138" s="66">
        <f>21660</f>
        <v>21660</v>
      </c>
      <c r="L138" s="67" t="s">
        <v>857</v>
      </c>
      <c r="M138" s="66">
        <f>22020</f>
        <v>22020</v>
      </c>
      <c r="N138" s="67" t="s">
        <v>858</v>
      </c>
      <c r="O138" s="66">
        <f>21070</f>
        <v>21070</v>
      </c>
      <c r="P138" s="67" t="s">
        <v>371</v>
      </c>
      <c r="Q138" s="66">
        <f>21790</f>
        <v>21790</v>
      </c>
      <c r="R138" s="67" t="s">
        <v>872</v>
      </c>
      <c r="S138" s="68">
        <f>21560</f>
        <v>21560</v>
      </c>
      <c r="T138" s="65">
        <f>1286</f>
        <v>1286</v>
      </c>
      <c r="U138" s="65">
        <f>1</f>
        <v>1</v>
      </c>
      <c r="V138" s="65">
        <f>27627050</f>
        <v>27627050</v>
      </c>
      <c r="W138" s="65">
        <f>21580</f>
        <v>21580</v>
      </c>
      <c r="X138" s="69">
        <f>21</f>
        <v>21</v>
      </c>
    </row>
    <row r="139" spans="1:24">
      <c r="A139" s="60" t="s">
        <v>931</v>
      </c>
      <c r="B139" s="60" t="s">
        <v>465</v>
      </c>
      <c r="C139" s="60" t="s">
        <v>466</v>
      </c>
      <c r="D139" s="60" t="s">
        <v>467</v>
      </c>
      <c r="E139" s="61" t="s">
        <v>46</v>
      </c>
      <c r="F139" s="62" t="s">
        <v>46</v>
      </c>
      <c r="G139" s="63" t="s">
        <v>46</v>
      </c>
      <c r="H139" s="64"/>
      <c r="I139" s="64" t="s">
        <v>47</v>
      </c>
      <c r="J139" s="65">
        <v>1</v>
      </c>
      <c r="K139" s="66">
        <f>26820</f>
        <v>26820</v>
      </c>
      <c r="L139" s="67" t="s">
        <v>857</v>
      </c>
      <c r="M139" s="66">
        <f>27400</f>
        <v>27400</v>
      </c>
      <c r="N139" s="67" t="s">
        <v>131</v>
      </c>
      <c r="O139" s="66">
        <f>26360</f>
        <v>26360</v>
      </c>
      <c r="P139" s="67" t="s">
        <v>371</v>
      </c>
      <c r="Q139" s="66">
        <f>27350</f>
        <v>27350</v>
      </c>
      <c r="R139" s="67" t="s">
        <v>872</v>
      </c>
      <c r="S139" s="68">
        <f>26977.62</f>
        <v>26977.62</v>
      </c>
      <c r="T139" s="65">
        <f>1436</f>
        <v>1436</v>
      </c>
      <c r="U139" s="65" t="str">
        <f t="shared" ref="U139:U146" si="0">"－"</f>
        <v>－</v>
      </c>
      <c r="V139" s="65">
        <f>38713410</f>
        <v>38713410</v>
      </c>
      <c r="W139" s="65" t="str">
        <f t="shared" ref="W139:W146" si="1">"－"</f>
        <v>－</v>
      </c>
      <c r="X139" s="69">
        <f>21</f>
        <v>21</v>
      </c>
    </row>
    <row r="140" spans="1:24">
      <c r="A140" s="60" t="s">
        <v>931</v>
      </c>
      <c r="B140" s="60" t="s">
        <v>468</v>
      </c>
      <c r="C140" s="60" t="s">
        <v>469</v>
      </c>
      <c r="D140" s="60" t="s">
        <v>470</v>
      </c>
      <c r="E140" s="61" t="s">
        <v>46</v>
      </c>
      <c r="F140" s="62" t="s">
        <v>46</v>
      </c>
      <c r="G140" s="63" t="s">
        <v>46</v>
      </c>
      <c r="H140" s="64"/>
      <c r="I140" s="64" t="s">
        <v>47</v>
      </c>
      <c r="J140" s="65">
        <v>1</v>
      </c>
      <c r="K140" s="66">
        <f>22310</f>
        <v>22310</v>
      </c>
      <c r="L140" s="67" t="s">
        <v>857</v>
      </c>
      <c r="M140" s="66">
        <f>23800</f>
        <v>23800</v>
      </c>
      <c r="N140" s="67" t="s">
        <v>176</v>
      </c>
      <c r="O140" s="66">
        <f>21850</f>
        <v>21850</v>
      </c>
      <c r="P140" s="67" t="s">
        <v>77</v>
      </c>
      <c r="Q140" s="66">
        <f>23660</f>
        <v>23660</v>
      </c>
      <c r="R140" s="67" t="s">
        <v>872</v>
      </c>
      <c r="S140" s="68">
        <f>22944.76</f>
        <v>22944.76</v>
      </c>
      <c r="T140" s="65">
        <f>6278</f>
        <v>6278</v>
      </c>
      <c r="U140" s="65" t="str">
        <f t="shared" si="0"/>
        <v>－</v>
      </c>
      <c r="V140" s="65">
        <f>143955830</f>
        <v>143955830</v>
      </c>
      <c r="W140" s="65" t="str">
        <f t="shared" si="1"/>
        <v>－</v>
      </c>
      <c r="X140" s="69">
        <f>21</f>
        <v>21</v>
      </c>
    </row>
    <row r="141" spans="1:24">
      <c r="A141" s="60" t="s">
        <v>931</v>
      </c>
      <c r="B141" s="60" t="s">
        <v>471</v>
      </c>
      <c r="C141" s="60" t="s">
        <v>472</v>
      </c>
      <c r="D141" s="60" t="s">
        <v>473</v>
      </c>
      <c r="E141" s="61" t="s">
        <v>46</v>
      </c>
      <c r="F141" s="62" t="s">
        <v>46</v>
      </c>
      <c r="G141" s="63" t="s">
        <v>46</v>
      </c>
      <c r="H141" s="64"/>
      <c r="I141" s="64" t="s">
        <v>47</v>
      </c>
      <c r="J141" s="65">
        <v>1</v>
      </c>
      <c r="K141" s="66">
        <f>23350</f>
        <v>23350</v>
      </c>
      <c r="L141" s="67" t="s">
        <v>857</v>
      </c>
      <c r="M141" s="66">
        <f>24080</f>
        <v>24080</v>
      </c>
      <c r="N141" s="67" t="s">
        <v>131</v>
      </c>
      <c r="O141" s="66">
        <f>21490</f>
        <v>21490</v>
      </c>
      <c r="P141" s="67" t="s">
        <v>371</v>
      </c>
      <c r="Q141" s="66">
        <f>23020</f>
        <v>23020</v>
      </c>
      <c r="R141" s="67" t="s">
        <v>872</v>
      </c>
      <c r="S141" s="68">
        <f>23132.38</f>
        <v>23132.38</v>
      </c>
      <c r="T141" s="65">
        <f>3711</f>
        <v>3711</v>
      </c>
      <c r="U141" s="65" t="str">
        <f t="shared" si="0"/>
        <v>－</v>
      </c>
      <c r="V141" s="65">
        <f>84598430</f>
        <v>84598430</v>
      </c>
      <c r="W141" s="65" t="str">
        <f t="shared" si="1"/>
        <v>－</v>
      </c>
      <c r="X141" s="69">
        <f>21</f>
        <v>21</v>
      </c>
    </row>
    <row r="142" spans="1:24">
      <c r="A142" s="60" t="s">
        <v>931</v>
      </c>
      <c r="B142" s="60" t="s">
        <v>474</v>
      </c>
      <c r="C142" s="60" t="s">
        <v>475</v>
      </c>
      <c r="D142" s="60" t="s">
        <v>476</v>
      </c>
      <c r="E142" s="61" t="s">
        <v>46</v>
      </c>
      <c r="F142" s="62" t="s">
        <v>46</v>
      </c>
      <c r="G142" s="63" t="s">
        <v>46</v>
      </c>
      <c r="H142" s="64"/>
      <c r="I142" s="64" t="s">
        <v>47</v>
      </c>
      <c r="J142" s="65">
        <v>1</v>
      </c>
      <c r="K142" s="66">
        <f>15750</f>
        <v>15750</v>
      </c>
      <c r="L142" s="67" t="s">
        <v>857</v>
      </c>
      <c r="M142" s="66">
        <f>16880</f>
        <v>16880</v>
      </c>
      <c r="N142" s="67" t="s">
        <v>92</v>
      </c>
      <c r="O142" s="66">
        <f>14750</f>
        <v>14750</v>
      </c>
      <c r="P142" s="67" t="s">
        <v>874</v>
      </c>
      <c r="Q142" s="66">
        <f>16660</f>
        <v>16660</v>
      </c>
      <c r="R142" s="67" t="s">
        <v>872</v>
      </c>
      <c r="S142" s="68">
        <f>16035.24</f>
        <v>16035.24</v>
      </c>
      <c r="T142" s="65">
        <f>5676</f>
        <v>5676</v>
      </c>
      <c r="U142" s="65" t="str">
        <f t="shared" si="0"/>
        <v>－</v>
      </c>
      <c r="V142" s="65">
        <f>91208580</f>
        <v>91208580</v>
      </c>
      <c r="W142" s="65" t="str">
        <f t="shared" si="1"/>
        <v>－</v>
      </c>
      <c r="X142" s="69">
        <f>21</f>
        <v>21</v>
      </c>
    </row>
    <row r="143" spans="1:24">
      <c r="A143" s="60" t="s">
        <v>931</v>
      </c>
      <c r="B143" s="60" t="s">
        <v>477</v>
      </c>
      <c r="C143" s="60" t="s">
        <v>478</v>
      </c>
      <c r="D143" s="60" t="s">
        <v>479</v>
      </c>
      <c r="E143" s="61" t="s">
        <v>46</v>
      </c>
      <c r="F143" s="62" t="s">
        <v>46</v>
      </c>
      <c r="G143" s="63" t="s">
        <v>46</v>
      </c>
      <c r="H143" s="64"/>
      <c r="I143" s="64" t="s">
        <v>47</v>
      </c>
      <c r="J143" s="65">
        <v>1</v>
      </c>
      <c r="K143" s="66">
        <f>39700</f>
        <v>39700</v>
      </c>
      <c r="L143" s="67" t="s">
        <v>857</v>
      </c>
      <c r="M143" s="66">
        <f>41800</f>
        <v>41800</v>
      </c>
      <c r="N143" s="67" t="s">
        <v>131</v>
      </c>
      <c r="O143" s="66">
        <f>39200</f>
        <v>39200</v>
      </c>
      <c r="P143" s="67" t="s">
        <v>371</v>
      </c>
      <c r="Q143" s="66">
        <f>41550</f>
        <v>41550</v>
      </c>
      <c r="R143" s="67" t="s">
        <v>872</v>
      </c>
      <c r="S143" s="68">
        <f>40465</f>
        <v>40465</v>
      </c>
      <c r="T143" s="65">
        <f>2133</f>
        <v>2133</v>
      </c>
      <c r="U143" s="65" t="str">
        <f t="shared" si="0"/>
        <v>－</v>
      </c>
      <c r="V143" s="65">
        <f>85657750</f>
        <v>85657750</v>
      </c>
      <c r="W143" s="65" t="str">
        <f t="shared" si="1"/>
        <v>－</v>
      </c>
      <c r="X143" s="69">
        <f>20</f>
        <v>20</v>
      </c>
    </row>
    <row r="144" spans="1:24">
      <c r="A144" s="60" t="s">
        <v>931</v>
      </c>
      <c r="B144" s="60" t="s">
        <v>480</v>
      </c>
      <c r="C144" s="60" t="s">
        <v>481</v>
      </c>
      <c r="D144" s="60" t="s">
        <v>482</v>
      </c>
      <c r="E144" s="61" t="s">
        <v>46</v>
      </c>
      <c r="F144" s="62" t="s">
        <v>46</v>
      </c>
      <c r="G144" s="63" t="s">
        <v>46</v>
      </c>
      <c r="H144" s="64"/>
      <c r="I144" s="64" t="s">
        <v>47</v>
      </c>
      <c r="J144" s="65">
        <v>1</v>
      </c>
      <c r="K144" s="66">
        <f>28500</f>
        <v>28500</v>
      </c>
      <c r="L144" s="67" t="s">
        <v>857</v>
      </c>
      <c r="M144" s="66">
        <f>29610</f>
        <v>29610</v>
      </c>
      <c r="N144" s="67" t="s">
        <v>872</v>
      </c>
      <c r="O144" s="66">
        <f>27810</f>
        <v>27810</v>
      </c>
      <c r="P144" s="67" t="s">
        <v>371</v>
      </c>
      <c r="Q144" s="66">
        <f>29550</f>
        <v>29550</v>
      </c>
      <c r="R144" s="67" t="s">
        <v>872</v>
      </c>
      <c r="S144" s="68">
        <f>28860.95</f>
        <v>28860.95</v>
      </c>
      <c r="T144" s="65">
        <f>1996</f>
        <v>1996</v>
      </c>
      <c r="U144" s="65" t="str">
        <f t="shared" si="0"/>
        <v>－</v>
      </c>
      <c r="V144" s="65">
        <f>57280810</f>
        <v>57280810</v>
      </c>
      <c r="W144" s="65" t="str">
        <f t="shared" si="1"/>
        <v>－</v>
      </c>
      <c r="X144" s="69">
        <f>21</f>
        <v>21</v>
      </c>
    </row>
    <row r="145" spans="1:24">
      <c r="A145" s="60" t="s">
        <v>931</v>
      </c>
      <c r="B145" s="60" t="s">
        <v>483</v>
      </c>
      <c r="C145" s="60" t="s">
        <v>484</v>
      </c>
      <c r="D145" s="60" t="s">
        <v>485</v>
      </c>
      <c r="E145" s="61" t="s">
        <v>46</v>
      </c>
      <c r="F145" s="62" t="s">
        <v>46</v>
      </c>
      <c r="G145" s="63" t="s">
        <v>46</v>
      </c>
      <c r="H145" s="64"/>
      <c r="I145" s="64" t="s">
        <v>47</v>
      </c>
      <c r="J145" s="65">
        <v>1</v>
      </c>
      <c r="K145" s="66">
        <f>28270</f>
        <v>28270</v>
      </c>
      <c r="L145" s="67" t="s">
        <v>857</v>
      </c>
      <c r="M145" s="66">
        <f>29290</f>
        <v>29290</v>
      </c>
      <c r="N145" s="67" t="s">
        <v>872</v>
      </c>
      <c r="O145" s="66">
        <f>28010</f>
        <v>28010</v>
      </c>
      <c r="P145" s="67" t="s">
        <v>371</v>
      </c>
      <c r="Q145" s="66">
        <f>29290</f>
        <v>29290</v>
      </c>
      <c r="R145" s="67" t="s">
        <v>872</v>
      </c>
      <c r="S145" s="68">
        <f>28571.9</f>
        <v>28571.9</v>
      </c>
      <c r="T145" s="65">
        <f>1328</f>
        <v>1328</v>
      </c>
      <c r="U145" s="65" t="str">
        <f t="shared" si="0"/>
        <v>－</v>
      </c>
      <c r="V145" s="65">
        <f>37951090</f>
        <v>37951090</v>
      </c>
      <c r="W145" s="65" t="str">
        <f t="shared" si="1"/>
        <v>－</v>
      </c>
      <c r="X145" s="69">
        <f>21</f>
        <v>21</v>
      </c>
    </row>
    <row r="146" spans="1:24">
      <c r="A146" s="60" t="s">
        <v>931</v>
      </c>
      <c r="B146" s="60" t="s">
        <v>486</v>
      </c>
      <c r="C146" s="60" t="s">
        <v>487</v>
      </c>
      <c r="D146" s="60" t="s">
        <v>488</v>
      </c>
      <c r="E146" s="61" t="s">
        <v>46</v>
      </c>
      <c r="F146" s="62" t="s">
        <v>46</v>
      </c>
      <c r="G146" s="63" t="s">
        <v>46</v>
      </c>
      <c r="H146" s="64"/>
      <c r="I146" s="64" t="s">
        <v>47</v>
      </c>
      <c r="J146" s="65">
        <v>1</v>
      </c>
      <c r="K146" s="66">
        <f>5820</f>
        <v>5820</v>
      </c>
      <c r="L146" s="67" t="s">
        <v>857</v>
      </c>
      <c r="M146" s="66">
        <f>6030</f>
        <v>6030</v>
      </c>
      <c r="N146" s="67" t="s">
        <v>131</v>
      </c>
      <c r="O146" s="66">
        <f>5820</f>
        <v>5820</v>
      </c>
      <c r="P146" s="67" t="s">
        <v>857</v>
      </c>
      <c r="Q146" s="66">
        <f>5860</f>
        <v>5860</v>
      </c>
      <c r="R146" s="67" t="s">
        <v>872</v>
      </c>
      <c r="S146" s="68">
        <f>5910.48</f>
        <v>5910.48</v>
      </c>
      <c r="T146" s="65">
        <f>4407</f>
        <v>4407</v>
      </c>
      <c r="U146" s="65" t="str">
        <f t="shared" si="0"/>
        <v>－</v>
      </c>
      <c r="V146" s="65">
        <f>26089820</f>
        <v>26089820</v>
      </c>
      <c r="W146" s="65" t="str">
        <f t="shared" si="1"/>
        <v>－</v>
      </c>
      <c r="X146" s="69">
        <f>21</f>
        <v>21</v>
      </c>
    </row>
    <row r="147" spans="1:24">
      <c r="A147" s="60" t="s">
        <v>931</v>
      </c>
      <c r="B147" s="60" t="s">
        <v>489</v>
      </c>
      <c r="C147" s="60" t="s">
        <v>490</v>
      </c>
      <c r="D147" s="60" t="s">
        <v>491</v>
      </c>
      <c r="E147" s="61" t="s">
        <v>46</v>
      </c>
      <c r="F147" s="62" t="s">
        <v>46</v>
      </c>
      <c r="G147" s="63" t="s">
        <v>46</v>
      </c>
      <c r="H147" s="64"/>
      <c r="I147" s="64" t="s">
        <v>47</v>
      </c>
      <c r="J147" s="65">
        <v>1</v>
      </c>
      <c r="K147" s="66">
        <f>14600</f>
        <v>14600</v>
      </c>
      <c r="L147" s="67" t="s">
        <v>857</v>
      </c>
      <c r="M147" s="66">
        <f>15580</f>
        <v>15580</v>
      </c>
      <c r="N147" s="67" t="s">
        <v>873</v>
      </c>
      <c r="O147" s="66">
        <f>14450</f>
        <v>14450</v>
      </c>
      <c r="P147" s="67" t="s">
        <v>857</v>
      </c>
      <c r="Q147" s="66">
        <f>15320</f>
        <v>15320</v>
      </c>
      <c r="R147" s="67" t="s">
        <v>872</v>
      </c>
      <c r="S147" s="68">
        <f>14938.1</f>
        <v>14938.1</v>
      </c>
      <c r="T147" s="65">
        <f>22047</f>
        <v>22047</v>
      </c>
      <c r="U147" s="65">
        <f>3</f>
        <v>3</v>
      </c>
      <c r="V147" s="65">
        <f>329652750</f>
        <v>329652750</v>
      </c>
      <c r="W147" s="65">
        <f>45070</f>
        <v>45070</v>
      </c>
      <c r="X147" s="69">
        <f>21</f>
        <v>21</v>
      </c>
    </row>
    <row r="148" spans="1:24">
      <c r="A148" s="60" t="s">
        <v>931</v>
      </c>
      <c r="B148" s="60" t="s">
        <v>492</v>
      </c>
      <c r="C148" s="60" t="s">
        <v>493</v>
      </c>
      <c r="D148" s="60" t="s">
        <v>494</v>
      </c>
      <c r="E148" s="61" t="s">
        <v>46</v>
      </c>
      <c r="F148" s="62" t="s">
        <v>46</v>
      </c>
      <c r="G148" s="63" t="s">
        <v>46</v>
      </c>
      <c r="H148" s="64"/>
      <c r="I148" s="64" t="s">
        <v>47</v>
      </c>
      <c r="J148" s="65">
        <v>1</v>
      </c>
      <c r="K148" s="66">
        <f>38300</f>
        <v>38300</v>
      </c>
      <c r="L148" s="67" t="s">
        <v>857</v>
      </c>
      <c r="M148" s="66">
        <f>39550</f>
        <v>39550</v>
      </c>
      <c r="N148" s="67" t="s">
        <v>131</v>
      </c>
      <c r="O148" s="66">
        <f>37150</f>
        <v>37150</v>
      </c>
      <c r="P148" s="67" t="s">
        <v>371</v>
      </c>
      <c r="Q148" s="66">
        <f>38600</f>
        <v>38600</v>
      </c>
      <c r="R148" s="67" t="s">
        <v>872</v>
      </c>
      <c r="S148" s="68">
        <f>38530.95</f>
        <v>38530.949999999997</v>
      </c>
      <c r="T148" s="65">
        <f>3884</f>
        <v>3884</v>
      </c>
      <c r="U148" s="65">
        <f>1</f>
        <v>1</v>
      </c>
      <c r="V148" s="65">
        <f>148888750</f>
        <v>148888750</v>
      </c>
      <c r="W148" s="65">
        <f>39450</f>
        <v>39450</v>
      </c>
      <c r="X148" s="69">
        <f>21</f>
        <v>21</v>
      </c>
    </row>
    <row r="149" spans="1:24">
      <c r="A149" s="60" t="s">
        <v>931</v>
      </c>
      <c r="B149" s="60" t="s">
        <v>495</v>
      </c>
      <c r="C149" s="60" t="s">
        <v>496</v>
      </c>
      <c r="D149" s="60" t="s">
        <v>497</v>
      </c>
      <c r="E149" s="61" t="s">
        <v>46</v>
      </c>
      <c r="F149" s="62" t="s">
        <v>46</v>
      </c>
      <c r="G149" s="63" t="s">
        <v>46</v>
      </c>
      <c r="H149" s="64"/>
      <c r="I149" s="64" t="s">
        <v>47</v>
      </c>
      <c r="J149" s="65">
        <v>1</v>
      </c>
      <c r="K149" s="66">
        <f>23040</f>
        <v>23040</v>
      </c>
      <c r="L149" s="67" t="s">
        <v>857</v>
      </c>
      <c r="M149" s="66">
        <f>23240</f>
        <v>23240</v>
      </c>
      <c r="N149" s="67" t="s">
        <v>92</v>
      </c>
      <c r="O149" s="66">
        <f>22680</f>
        <v>22680</v>
      </c>
      <c r="P149" s="67" t="s">
        <v>872</v>
      </c>
      <c r="Q149" s="66">
        <f>22870</f>
        <v>22870</v>
      </c>
      <c r="R149" s="67" t="s">
        <v>872</v>
      </c>
      <c r="S149" s="68">
        <f>22950</f>
        <v>22950</v>
      </c>
      <c r="T149" s="65">
        <f>149</f>
        <v>149</v>
      </c>
      <c r="U149" s="65" t="str">
        <f>"－"</f>
        <v>－</v>
      </c>
      <c r="V149" s="65">
        <f>3417900</f>
        <v>3417900</v>
      </c>
      <c r="W149" s="65" t="str">
        <f>"－"</f>
        <v>－</v>
      </c>
      <c r="X149" s="69">
        <f>14</f>
        <v>14</v>
      </c>
    </row>
    <row r="150" spans="1:24">
      <c r="A150" s="60" t="s">
        <v>931</v>
      </c>
      <c r="B150" s="60" t="s">
        <v>498</v>
      </c>
      <c r="C150" s="60" t="s">
        <v>499</v>
      </c>
      <c r="D150" s="60" t="s">
        <v>500</v>
      </c>
      <c r="E150" s="61" t="s">
        <v>46</v>
      </c>
      <c r="F150" s="62" t="s">
        <v>46</v>
      </c>
      <c r="G150" s="63" t="s">
        <v>46</v>
      </c>
      <c r="H150" s="64"/>
      <c r="I150" s="64" t="s">
        <v>47</v>
      </c>
      <c r="J150" s="65">
        <v>1</v>
      </c>
      <c r="K150" s="66">
        <f>7460</f>
        <v>7460</v>
      </c>
      <c r="L150" s="67" t="s">
        <v>857</v>
      </c>
      <c r="M150" s="66">
        <f>7870</f>
        <v>7870</v>
      </c>
      <c r="N150" s="67" t="s">
        <v>131</v>
      </c>
      <c r="O150" s="66">
        <f>7380</f>
        <v>7380</v>
      </c>
      <c r="P150" s="67" t="s">
        <v>858</v>
      </c>
      <c r="Q150" s="66">
        <f>7610</f>
        <v>7610</v>
      </c>
      <c r="R150" s="67" t="s">
        <v>872</v>
      </c>
      <c r="S150" s="68">
        <f>7574.76</f>
        <v>7574.76</v>
      </c>
      <c r="T150" s="65">
        <f>35301</f>
        <v>35301</v>
      </c>
      <c r="U150" s="65" t="str">
        <f>"－"</f>
        <v>－</v>
      </c>
      <c r="V150" s="65">
        <f>270804740</f>
        <v>270804740</v>
      </c>
      <c r="W150" s="65" t="str">
        <f>"－"</f>
        <v>－</v>
      </c>
      <c r="X150" s="69">
        <f>21</f>
        <v>21</v>
      </c>
    </row>
    <row r="151" spans="1:24">
      <c r="A151" s="60" t="s">
        <v>931</v>
      </c>
      <c r="B151" s="60" t="s">
        <v>501</v>
      </c>
      <c r="C151" s="60" t="s">
        <v>502</v>
      </c>
      <c r="D151" s="60" t="s">
        <v>503</v>
      </c>
      <c r="E151" s="61" t="s">
        <v>46</v>
      </c>
      <c r="F151" s="62" t="s">
        <v>46</v>
      </c>
      <c r="G151" s="63" t="s">
        <v>46</v>
      </c>
      <c r="H151" s="64"/>
      <c r="I151" s="64" t="s">
        <v>47</v>
      </c>
      <c r="J151" s="65">
        <v>1</v>
      </c>
      <c r="K151" s="66">
        <f>12600</f>
        <v>12600</v>
      </c>
      <c r="L151" s="67" t="s">
        <v>857</v>
      </c>
      <c r="M151" s="66">
        <f>13300</f>
        <v>13300</v>
      </c>
      <c r="N151" s="67" t="s">
        <v>131</v>
      </c>
      <c r="O151" s="66">
        <f>12600</f>
        <v>12600</v>
      </c>
      <c r="P151" s="67" t="s">
        <v>857</v>
      </c>
      <c r="Q151" s="66">
        <f>12960</f>
        <v>12960</v>
      </c>
      <c r="R151" s="67" t="s">
        <v>872</v>
      </c>
      <c r="S151" s="68">
        <f>12917.5</f>
        <v>12917.5</v>
      </c>
      <c r="T151" s="65">
        <f>2160</f>
        <v>2160</v>
      </c>
      <c r="U151" s="65" t="str">
        <f>"－"</f>
        <v>－</v>
      </c>
      <c r="V151" s="65">
        <f>27931800</f>
        <v>27931800</v>
      </c>
      <c r="W151" s="65" t="str">
        <f>"－"</f>
        <v>－</v>
      </c>
      <c r="X151" s="69">
        <f>20</f>
        <v>20</v>
      </c>
    </row>
    <row r="152" spans="1:24">
      <c r="A152" s="60" t="s">
        <v>931</v>
      </c>
      <c r="B152" s="60" t="s">
        <v>504</v>
      </c>
      <c r="C152" s="60" t="s">
        <v>505</v>
      </c>
      <c r="D152" s="60" t="s">
        <v>506</v>
      </c>
      <c r="E152" s="61" t="s">
        <v>46</v>
      </c>
      <c r="F152" s="62" t="s">
        <v>46</v>
      </c>
      <c r="G152" s="63" t="s">
        <v>46</v>
      </c>
      <c r="H152" s="64"/>
      <c r="I152" s="64" t="s">
        <v>47</v>
      </c>
      <c r="J152" s="65">
        <v>1</v>
      </c>
      <c r="K152" s="66">
        <f>28700</f>
        <v>28700</v>
      </c>
      <c r="L152" s="67" t="s">
        <v>857</v>
      </c>
      <c r="M152" s="66">
        <f>29440</f>
        <v>29440</v>
      </c>
      <c r="N152" s="67" t="s">
        <v>131</v>
      </c>
      <c r="O152" s="66">
        <f>27550</f>
        <v>27550</v>
      </c>
      <c r="P152" s="67" t="s">
        <v>371</v>
      </c>
      <c r="Q152" s="66">
        <f>28960</f>
        <v>28960</v>
      </c>
      <c r="R152" s="67" t="s">
        <v>872</v>
      </c>
      <c r="S152" s="68">
        <f>28505.24</f>
        <v>28505.24</v>
      </c>
      <c r="T152" s="65">
        <f>1031</f>
        <v>1031</v>
      </c>
      <c r="U152" s="65">
        <f>2</f>
        <v>2</v>
      </c>
      <c r="V152" s="65">
        <f>29264620</f>
        <v>29264620</v>
      </c>
      <c r="W152" s="65">
        <f>57250</f>
        <v>57250</v>
      </c>
      <c r="X152" s="69">
        <f>21</f>
        <v>21</v>
      </c>
    </row>
    <row r="153" spans="1:24">
      <c r="A153" s="60" t="s">
        <v>931</v>
      </c>
      <c r="B153" s="60" t="s">
        <v>507</v>
      </c>
      <c r="C153" s="60" t="s">
        <v>508</v>
      </c>
      <c r="D153" s="60" t="s">
        <v>509</v>
      </c>
      <c r="E153" s="61" t="s">
        <v>46</v>
      </c>
      <c r="F153" s="62" t="s">
        <v>46</v>
      </c>
      <c r="G153" s="63" t="s">
        <v>46</v>
      </c>
      <c r="H153" s="64"/>
      <c r="I153" s="64" t="s">
        <v>47</v>
      </c>
      <c r="J153" s="65">
        <v>10</v>
      </c>
      <c r="K153" s="66">
        <f>1077</f>
        <v>1077</v>
      </c>
      <c r="L153" s="67" t="s">
        <v>857</v>
      </c>
      <c r="M153" s="66">
        <f>1098</f>
        <v>1098</v>
      </c>
      <c r="N153" s="67" t="s">
        <v>92</v>
      </c>
      <c r="O153" s="66">
        <f>1039</f>
        <v>1039</v>
      </c>
      <c r="P153" s="67" t="s">
        <v>371</v>
      </c>
      <c r="Q153" s="66">
        <f>1069</f>
        <v>1069</v>
      </c>
      <c r="R153" s="67" t="s">
        <v>872</v>
      </c>
      <c r="S153" s="68">
        <f>1067.24</f>
        <v>1067.24</v>
      </c>
      <c r="T153" s="65">
        <f>184650</f>
        <v>184650</v>
      </c>
      <c r="U153" s="65">
        <f>20</f>
        <v>20</v>
      </c>
      <c r="V153" s="65">
        <f>197401450</f>
        <v>197401450</v>
      </c>
      <c r="W153" s="65">
        <f>21310</f>
        <v>21310</v>
      </c>
      <c r="X153" s="69">
        <f>21</f>
        <v>21</v>
      </c>
    </row>
    <row r="154" spans="1:24">
      <c r="A154" s="60" t="s">
        <v>931</v>
      </c>
      <c r="B154" s="60" t="s">
        <v>510</v>
      </c>
      <c r="C154" s="60" t="s">
        <v>511</v>
      </c>
      <c r="D154" s="60" t="s">
        <v>512</v>
      </c>
      <c r="E154" s="61" t="s">
        <v>46</v>
      </c>
      <c r="F154" s="62" t="s">
        <v>46</v>
      </c>
      <c r="G154" s="63" t="s">
        <v>46</v>
      </c>
      <c r="H154" s="64"/>
      <c r="I154" s="64" t="s">
        <v>47</v>
      </c>
      <c r="J154" s="65">
        <v>10</v>
      </c>
      <c r="K154" s="66">
        <f>2401</f>
        <v>2401</v>
      </c>
      <c r="L154" s="67" t="s">
        <v>131</v>
      </c>
      <c r="M154" s="66">
        <f>2406</f>
        <v>2406</v>
      </c>
      <c r="N154" s="67" t="s">
        <v>92</v>
      </c>
      <c r="O154" s="66">
        <f>2342</f>
        <v>2342</v>
      </c>
      <c r="P154" s="67" t="s">
        <v>371</v>
      </c>
      <c r="Q154" s="66">
        <f>2400</f>
        <v>2400</v>
      </c>
      <c r="R154" s="67" t="s">
        <v>873</v>
      </c>
      <c r="S154" s="68">
        <f>2380.17</f>
        <v>2380.17</v>
      </c>
      <c r="T154" s="65">
        <f>12410</f>
        <v>12410</v>
      </c>
      <c r="U154" s="65" t="str">
        <f>"－"</f>
        <v>－</v>
      </c>
      <c r="V154" s="65">
        <f>29419790</f>
        <v>29419790</v>
      </c>
      <c r="W154" s="65" t="str">
        <f>"－"</f>
        <v>－</v>
      </c>
      <c r="X154" s="69">
        <f>6</f>
        <v>6</v>
      </c>
    </row>
    <row r="155" spans="1:24">
      <c r="A155" s="60" t="s">
        <v>931</v>
      </c>
      <c r="B155" s="60" t="s">
        <v>513</v>
      </c>
      <c r="C155" s="60" t="s">
        <v>514</v>
      </c>
      <c r="D155" s="60" t="s">
        <v>515</v>
      </c>
      <c r="E155" s="61" t="s">
        <v>46</v>
      </c>
      <c r="F155" s="62" t="s">
        <v>46</v>
      </c>
      <c r="G155" s="63" t="s">
        <v>46</v>
      </c>
      <c r="H155" s="64"/>
      <c r="I155" s="64" t="s">
        <v>47</v>
      </c>
      <c r="J155" s="65">
        <v>10</v>
      </c>
      <c r="K155" s="66">
        <f>2440</f>
        <v>2440</v>
      </c>
      <c r="L155" s="67" t="s">
        <v>857</v>
      </c>
      <c r="M155" s="66">
        <f>2497</f>
        <v>2497</v>
      </c>
      <c r="N155" s="67" t="s">
        <v>872</v>
      </c>
      <c r="O155" s="66">
        <f>2392</f>
        <v>2392</v>
      </c>
      <c r="P155" s="67" t="s">
        <v>371</v>
      </c>
      <c r="Q155" s="66">
        <f>2497</f>
        <v>2497</v>
      </c>
      <c r="R155" s="67" t="s">
        <v>872</v>
      </c>
      <c r="S155" s="68">
        <f>2454.56</f>
        <v>2454.56</v>
      </c>
      <c r="T155" s="65">
        <f>3000</f>
        <v>3000</v>
      </c>
      <c r="U155" s="65" t="str">
        <f>"－"</f>
        <v>－</v>
      </c>
      <c r="V155" s="65">
        <f>7383740</f>
        <v>7383740</v>
      </c>
      <c r="W155" s="65" t="str">
        <f>"－"</f>
        <v>－</v>
      </c>
      <c r="X155" s="69">
        <f>16</f>
        <v>16</v>
      </c>
    </row>
    <row r="156" spans="1:24">
      <c r="A156" s="60" t="s">
        <v>931</v>
      </c>
      <c r="B156" s="60" t="s">
        <v>516</v>
      </c>
      <c r="C156" s="60" t="s">
        <v>517</v>
      </c>
      <c r="D156" s="60" t="s">
        <v>518</v>
      </c>
      <c r="E156" s="61" t="s">
        <v>46</v>
      </c>
      <c r="F156" s="62" t="s">
        <v>46</v>
      </c>
      <c r="G156" s="63" t="s">
        <v>46</v>
      </c>
      <c r="H156" s="64"/>
      <c r="I156" s="64" t="s">
        <v>47</v>
      </c>
      <c r="J156" s="65">
        <v>10</v>
      </c>
      <c r="K156" s="66">
        <f>1485</f>
        <v>1485</v>
      </c>
      <c r="L156" s="67" t="s">
        <v>77</v>
      </c>
      <c r="M156" s="66">
        <f>1515</f>
        <v>1515</v>
      </c>
      <c r="N156" s="67" t="s">
        <v>131</v>
      </c>
      <c r="O156" s="66">
        <f>1448</f>
        <v>1448</v>
      </c>
      <c r="P156" s="67" t="s">
        <v>371</v>
      </c>
      <c r="Q156" s="66">
        <f>1494</f>
        <v>1494</v>
      </c>
      <c r="R156" s="67" t="s">
        <v>872</v>
      </c>
      <c r="S156" s="68">
        <f>1484.18</f>
        <v>1484.18</v>
      </c>
      <c r="T156" s="65">
        <f>8030</f>
        <v>8030</v>
      </c>
      <c r="U156" s="65" t="str">
        <f>"－"</f>
        <v>－</v>
      </c>
      <c r="V156" s="65">
        <f>12050050</f>
        <v>12050050</v>
      </c>
      <c r="W156" s="65" t="str">
        <f>"－"</f>
        <v>－</v>
      </c>
      <c r="X156" s="69">
        <f>17</f>
        <v>17</v>
      </c>
    </row>
    <row r="157" spans="1:24">
      <c r="A157" s="60" t="s">
        <v>931</v>
      </c>
      <c r="B157" s="60" t="s">
        <v>519</v>
      </c>
      <c r="C157" s="60" t="s">
        <v>520</v>
      </c>
      <c r="D157" s="60" t="s">
        <v>521</v>
      </c>
      <c r="E157" s="61" t="s">
        <v>46</v>
      </c>
      <c r="F157" s="62" t="s">
        <v>46</v>
      </c>
      <c r="G157" s="63" t="s">
        <v>46</v>
      </c>
      <c r="H157" s="64"/>
      <c r="I157" s="64" t="s">
        <v>47</v>
      </c>
      <c r="J157" s="65">
        <v>1</v>
      </c>
      <c r="K157" s="66">
        <f>3475</f>
        <v>3475</v>
      </c>
      <c r="L157" s="67" t="s">
        <v>857</v>
      </c>
      <c r="M157" s="66">
        <f>3575</f>
        <v>3575</v>
      </c>
      <c r="N157" s="67" t="s">
        <v>872</v>
      </c>
      <c r="O157" s="66">
        <f>3440</f>
        <v>3440</v>
      </c>
      <c r="P157" s="67" t="s">
        <v>858</v>
      </c>
      <c r="Q157" s="66">
        <f>3575</f>
        <v>3575</v>
      </c>
      <c r="R157" s="67" t="s">
        <v>872</v>
      </c>
      <c r="S157" s="68">
        <f>3501.43</f>
        <v>3501.43</v>
      </c>
      <c r="T157" s="65">
        <f>5237528</f>
        <v>5237528</v>
      </c>
      <c r="U157" s="65">
        <f>302016</f>
        <v>302016</v>
      </c>
      <c r="V157" s="65">
        <f>18293930050</f>
        <v>18293930050</v>
      </c>
      <c r="W157" s="65">
        <f>1049955360</f>
        <v>1049955360</v>
      </c>
      <c r="X157" s="69">
        <f>21</f>
        <v>21</v>
      </c>
    </row>
    <row r="158" spans="1:24">
      <c r="A158" s="60" t="s">
        <v>931</v>
      </c>
      <c r="B158" s="60" t="s">
        <v>522</v>
      </c>
      <c r="C158" s="60" t="s">
        <v>523</v>
      </c>
      <c r="D158" s="60" t="s">
        <v>524</v>
      </c>
      <c r="E158" s="61" t="s">
        <v>46</v>
      </c>
      <c r="F158" s="62" t="s">
        <v>46</v>
      </c>
      <c r="G158" s="63" t="s">
        <v>46</v>
      </c>
      <c r="H158" s="64"/>
      <c r="I158" s="64" t="s">
        <v>47</v>
      </c>
      <c r="J158" s="65">
        <v>1</v>
      </c>
      <c r="K158" s="66">
        <f>2659</f>
        <v>2659</v>
      </c>
      <c r="L158" s="67" t="s">
        <v>857</v>
      </c>
      <c r="M158" s="66">
        <f>2669</f>
        <v>2669</v>
      </c>
      <c r="N158" s="67" t="s">
        <v>613</v>
      </c>
      <c r="O158" s="66">
        <f>2645</f>
        <v>2645</v>
      </c>
      <c r="P158" s="67" t="s">
        <v>855</v>
      </c>
      <c r="Q158" s="66">
        <f>2659</f>
        <v>2659</v>
      </c>
      <c r="R158" s="67" t="s">
        <v>872</v>
      </c>
      <c r="S158" s="68">
        <f>2655.76</f>
        <v>2655.76</v>
      </c>
      <c r="T158" s="65">
        <f>392028</f>
        <v>392028</v>
      </c>
      <c r="U158" s="65">
        <f>140300</f>
        <v>140300</v>
      </c>
      <c r="V158" s="65">
        <f>1039998563</f>
        <v>1039998563</v>
      </c>
      <c r="W158" s="65">
        <f>371682760</f>
        <v>371682760</v>
      </c>
      <c r="X158" s="69">
        <f>21</f>
        <v>21</v>
      </c>
    </row>
    <row r="159" spans="1:24">
      <c r="A159" s="60" t="s">
        <v>931</v>
      </c>
      <c r="B159" s="60" t="s">
        <v>525</v>
      </c>
      <c r="C159" s="60" t="s">
        <v>526</v>
      </c>
      <c r="D159" s="60" t="s">
        <v>527</v>
      </c>
      <c r="E159" s="61" t="s">
        <v>46</v>
      </c>
      <c r="F159" s="62" t="s">
        <v>46</v>
      </c>
      <c r="G159" s="63" t="s">
        <v>46</v>
      </c>
      <c r="H159" s="64"/>
      <c r="I159" s="64" t="s">
        <v>47</v>
      </c>
      <c r="J159" s="65">
        <v>1</v>
      </c>
      <c r="K159" s="66">
        <f>3105</f>
        <v>3105</v>
      </c>
      <c r="L159" s="67" t="s">
        <v>857</v>
      </c>
      <c r="M159" s="66">
        <f>3170</f>
        <v>3170</v>
      </c>
      <c r="N159" s="67" t="s">
        <v>872</v>
      </c>
      <c r="O159" s="66">
        <f>3055</f>
        <v>3055</v>
      </c>
      <c r="P159" s="67" t="s">
        <v>371</v>
      </c>
      <c r="Q159" s="66">
        <f>3170</f>
        <v>3170</v>
      </c>
      <c r="R159" s="67" t="s">
        <v>872</v>
      </c>
      <c r="S159" s="68">
        <f>3114.29</f>
        <v>3114.29</v>
      </c>
      <c r="T159" s="65">
        <f>576994</f>
        <v>576994</v>
      </c>
      <c r="U159" s="65">
        <f>517616</f>
        <v>517616</v>
      </c>
      <c r="V159" s="65">
        <f>1768210276</f>
        <v>1768210276</v>
      </c>
      <c r="W159" s="65">
        <f>1583419001</f>
        <v>1583419001</v>
      </c>
      <c r="X159" s="69">
        <f>21</f>
        <v>21</v>
      </c>
    </row>
    <row r="160" spans="1:24">
      <c r="A160" s="60" t="s">
        <v>931</v>
      </c>
      <c r="B160" s="60" t="s">
        <v>528</v>
      </c>
      <c r="C160" s="60" t="s">
        <v>529</v>
      </c>
      <c r="D160" s="60" t="s">
        <v>530</v>
      </c>
      <c r="E160" s="61" t="s">
        <v>46</v>
      </c>
      <c r="F160" s="62" t="s">
        <v>46</v>
      </c>
      <c r="G160" s="63" t="s">
        <v>46</v>
      </c>
      <c r="H160" s="64"/>
      <c r="I160" s="64" t="s">
        <v>47</v>
      </c>
      <c r="J160" s="65">
        <v>1</v>
      </c>
      <c r="K160" s="66">
        <f>2341</f>
        <v>2341</v>
      </c>
      <c r="L160" s="67" t="s">
        <v>857</v>
      </c>
      <c r="M160" s="66">
        <f>2374</f>
        <v>2374</v>
      </c>
      <c r="N160" s="67" t="s">
        <v>875</v>
      </c>
      <c r="O160" s="66">
        <f>2191</f>
        <v>2191</v>
      </c>
      <c r="P160" s="67" t="s">
        <v>371</v>
      </c>
      <c r="Q160" s="66">
        <f>2338</f>
        <v>2338</v>
      </c>
      <c r="R160" s="67" t="s">
        <v>872</v>
      </c>
      <c r="S160" s="68">
        <f>2306.67</f>
        <v>2306.67</v>
      </c>
      <c r="T160" s="65">
        <f>90197</f>
        <v>90197</v>
      </c>
      <c r="U160" s="65">
        <f>2</f>
        <v>2</v>
      </c>
      <c r="V160" s="65">
        <f>207499636</f>
        <v>207499636</v>
      </c>
      <c r="W160" s="65">
        <f>4572</f>
        <v>4572</v>
      </c>
      <c r="X160" s="69">
        <f>21</f>
        <v>21</v>
      </c>
    </row>
    <row r="161" spans="1:24">
      <c r="A161" s="60" t="s">
        <v>931</v>
      </c>
      <c r="B161" s="60" t="s">
        <v>531</v>
      </c>
      <c r="C161" s="60" t="s">
        <v>532</v>
      </c>
      <c r="D161" s="60" t="s">
        <v>533</v>
      </c>
      <c r="E161" s="61" t="s">
        <v>46</v>
      </c>
      <c r="F161" s="62" t="s">
        <v>46</v>
      </c>
      <c r="G161" s="63" t="s">
        <v>46</v>
      </c>
      <c r="H161" s="64"/>
      <c r="I161" s="64" t="s">
        <v>47</v>
      </c>
      <c r="J161" s="65">
        <v>1</v>
      </c>
      <c r="K161" s="66">
        <f>2520</f>
        <v>2520</v>
      </c>
      <c r="L161" s="67" t="s">
        <v>857</v>
      </c>
      <c r="M161" s="66">
        <f>2545</f>
        <v>2545</v>
      </c>
      <c r="N161" s="67" t="s">
        <v>872</v>
      </c>
      <c r="O161" s="66">
        <f>2472</f>
        <v>2472</v>
      </c>
      <c r="P161" s="67" t="s">
        <v>371</v>
      </c>
      <c r="Q161" s="66">
        <f>2541</f>
        <v>2541</v>
      </c>
      <c r="R161" s="67" t="s">
        <v>872</v>
      </c>
      <c r="S161" s="68">
        <f>2497.57</f>
        <v>2497.5700000000002</v>
      </c>
      <c r="T161" s="65">
        <f>671007</f>
        <v>671007</v>
      </c>
      <c r="U161" s="65">
        <f>420573</f>
        <v>420573</v>
      </c>
      <c r="V161" s="65">
        <f>1675438697</f>
        <v>1675438697</v>
      </c>
      <c r="W161" s="65">
        <f>1049114472</f>
        <v>1049114472</v>
      </c>
      <c r="X161" s="69">
        <f>21</f>
        <v>21</v>
      </c>
    </row>
    <row r="162" spans="1:24">
      <c r="A162" s="60" t="s">
        <v>931</v>
      </c>
      <c r="B162" s="60" t="s">
        <v>534</v>
      </c>
      <c r="C162" s="60" t="s">
        <v>535</v>
      </c>
      <c r="D162" s="60" t="s">
        <v>536</v>
      </c>
      <c r="E162" s="61" t="s">
        <v>46</v>
      </c>
      <c r="F162" s="62" t="s">
        <v>46</v>
      </c>
      <c r="G162" s="63" t="s">
        <v>46</v>
      </c>
      <c r="H162" s="64"/>
      <c r="I162" s="64" t="s">
        <v>47</v>
      </c>
      <c r="J162" s="65">
        <v>1</v>
      </c>
      <c r="K162" s="66">
        <f>12320</f>
        <v>12320</v>
      </c>
      <c r="L162" s="67" t="s">
        <v>857</v>
      </c>
      <c r="M162" s="66">
        <f>12330</f>
        <v>12330</v>
      </c>
      <c r="N162" s="67" t="s">
        <v>857</v>
      </c>
      <c r="O162" s="66">
        <f>11680</f>
        <v>11680</v>
      </c>
      <c r="P162" s="67" t="s">
        <v>176</v>
      </c>
      <c r="Q162" s="66">
        <f>12030</f>
        <v>12030</v>
      </c>
      <c r="R162" s="67" t="s">
        <v>872</v>
      </c>
      <c r="S162" s="68">
        <f>12000.48</f>
        <v>12000.48</v>
      </c>
      <c r="T162" s="65">
        <f>39679</f>
        <v>39679</v>
      </c>
      <c r="U162" s="65">
        <f>22000</f>
        <v>22000</v>
      </c>
      <c r="V162" s="65">
        <f>474662592</f>
        <v>474662592</v>
      </c>
      <c r="W162" s="65">
        <f>263410202</f>
        <v>263410202</v>
      </c>
      <c r="X162" s="69">
        <f>21</f>
        <v>21</v>
      </c>
    </row>
    <row r="163" spans="1:24">
      <c r="A163" s="60" t="s">
        <v>931</v>
      </c>
      <c r="B163" s="60" t="s">
        <v>541</v>
      </c>
      <c r="C163" s="60" t="s">
        <v>542</v>
      </c>
      <c r="D163" s="60" t="s">
        <v>543</v>
      </c>
      <c r="E163" s="61" t="s">
        <v>46</v>
      </c>
      <c r="F163" s="62" t="s">
        <v>46</v>
      </c>
      <c r="G163" s="63" t="s">
        <v>46</v>
      </c>
      <c r="H163" s="64"/>
      <c r="I163" s="64" t="s">
        <v>47</v>
      </c>
      <c r="J163" s="65">
        <v>1</v>
      </c>
      <c r="K163" s="66">
        <f>1567</f>
        <v>1567</v>
      </c>
      <c r="L163" s="67" t="s">
        <v>857</v>
      </c>
      <c r="M163" s="66">
        <f>1568</f>
        <v>1568</v>
      </c>
      <c r="N163" s="67" t="s">
        <v>857</v>
      </c>
      <c r="O163" s="66">
        <f>1341</f>
        <v>1341</v>
      </c>
      <c r="P163" s="67" t="s">
        <v>874</v>
      </c>
      <c r="Q163" s="66">
        <f>1489</f>
        <v>1489</v>
      </c>
      <c r="R163" s="67" t="s">
        <v>872</v>
      </c>
      <c r="S163" s="68">
        <f>1456.38</f>
        <v>1456.38</v>
      </c>
      <c r="T163" s="65">
        <f>24091470</f>
        <v>24091470</v>
      </c>
      <c r="U163" s="65">
        <f>22661</f>
        <v>22661</v>
      </c>
      <c r="V163" s="65">
        <f>35020382650</f>
        <v>35020382650</v>
      </c>
      <c r="W163" s="65">
        <f>33112215</f>
        <v>33112215</v>
      </c>
      <c r="X163" s="69">
        <f>21</f>
        <v>21</v>
      </c>
    </row>
    <row r="164" spans="1:24">
      <c r="A164" s="60" t="s">
        <v>931</v>
      </c>
      <c r="B164" s="60" t="s">
        <v>544</v>
      </c>
      <c r="C164" s="60" t="s">
        <v>545</v>
      </c>
      <c r="D164" s="60" t="s">
        <v>546</v>
      </c>
      <c r="E164" s="61" t="s">
        <v>46</v>
      </c>
      <c r="F164" s="62" t="s">
        <v>46</v>
      </c>
      <c r="G164" s="63" t="s">
        <v>46</v>
      </c>
      <c r="H164" s="64"/>
      <c r="I164" s="64" t="s">
        <v>47</v>
      </c>
      <c r="J164" s="65">
        <v>1</v>
      </c>
      <c r="K164" s="66">
        <f>18860</f>
        <v>18860</v>
      </c>
      <c r="L164" s="67" t="s">
        <v>857</v>
      </c>
      <c r="M164" s="66">
        <f>18910</f>
        <v>18910</v>
      </c>
      <c r="N164" s="67" t="s">
        <v>873</v>
      </c>
      <c r="O164" s="66">
        <f>18000</f>
        <v>18000</v>
      </c>
      <c r="P164" s="67" t="s">
        <v>860</v>
      </c>
      <c r="Q164" s="66">
        <f>18830</f>
        <v>18830</v>
      </c>
      <c r="R164" s="67" t="s">
        <v>872</v>
      </c>
      <c r="S164" s="68">
        <f>18551.43</f>
        <v>18551.43</v>
      </c>
      <c r="T164" s="65">
        <f>3102</f>
        <v>3102</v>
      </c>
      <c r="U164" s="65" t="str">
        <f>"－"</f>
        <v>－</v>
      </c>
      <c r="V164" s="65">
        <f>57234580</f>
        <v>57234580</v>
      </c>
      <c r="W164" s="65" t="str">
        <f>"－"</f>
        <v>－</v>
      </c>
      <c r="X164" s="69">
        <f>21</f>
        <v>21</v>
      </c>
    </row>
    <row r="165" spans="1:24">
      <c r="A165" s="60" t="s">
        <v>931</v>
      </c>
      <c r="B165" s="60" t="s">
        <v>547</v>
      </c>
      <c r="C165" s="60" t="s">
        <v>548</v>
      </c>
      <c r="D165" s="60" t="s">
        <v>549</v>
      </c>
      <c r="E165" s="61" t="s">
        <v>46</v>
      </c>
      <c r="F165" s="62" t="s">
        <v>46</v>
      </c>
      <c r="G165" s="63" t="s">
        <v>46</v>
      </c>
      <c r="H165" s="64"/>
      <c r="I165" s="64" t="s">
        <v>47</v>
      </c>
      <c r="J165" s="65">
        <v>10</v>
      </c>
      <c r="K165" s="66">
        <f>2593</f>
        <v>2593</v>
      </c>
      <c r="L165" s="67" t="s">
        <v>857</v>
      </c>
      <c r="M165" s="66">
        <f>2606</f>
        <v>2606</v>
      </c>
      <c r="N165" s="67" t="s">
        <v>857</v>
      </c>
      <c r="O165" s="66">
        <f>2346</f>
        <v>2346</v>
      </c>
      <c r="P165" s="67" t="s">
        <v>874</v>
      </c>
      <c r="Q165" s="66">
        <f>2468</f>
        <v>2468</v>
      </c>
      <c r="R165" s="67" t="s">
        <v>872</v>
      </c>
      <c r="S165" s="68">
        <f>2459.14</f>
        <v>2459.14</v>
      </c>
      <c r="T165" s="65">
        <f>16180</f>
        <v>16180</v>
      </c>
      <c r="U165" s="65">
        <f>110</f>
        <v>110</v>
      </c>
      <c r="V165" s="65">
        <f>39602190</f>
        <v>39602190</v>
      </c>
      <c r="W165" s="65">
        <f>264800</f>
        <v>264800</v>
      </c>
      <c r="X165" s="69">
        <f>21</f>
        <v>21</v>
      </c>
    </row>
    <row r="166" spans="1:24">
      <c r="A166" s="60" t="s">
        <v>931</v>
      </c>
      <c r="B166" s="60" t="s">
        <v>550</v>
      </c>
      <c r="C166" s="60" t="s">
        <v>551</v>
      </c>
      <c r="D166" s="60" t="s">
        <v>552</v>
      </c>
      <c r="E166" s="61" t="s">
        <v>46</v>
      </c>
      <c r="F166" s="62" t="s">
        <v>46</v>
      </c>
      <c r="G166" s="63" t="s">
        <v>46</v>
      </c>
      <c r="H166" s="64"/>
      <c r="I166" s="64" t="s">
        <v>47</v>
      </c>
      <c r="J166" s="65">
        <v>1</v>
      </c>
      <c r="K166" s="66">
        <f>10740</f>
        <v>10740</v>
      </c>
      <c r="L166" s="67" t="s">
        <v>857</v>
      </c>
      <c r="M166" s="66">
        <f>10860</f>
        <v>10860</v>
      </c>
      <c r="N166" s="67" t="s">
        <v>858</v>
      </c>
      <c r="O166" s="66">
        <f>9900</f>
        <v>9900</v>
      </c>
      <c r="P166" s="67" t="s">
        <v>371</v>
      </c>
      <c r="Q166" s="66">
        <f>10340</f>
        <v>10340</v>
      </c>
      <c r="R166" s="67" t="s">
        <v>872</v>
      </c>
      <c r="S166" s="68">
        <f>10353.81</f>
        <v>10353.81</v>
      </c>
      <c r="T166" s="65">
        <f>10091</f>
        <v>10091</v>
      </c>
      <c r="U166" s="65" t="str">
        <f>"－"</f>
        <v>－</v>
      </c>
      <c r="V166" s="65">
        <f>104210260</f>
        <v>104210260</v>
      </c>
      <c r="W166" s="65" t="str">
        <f>"－"</f>
        <v>－</v>
      </c>
      <c r="X166" s="69">
        <f>21</f>
        <v>21</v>
      </c>
    </row>
    <row r="167" spans="1:24">
      <c r="A167" s="60" t="s">
        <v>931</v>
      </c>
      <c r="B167" s="60" t="s">
        <v>553</v>
      </c>
      <c r="C167" s="60" t="s">
        <v>554</v>
      </c>
      <c r="D167" s="60" t="s">
        <v>555</v>
      </c>
      <c r="E167" s="61" t="s">
        <v>46</v>
      </c>
      <c r="F167" s="62" t="s">
        <v>46</v>
      </c>
      <c r="G167" s="63" t="s">
        <v>46</v>
      </c>
      <c r="H167" s="64"/>
      <c r="I167" s="64" t="s">
        <v>47</v>
      </c>
      <c r="J167" s="65">
        <v>1</v>
      </c>
      <c r="K167" s="66">
        <f>27490</f>
        <v>27490</v>
      </c>
      <c r="L167" s="67" t="s">
        <v>857</v>
      </c>
      <c r="M167" s="66">
        <f>27500</f>
        <v>27500</v>
      </c>
      <c r="N167" s="67" t="s">
        <v>858</v>
      </c>
      <c r="O167" s="66">
        <f>23410</f>
        <v>23410</v>
      </c>
      <c r="P167" s="67" t="s">
        <v>371</v>
      </c>
      <c r="Q167" s="66">
        <f>25460</f>
        <v>25460</v>
      </c>
      <c r="R167" s="67" t="s">
        <v>872</v>
      </c>
      <c r="S167" s="68">
        <f>26018.57</f>
        <v>26018.57</v>
      </c>
      <c r="T167" s="65">
        <f>724</f>
        <v>724</v>
      </c>
      <c r="U167" s="65" t="str">
        <f>"－"</f>
        <v>－</v>
      </c>
      <c r="V167" s="65">
        <f>18611610</f>
        <v>18611610</v>
      </c>
      <c r="W167" s="65" t="str">
        <f>"－"</f>
        <v>－</v>
      </c>
      <c r="X167" s="69">
        <f>21</f>
        <v>21</v>
      </c>
    </row>
    <row r="168" spans="1:24">
      <c r="A168" s="60" t="s">
        <v>931</v>
      </c>
      <c r="B168" s="60" t="s">
        <v>556</v>
      </c>
      <c r="C168" s="60" t="s">
        <v>557</v>
      </c>
      <c r="D168" s="60" t="s">
        <v>558</v>
      </c>
      <c r="E168" s="61" t="s">
        <v>46</v>
      </c>
      <c r="F168" s="62" t="s">
        <v>46</v>
      </c>
      <c r="G168" s="63" t="s">
        <v>46</v>
      </c>
      <c r="H168" s="64"/>
      <c r="I168" s="64" t="s">
        <v>47</v>
      </c>
      <c r="J168" s="65">
        <v>1</v>
      </c>
      <c r="K168" s="66">
        <f>17000</f>
        <v>17000</v>
      </c>
      <c r="L168" s="67" t="s">
        <v>860</v>
      </c>
      <c r="M168" s="66">
        <f>17000</f>
        <v>17000</v>
      </c>
      <c r="N168" s="67" t="s">
        <v>860</v>
      </c>
      <c r="O168" s="66">
        <f>15660</f>
        <v>15660</v>
      </c>
      <c r="P168" s="67" t="s">
        <v>613</v>
      </c>
      <c r="Q168" s="66">
        <f>16500</f>
        <v>16500</v>
      </c>
      <c r="R168" s="67" t="s">
        <v>856</v>
      </c>
      <c r="S168" s="68">
        <f>16448</f>
        <v>16448</v>
      </c>
      <c r="T168" s="65">
        <f>10</f>
        <v>10</v>
      </c>
      <c r="U168" s="65">
        <f>1</f>
        <v>1</v>
      </c>
      <c r="V168" s="65">
        <f>162140</f>
        <v>162140</v>
      </c>
      <c r="W168" s="65">
        <f>16470</f>
        <v>16470</v>
      </c>
      <c r="X168" s="69">
        <f>5</f>
        <v>5</v>
      </c>
    </row>
    <row r="169" spans="1:24">
      <c r="A169" s="60" t="s">
        <v>931</v>
      </c>
      <c r="B169" s="60" t="s">
        <v>559</v>
      </c>
      <c r="C169" s="60" t="s">
        <v>560</v>
      </c>
      <c r="D169" s="60" t="s">
        <v>561</v>
      </c>
      <c r="E169" s="61" t="s">
        <v>46</v>
      </c>
      <c r="F169" s="62" t="s">
        <v>46</v>
      </c>
      <c r="G169" s="63" t="s">
        <v>46</v>
      </c>
      <c r="H169" s="64"/>
      <c r="I169" s="64" t="s">
        <v>47</v>
      </c>
      <c r="J169" s="65">
        <v>10</v>
      </c>
      <c r="K169" s="66">
        <f>52300</f>
        <v>52300</v>
      </c>
      <c r="L169" s="67" t="s">
        <v>857</v>
      </c>
      <c r="M169" s="66">
        <f>52400</f>
        <v>52400</v>
      </c>
      <c r="N169" s="67" t="s">
        <v>84</v>
      </c>
      <c r="O169" s="66">
        <f>51700</f>
        <v>51700</v>
      </c>
      <c r="P169" s="67" t="s">
        <v>73</v>
      </c>
      <c r="Q169" s="66">
        <f>52100</f>
        <v>52100</v>
      </c>
      <c r="R169" s="67" t="s">
        <v>872</v>
      </c>
      <c r="S169" s="68">
        <f>52042.86</f>
        <v>52042.86</v>
      </c>
      <c r="T169" s="65">
        <f>5860</f>
        <v>5860</v>
      </c>
      <c r="U169" s="65" t="str">
        <f>"－"</f>
        <v>－</v>
      </c>
      <c r="V169" s="65">
        <f>304705000</f>
        <v>304705000</v>
      </c>
      <c r="W169" s="65" t="str">
        <f>"－"</f>
        <v>－</v>
      </c>
      <c r="X169" s="69">
        <f>21</f>
        <v>21</v>
      </c>
    </row>
    <row r="170" spans="1:24">
      <c r="A170" s="60" t="s">
        <v>931</v>
      </c>
      <c r="B170" s="60" t="s">
        <v>562</v>
      </c>
      <c r="C170" s="60" t="s">
        <v>563</v>
      </c>
      <c r="D170" s="60" t="s">
        <v>564</v>
      </c>
      <c r="E170" s="61" t="s">
        <v>46</v>
      </c>
      <c r="F170" s="62" t="s">
        <v>46</v>
      </c>
      <c r="G170" s="63" t="s">
        <v>46</v>
      </c>
      <c r="H170" s="64"/>
      <c r="I170" s="64" t="s">
        <v>47</v>
      </c>
      <c r="J170" s="65">
        <v>100</v>
      </c>
      <c r="K170" s="66">
        <f>208</f>
        <v>208</v>
      </c>
      <c r="L170" s="67" t="s">
        <v>857</v>
      </c>
      <c r="M170" s="66">
        <f>229</f>
        <v>229</v>
      </c>
      <c r="N170" s="67" t="s">
        <v>872</v>
      </c>
      <c r="O170" s="66">
        <f>206</f>
        <v>206</v>
      </c>
      <c r="P170" s="67" t="s">
        <v>858</v>
      </c>
      <c r="Q170" s="66">
        <f>229</f>
        <v>229</v>
      </c>
      <c r="R170" s="67" t="s">
        <v>872</v>
      </c>
      <c r="S170" s="68">
        <f>215.52</f>
        <v>215.52</v>
      </c>
      <c r="T170" s="65">
        <f>11761500</f>
        <v>11761500</v>
      </c>
      <c r="U170" s="65">
        <f>1500</f>
        <v>1500</v>
      </c>
      <c r="V170" s="65">
        <f>2555870910</f>
        <v>2555870910</v>
      </c>
      <c r="W170" s="65">
        <f>317810</f>
        <v>317810</v>
      </c>
      <c r="X170" s="69">
        <f>21</f>
        <v>21</v>
      </c>
    </row>
    <row r="171" spans="1:24">
      <c r="A171" s="60" t="s">
        <v>931</v>
      </c>
      <c r="B171" s="60" t="s">
        <v>565</v>
      </c>
      <c r="C171" s="60" t="s">
        <v>566</v>
      </c>
      <c r="D171" s="60" t="s">
        <v>567</v>
      </c>
      <c r="E171" s="61" t="s">
        <v>46</v>
      </c>
      <c r="F171" s="62" t="s">
        <v>46</v>
      </c>
      <c r="G171" s="63" t="s">
        <v>46</v>
      </c>
      <c r="H171" s="64"/>
      <c r="I171" s="64" t="s">
        <v>47</v>
      </c>
      <c r="J171" s="65">
        <v>10</v>
      </c>
      <c r="K171" s="66">
        <f>33750</f>
        <v>33750</v>
      </c>
      <c r="L171" s="67" t="s">
        <v>857</v>
      </c>
      <c r="M171" s="66">
        <f>34450</f>
        <v>34450</v>
      </c>
      <c r="N171" s="67" t="s">
        <v>131</v>
      </c>
      <c r="O171" s="66">
        <f>33450</f>
        <v>33450</v>
      </c>
      <c r="P171" s="67" t="s">
        <v>858</v>
      </c>
      <c r="Q171" s="66">
        <f>34250</f>
        <v>34250</v>
      </c>
      <c r="R171" s="67" t="s">
        <v>872</v>
      </c>
      <c r="S171" s="68">
        <f>33980.95</f>
        <v>33980.949999999997</v>
      </c>
      <c r="T171" s="65">
        <f>10070</f>
        <v>10070</v>
      </c>
      <c r="U171" s="65">
        <f>20</f>
        <v>20</v>
      </c>
      <c r="V171" s="65">
        <f>341952500</f>
        <v>341952500</v>
      </c>
      <c r="W171" s="65">
        <f>673500</f>
        <v>673500</v>
      </c>
      <c r="X171" s="69">
        <f>21</f>
        <v>21</v>
      </c>
    </row>
    <row r="172" spans="1:24">
      <c r="A172" s="60" t="s">
        <v>931</v>
      </c>
      <c r="B172" s="60" t="s">
        <v>568</v>
      </c>
      <c r="C172" s="60" t="s">
        <v>569</v>
      </c>
      <c r="D172" s="60" t="s">
        <v>570</v>
      </c>
      <c r="E172" s="61" t="s">
        <v>46</v>
      </c>
      <c r="F172" s="62" t="s">
        <v>46</v>
      </c>
      <c r="G172" s="63" t="s">
        <v>46</v>
      </c>
      <c r="H172" s="64"/>
      <c r="I172" s="64" t="s">
        <v>47</v>
      </c>
      <c r="J172" s="65">
        <v>10</v>
      </c>
      <c r="K172" s="66">
        <f>3575</f>
        <v>3575</v>
      </c>
      <c r="L172" s="67" t="s">
        <v>857</v>
      </c>
      <c r="M172" s="66">
        <f>3675</f>
        <v>3675</v>
      </c>
      <c r="N172" s="67" t="s">
        <v>872</v>
      </c>
      <c r="O172" s="66">
        <f>3545</f>
        <v>3545</v>
      </c>
      <c r="P172" s="67" t="s">
        <v>858</v>
      </c>
      <c r="Q172" s="66">
        <f>3675</f>
        <v>3675</v>
      </c>
      <c r="R172" s="67" t="s">
        <v>872</v>
      </c>
      <c r="S172" s="68">
        <f>3605.24</f>
        <v>3605.24</v>
      </c>
      <c r="T172" s="65">
        <f>239990</f>
        <v>239990</v>
      </c>
      <c r="U172" s="65">
        <f>5600</f>
        <v>5600</v>
      </c>
      <c r="V172" s="65">
        <f>863629360</f>
        <v>863629360</v>
      </c>
      <c r="W172" s="65">
        <f>20118560</f>
        <v>20118560</v>
      </c>
      <c r="X172" s="69">
        <f>21</f>
        <v>21</v>
      </c>
    </row>
    <row r="173" spans="1:24">
      <c r="A173" s="60" t="s">
        <v>931</v>
      </c>
      <c r="B173" s="60" t="s">
        <v>571</v>
      </c>
      <c r="C173" s="60" t="s">
        <v>572</v>
      </c>
      <c r="D173" s="60" t="s">
        <v>573</v>
      </c>
      <c r="E173" s="61" t="s">
        <v>46</v>
      </c>
      <c r="F173" s="62" t="s">
        <v>46</v>
      </c>
      <c r="G173" s="63" t="s">
        <v>46</v>
      </c>
      <c r="H173" s="64"/>
      <c r="I173" s="64" t="s">
        <v>47</v>
      </c>
      <c r="J173" s="65">
        <v>10</v>
      </c>
      <c r="K173" s="66">
        <f>1779</f>
        <v>1779</v>
      </c>
      <c r="L173" s="67" t="s">
        <v>857</v>
      </c>
      <c r="M173" s="66">
        <f>1820</f>
        <v>1820</v>
      </c>
      <c r="N173" s="67" t="s">
        <v>875</v>
      </c>
      <c r="O173" s="66">
        <f>1676</f>
        <v>1676</v>
      </c>
      <c r="P173" s="67" t="s">
        <v>371</v>
      </c>
      <c r="Q173" s="66">
        <f>1787</f>
        <v>1787</v>
      </c>
      <c r="R173" s="67" t="s">
        <v>872</v>
      </c>
      <c r="S173" s="68">
        <f>1768.52</f>
        <v>1768.52</v>
      </c>
      <c r="T173" s="65">
        <f>402260</f>
        <v>402260</v>
      </c>
      <c r="U173" s="65" t="str">
        <f>"－"</f>
        <v>－</v>
      </c>
      <c r="V173" s="65">
        <f>700394550</f>
        <v>700394550</v>
      </c>
      <c r="W173" s="65" t="str">
        <f>"－"</f>
        <v>－</v>
      </c>
      <c r="X173" s="69">
        <f>21</f>
        <v>21</v>
      </c>
    </row>
    <row r="174" spans="1:24">
      <c r="A174" s="60" t="s">
        <v>931</v>
      </c>
      <c r="B174" s="60" t="s">
        <v>574</v>
      </c>
      <c r="C174" s="60" t="s">
        <v>575</v>
      </c>
      <c r="D174" s="60" t="s">
        <v>576</v>
      </c>
      <c r="E174" s="61" t="s">
        <v>46</v>
      </c>
      <c r="F174" s="62" t="s">
        <v>46</v>
      </c>
      <c r="G174" s="63" t="s">
        <v>46</v>
      </c>
      <c r="H174" s="64"/>
      <c r="I174" s="64" t="s">
        <v>47</v>
      </c>
      <c r="J174" s="65">
        <v>100</v>
      </c>
      <c r="K174" s="66">
        <f>202</f>
        <v>202</v>
      </c>
      <c r="L174" s="67" t="s">
        <v>857</v>
      </c>
      <c r="M174" s="66">
        <f>204</f>
        <v>204</v>
      </c>
      <c r="N174" s="67" t="s">
        <v>857</v>
      </c>
      <c r="O174" s="66">
        <f>182</f>
        <v>182</v>
      </c>
      <c r="P174" s="67" t="s">
        <v>371</v>
      </c>
      <c r="Q174" s="66">
        <f>192</f>
        <v>192</v>
      </c>
      <c r="R174" s="67" t="s">
        <v>872</v>
      </c>
      <c r="S174" s="68">
        <f>191</f>
        <v>191</v>
      </c>
      <c r="T174" s="65">
        <f>425700</f>
        <v>425700</v>
      </c>
      <c r="U174" s="65" t="str">
        <f>"－"</f>
        <v>－</v>
      </c>
      <c r="V174" s="65">
        <f>81254000</f>
        <v>81254000</v>
      </c>
      <c r="W174" s="65" t="str">
        <f>"－"</f>
        <v>－</v>
      </c>
      <c r="X174" s="69">
        <f>21</f>
        <v>21</v>
      </c>
    </row>
    <row r="175" spans="1:24">
      <c r="A175" s="60" t="s">
        <v>931</v>
      </c>
      <c r="B175" s="60" t="s">
        <v>577</v>
      </c>
      <c r="C175" s="60" t="s">
        <v>578</v>
      </c>
      <c r="D175" s="60" t="s">
        <v>579</v>
      </c>
      <c r="E175" s="61" t="s">
        <v>46</v>
      </c>
      <c r="F175" s="62" t="s">
        <v>46</v>
      </c>
      <c r="G175" s="63" t="s">
        <v>46</v>
      </c>
      <c r="H175" s="64"/>
      <c r="I175" s="64" t="s">
        <v>47</v>
      </c>
      <c r="J175" s="65">
        <v>10</v>
      </c>
      <c r="K175" s="66">
        <f>1080</f>
        <v>1080</v>
      </c>
      <c r="L175" s="67" t="s">
        <v>92</v>
      </c>
      <c r="M175" s="66">
        <f>1098</f>
        <v>1098</v>
      </c>
      <c r="N175" s="67" t="s">
        <v>854</v>
      </c>
      <c r="O175" s="66">
        <f>1045</f>
        <v>1045</v>
      </c>
      <c r="P175" s="67" t="s">
        <v>613</v>
      </c>
      <c r="Q175" s="66">
        <f>1045</f>
        <v>1045</v>
      </c>
      <c r="R175" s="67" t="s">
        <v>613</v>
      </c>
      <c r="S175" s="68">
        <f>1070</f>
        <v>1070</v>
      </c>
      <c r="T175" s="65">
        <f>80</f>
        <v>80</v>
      </c>
      <c r="U175" s="65">
        <f>10</f>
        <v>10</v>
      </c>
      <c r="V175" s="65">
        <f>86280</f>
        <v>86280</v>
      </c>
      <c r="W175" s="65">
        <f>10980</f>
        <v>10980</v>
      </c>
      <c r="X175" s="69">
        <f>3</f>
        <v>3</v>
      </c>
    </row>
    <row r="176" spans="1:24">
      <c r="A176" s="60" t="s">
        <v>931</v>
      </c>
      <c r="B176" s="60" t="s">
        <v>580</v>
      </c>
      <c r="C176" s="60" t="s">
        <v>581</v>
      </c>
      <c r="D176" s="60" t="s">
        <v>582</v>
      </c>
      <c r="E176" s="61" t="s">
        <v>46</v>
      </c>
      <c r="F176" s="62" t="s">
        <v>46</v>
      </c>
      <c r="G176" s="63" t="s">
        <v>46</v>
      </c>
      <c r="H176" s="64"/>
      <c r="I176" s="64" t="s">
        <v>47</v>
      </c>
      <c r="J176" s="65">
        <v>10</v>
      </c>
      <c r="K176" s="66">
        <f>350</f>
        <v>350</v>
      </c>
      <c r="L176" s="67" t="s">
        <v>857</v>
      </c>
      <c r="M176" s="66">
        <f>360</f>
        <v>360</v>
      </c>
      <c r="N176" s="67" t="s">
        <v>872</v>
      </c>
      <c r="O176" s="66">
        <f>319</f>
        <v>319</v>
      </c>
      <c r="P176" s="67" t="s">
        <v>874</v>
      </c>
      <c r="Q176" s="66">
        <f>355</f>
        <v>355</v>
      </c>
      <c r="R176" s="67" t="s">
        <v>872</v>
      </c>
      <c r="S176" s="68">
        <f>338.81</f>
        <v>338.81</v>
      </c>
      <c r="T176" s="65">
        <f>16290</f>
        <v>16290</v>
      </c>
      <c r="U176" s="65" t="str">
        <f>"－"</f>
        <v>－</v>
      </c>
      <c r="V176" s="65">
        <f>5632440</f>
        <v>5632440</v>
      </c>
      <c r="W176" s="65" t="str">
        <f>"－"</f>
        <v>－</v>
      </c>
      <c r="X176" s="69">
        <f>21</f>
        <v>21</v>
      </c>
    </row>
    <row r="177" spans="1:24">
      <c r="A177" s="60" t="s">
        <v>931</v>
      </c>
      <c r="B177" s="60" t="s">
        <v>583</v>
      </c>
      <c r="C177" s="60" t="s">
        <v>584</v>
      </c>
      <c r="D177" s="60" t="s">
        <v>585</v>
      </c>
      <c r="E177" s="61" t="s">
        <v>46</v>
      </c>
      <c r="F177" s="62" t="s">
        <v>46</v>
      </c>
      <c r="G177" s="63" t="s">
        <v>46</v>
      </c>
      <c r="H177" s="64"/>
      <c r="I177" s="64" t="s">
        <v>47</v>
      </c>
      <c r="J177" s="65">
        <v>10</v>
      </c>
      <c r="K177" s="66">
        <f>1749</f>
        <v>1749</v>
      </c>
      <c r="L177" s="67" t="s">
        <v>857</v>
      </c>
      <c r="M177" s="66">
        <f>1784</f>
        <v>1784</v>
      </c>
      <c r="N177" s="67" t="s">
        <v>92</v>
      </c>
      <c r="O177" s="66">
        <f>1643</f>
        <v>1643</v>
      </c>
      <c r="P177" s="67" t="s">
        <v>874</v>
      </c>
      <c r="Q177" s="66">
        <f>1732</f>
        <v>1732</v>
      </c>
      <c r="R177" s="67" t="s">
        <v>872</v>
      </c>
      <c r="S177" s="68">
        <f>1715.61</f>
        <v>1715.61</v>
      </c>
      <c r="T177" s="65">
        <f>5050</f>
        <v>5050</v>
      </c>
      <c r="U177" s="65" t="str">
        <f>"－"</f>
        <v>－</v>
      </c>
      <c r="V177" s="65">
        <f>8703480</f>
        <v>8703480</v>
      </c>
      <c r="W177" s="65" t="str">
        <f>"－"</f>
        <v>－</v>
      </c>
      <c r="X177" s="69">
        <f>18</f>
        <v>18</v>
      </c>
    </row>
    <row r="178" spans="1:24">
      <c r="A178" s="60" t="s">
        <v>931</v>
      </c>
      <c r="B178" s="60" t="s">
        <v>586</v>
      </c>
      <c r="C178" s="60" t="s">
        <v>587</v>
      </c>
      <c r="D178" s="60" t="s">
        <v>588</v>
      </c>
      <c r="E178" s="61" t="s">
        <v>46</v>
      </c>
      <c r="F178" s="62" t="s">
        <v>46</v>
      </c>
      <c r="G178" s="63" t="s">
        <v>46</v>
      </c>
      <c r="H178" s="64"/>
      <c r="I178" s="64" t="s">
        <v>47</v>
      </c>
      <c r="J178" s="65">
        <v>10</v>
      </c>
      <c r="K178" s="66">
        <f>619</f>
        <v>619</v>
      </c>
      <c r="L178" s="67" t="s">
        <v>857</v>
      </c>
      <c r="M178" s="66">
        <f>640</f>
        <v>640</v>
      </c>
      <c r="N178" s="67" t="s">
        <v>854</v>
      </c>
      <c r="O178" s="66">
        <f>602</f>
        <v>602</v>
      </c>
      <c r="P178" s="67" t="s">
        <v>84</v>
      </c>
      <c r="Q178" s="66">
        <f>622</f>
        <v>622</v>
      </c>
      <c r="R178" s="67" t="s">
        <v>872</v>
      </c>
      <c r="S178" s="68">
        <f>620.29</f>
        <v>620.29</v>
      </c>
      <c r="T178" s="65">
        <f>40720</f>
        <v>40720</v>
      </c>
      <c r="U178" s="65" t="str">
        <f>"－"</f>
        <v>－</v>
      </c>
      <c r="V178" s="65">
        <f>25391160</f>
        <v>25391160</v>
      </c>
      <c r="W178" s="65" t="str">
        <f>"－"</f>
        <v>－</v>
      </c>
      <c r="X178" s="69">
        <f>21</f>
        <v>21</v>
      </c>
    </row>
    <row r="179" spans="1:24">
      <c r="A179" s="60" t="s">
        <v>931</v>
      </c>
      <c r="B179" s="60" t="s">
        <v>589</v>
      </c>
      <c r="C179" s="60" t="s">
        <v>590</v>
      </c>
      <c r="D179" s="60" t="s">
        <v>591</v>
      </c>
      <c r="E179" s="61" t="s">
        <v>46</v>
      </c>
      <c r="F179" s="62" t="s">
        <v>46</v>
      </c>
      <c r="G179" s="63" t="s">
        <v>46</v>
      </c>
      <c r="H179" s="64"/>
      <c r="I179" s="64" t="s">
        <v>47</v>
      </c>
      <c r="J179" s="65">
        <v>10</v>
      </c>
      <c r="K179" s="66">
        <f>448</f>
        <v>448</v>
      </c>
      <c r="L179" s="67" t="s">
        <v>857</v>
      </c>
      <c r="M179" s="66">
        <f>472</f>
        <v>472</v>
      </c>
      <c r="N179" s="67" t="s">
        <v>854</v>
      </c>
      <c r="O179" s="66">
        <f>437</f>
        <v>437</v>
      </c>
      <c r="P179" s="67" t="s">
        <v>176</v>
      </c>
      <c r="Q179" s="66">
        <f>441</f>
        <v>441</v>
      </c>
      <c r="R179" s="67" t="s">
        <v>872</v>
      </c>
      <c r="S179" s="68">
        <f>449.9</f>
        <v>449.9</v>
      </c>
      <c r="T179" s="65">
        <f>187530</f>
        <v>187530</v>
      </c>
      <c r="U179" s="65" t="str">
        <f>"－"</f>
        <v>－</v>
      </c>
      <c r="V179" s="65">
        <f>84528670</f>
        <v>84528670</v>
      </c>
      <c r="W179" s="65" t="str">
        <f>"－"</f>
        <v>－</v>
      </c>
      <c r="X179" s="69">
        <f>21</f>
        <v>21</v>
      </c>
    </row>
    <row r="180" spans="1:24">
      <c r="A180" s="60" t="s">
        <v>931</v>
      </c>
      <c r="B180" s="60" t="s">
        <v>592</v>
      </c>
      <c r="C180" s="60" t="s">
        <v>593</v>
      </c>
      <c r="D180" s="60" t="s">
        <v>594</v>
      </c>
      <c r="E180" s="61" t="s">
        <v>46</v>
      </c>
      <c r="F180" s="62" t="s">
        <v>46</v>
      </c>
      <c r="G180" s="63" t="s">
        <v>46</v>
      </c>
      <c r="H180" s="64"/>
      <c r="I180" s="64" t="s">
        <v>47</v>
      </c>
      <c r="J180" s="65">
        <v>100</v>
      </c>
      <c r="K180" s="66">
        <f>2</f>
        <v>2</v>
      </c>
      <c r="L180" s="67" t="s">
        <v>857</v>
      </c>
      <c r="M180" s="66">
        <f>3</f>
        <v>3</v>
      </c>
      <c r="N180" s="67" t="s">
        <v>73</v>
      </c>
      <c r="O180" s="66">
        <f>1</f>
        <v>1</v>
      </c>
      <c r="P180" s="67" t="s">
        <v>857</v>
      </c>
      <c r="Q180" s="66">
        <f>3</f>
        <v>3</v>
      </c>
      <c r="R180" s="67" t="s">
        <v>872</v>
      </c>
      <c r="S180" s="68">
        <f>1.95</f>
        <v>1.95</v>
      </c>
      <c r="T180" s="65">
        <f>312201200</f>
        <v>312201200</v>
      </c>
      <c r="U180" s="65">
        <f>3000</f>
        <v>3000</v>
      </c>
      <c r="V180" s="65">
        <f>597305600</f>
        <v>597305600</v>
      </c>
      <c r="W180" s="65">
        <f>6000</f>
        <v>6000</v>
      </c>
      <c r="X180" s="69">
        <f>21</f>
        <v>21</v>
      </c>
    </row>
    <row r="181" spans="1:24">
      <c r="A181" s="60" t="s">
        <v>931</v>
      </c>
      <c r="B181" s="60" t="s">
        <v>595</v>
      </c>
      <c r="C181" s="60" t="s">
        <v>596</v>
      </c>
      <c r="D181" s="60" t="s">
        <v>597</v>
      </c>
      <c r="E181" s="61" t="s">
        <v>46</v>
      </c>
      <c r="F181" s="62" t="s">
        <v>46</v>
      </c>
      <c r="G181" s="63" t="s">
        <v>46</v>
      </c>
      <c r="H181" s="64"/>
      <c r="I181" s="64" t="s">
        <v>47</v>
      </c>
      <c r="J181" s="65">
        <v>10</v>
      </c>
      <c r="K181" s="66">
        <f>734</f>
        <v>734</v>
      </c>
      <c r="L181" s="67" t="s">
        <v>857</v>
      </c>
      <c r="M181" s="66">
        <f>734</f>
        <v>734</v>
      </c>
      <c r="N181" s="67" t="s">
        <v>857</v>
      </c>
      <c r="O181" s="66">
        <f>631</f>
        <v>631</v>
      </c>
      <c r="P181" s="67" t="s">
        <v>874</v>
      </c>
      <c r="Q181" s="66">
        <f>702</f>
        <v>702</v>
      </c>
      <c r="R181" s="67" t="s">
        <v>872</v>
      </c>
      <c r="S181" s="68">
        <f>685.05</f>
        <v>685.05</v>
      </c>
      <c r="T181" s="65">
        <f>308390</f>
        <v>308390</v>
      </c>
      <c r="U181" s="65" t="str">
        <f>"－"</f>
        <v>－</v>
      </c>
      <c r="V181" s="65">
        <f>209978720</f>
        <v>209978720</v>
      </c>
      <c r="W181" s="65" t="str">
        <f>"－"</f>
        <v>－</v>
      </c>
      <c r="X181" s="69">
        <f>21</f>
        <v>21</v>
      </c>
    </row>
    <row r="182" spans="1:24">
      <c r="A182" s="60" t="s">
        <v>931</v>
      </c>
      <c r="B182" s="60" t="s">
        <v>598</v>
      </c>
      <c r="C182" s="60" t="s">
        <v>599</v>
      </c>
      <c r="D182" s="60" t="s">
        <v>600</v>
      </c>
      <c r="E182" s="61" t="s">
        <v>46</v>
      </c>
      <c r="F182" s="62" t="s">
        <v>46</v>
      </c>
      <c r="G182" s="63" t="s">
        <v>46</v>
      </c>
      <c r="H182" s="64"/>
      <c r="I182" s="64" t="s">
        <v>47</v>
      </c>
      <c r="J182" s="65">
        <v>1</v>
      </c>
      <c r="K182" s="66">
        <f>3250</f>
        <v>3250</v>
      </c>
      <c r="L182" s="67" t="s">
        <v>857</v>
      </c>
      <c r="M182" s="66">
        <f>3250</f>
        <v>3250</v>
      </c>
      <c r="N182" s="67" t="s">
        <v>857</v>
      </c>
      <c r="O182" s="66">
        <f>2861</f>
        <v>2861</v>
      </c>
      <c r="P182" s="67" t="s">
        <v>371</v>
      </c>
      <c r="Q182" s="66">
        <f>3200</f>
        <v>3200</v>
      </c>
      <c r="R182" s="67" t="s">
        <v>872</v>
      </c>
      <c r="S182" s="68">
        <f>3095.89</f>
        <v>3095.89</v>
      </c>
      <c r="T182" s="65">
        <f>1181</f>
        <v>1181</v>
      </c>
      <c r="U182" s="65" t="str">
        <f>"－"</f>
        <v>－</v>
      </c>
      <c r="V182" s="65">
        <f>3695212</f>
        <v>3695212</v>
      </c>
      <c r="W182" s="65" t="str">
        <f>"－"</f>
        <v>－</v>
      </c>
      <c r="X182" s="69">
        <f>18</f>
        <v>18</v>
      </c>
    </row>
    <row r="183" spans="1:24">
      <c r="A183" s="60" t="s">
        <v>931</v>
      </c>
      <c r="B183" s="60" t="s">
        <v>601</v>
      </c>
      <c r="C183" s="60" t="s">
        <v>602</v>
      </c>
      <c r="D183" s="60" t="s">
        <v>603</v>
      </c>
      <c r="E183" s="61" t="s">
        <v>46</v>
      </c>
      <c r="F183" s="62" t="s">
        <v>46</v>
      </c>
      <c r="G183" s="63" t="s">
        <v>46</v>
      </c>
      <c r="H183" s="64"/>
      <c r="I183" s="64" t="s">
        <v>47</v>
      </c>
      <c r="J183" s="65">
        <v>100</v>
      </c>
      <c r="K183" s="66">
        <f>401</f>
        <v>401</v>
      </c>
      <c r="L183" s="67" t="s">
        <v>857</v>
      </c>
      <c r="M183" s="66">
        <f>418</f>
        <v>418</v>
      </c>
      <c r="N183" s="67" t="s">
        <v>872</v>
      </c>
      <c r="O183" s="66">
        <f>390</f>
        <v>390</v>
      </c>
      <c r="P183" s="67" t="s">
        <v>371</v>
      </c>
      <c r="Q183" s="66">
        <f>417</f>
        <v>417</v>
      </c>
      <c r="R183" s="67" t="s">
        <v>872</v>
      </c>
      <c r="S183" s="68">
        <f>400.45</f>
        <v>400.45</v>
      </c>
      <c r="T183" s="65">
        <f>49200</f>
        <v>49200</v>
      </c>
      <c r="U183" s="65">
        <f>100</f>
        <v>100</v>
      </c>
      <c r="V183" s="65">
        <f>19768500</f>
        <v>19768500</v>
      </c>
      <c r="W183" s="65">
        <f>39800</f>
        <v>39800</v>
      </c>
      <c r="X183" s="69">
        <f>20</f>
        <v>20</v>
      </c>
    </row>
    <row r="184" spans="1:24">
      <c r="A184" s="60" t="s">
        <v>931</v>
      </c>
      <c r="B184" s="60" t="s">
        <v>604</v>
      </c>
      <c r="C184" s="60" t="s">
        <v>605</v>
      </c>
      <c r="D184" s="60" t="s">
        <v>606</v>
      </c>
      <c r="E184" s="61" t="s">
        <v>46</v>
      </c>
      <c r="F184" s="62" t="s">
        <v>46</v>
      </c>
      <c r="G184" s="63" t="s">
        <v>46</v>
      </c>
      <c r="H184" s="64"/>
      <c r="I184" s="64" t="s">
        <v>47</v>
      </c>
      <c r="J184" s="65">
        <v>10</v>
      </c>
      <c r="K184" s="66">
        <f>4345</f>
        <v>4345</v>
      </c>
      <c r="L184" s="67" t="s">
        <v>857</v>
      </c>
      <c r="M184" s="66">
        <f>4365</f>
        <v>4365</v>
      </c>
      <c r="N184" s="67" t="s">
        <v>857</v>
      </c>
      <c r="O184" s="66">
        <f>3965</f>
        <v>3965</v>
      </c>
      <c r="P184" s="67" t="s">
        <v>371</v>
      </c>
      <c r="Q184" s="66">
        <f>4235</f>
        <v>4235</v>
      </c>
      <c r="R184" s="67" t="s">
        <v>872</v>
      </c>
      <c r="S184" s="68">
        <f>4190</f>
        <v>4190</v>
      </c>
      <c r="T184" s="65">
        <f>31080</f>
        <v>31080</v>
      </c>
      <c r="U184" s="65" t="str">
        <f>"－"</f>
        <v>－</v>
      </c>
      <c r="V184" s="65">
        <f>130125600</f>
        <v>130125600</v>
      </c>
      <c r="W184" s="65" t="str">
        <f>"－"</f>
        <v>－</v>
      </c>
      <c r="X184" s="69">
        <f>21</f>
        <v>21</v>
      </c>
    </row>
    <row r="185" spans="1:24">
      <c r="A185" s="60" t="s">
        <v>931</v>
      </c>
      <c r="B185" s="60" t="s">
        <v>607</v>
      </c>
      <c r="C185" s="60" t="s">
        <v>608</v>
      </c>
      <c r="D185" s="60" t="s">
        <v>609</v>
      </c>
      <c r="E185" s="61" t="s">
        <v>46</v>
      </c>
      <c r="F185" s="62" t="s">
        <v>46</v>
      </c>
      <c r="G185" s="63" t="s">
        <v>46</v>
      </c>
      <c r="H185" s="64"/>
      <c r="I185" s="64" t="s">
        <v>47</v>
      </c>
      <c r="J185" s="65">
        <v>10</v>
      </c>
      <c r="K185" s="66">
        <f>2024</f>
        <v>2024</v>
      </c>
      <c r="L185" s="67" t="s">
        <v>857</v>
      </c>
      <c r="M185" s="66">
        <f>2035</f>
        <v>2035</v>
      </c>
      <c r="N185" s="67" t="s">
        <v>131</v>
      </c>
      <c r="O185" s="66">
        <f>1878</f>
        <v>1878</v>
      </c>
      <c r="P185" s="67" t="s">
        <v>874</v>
      </c>
      <c r="Q185" s="66">
        <f>1995</f>
        <v>1995</v>
      </c>
      <c r="R185" s="67" t="s">
        <v>872</v>
      </c>
      <c r="S185" s="68">
        <f>1963.9</f>
        <v>1963.9</v>
      </c>
      <c r="T185" s="65">
        <f>62430</f>
        <v>62430</v>
      </c>
      <c r="U185" s="65" t="str">
        <f>"－"</f>
        <v>－</v>
      </c>
      <c r="V185" s="65">
        <f>122188170</f>
        <v>122188170</v>
      </c>
      <c r="W185" s="65" t="str">
        <f>"－"</f>
        <v>－</v>
      </c>
      <c r="X185" s="69">
        <f>21</f>
        <v>21</v>
      </c>
    </row>
    <row r="186" spans="1:24">
      <c r="A186" s="60" t="s">
        <v>931</v>
      </c>
      <c r="B186" s="60" t="s">
        <v>610</v>
      </c>
      <c r="C186" s="60" t="s">
        <v>611</v>
      </c>
      <c r="D186" s="60" t="s">
        <v>612</v>
      </c>
      <c r="E186" s="61" t="s">
        <v>46</v>
      </c>
      <c r="F186" s="62" t="s">
        <v>46</v>
      </c>
      <c r="G186" s="63" t="s">
        <v>46</v>
      </c>
      <c r="H186" s="64"/>
      <c r="I186" s="64" t="s">
        <v>47</v>
      </c>
      <c r="J186" s="65">
        <v>100</v>
      </c>
      <c r="K186" s="66">
        <f>84</f>
        <v>84</v>
      </c>
      <c r="L186" s="67" t="s">
        <v>857</v>
      </c>
      <c r="M186" s="66">
        <f>92</f>
        <v>92</v>
      </c>
      <c r="N186" s="67" t="s">
        <v>854</v>
      </c>
      <c r="O186" s="66">
        <f>84</f>
        <v>84</v>
      </c>
      <c r="P186" s="67" t="s">
        <v>857</v>
      </c>
      <c r="Q186" s="66">
        <f>86</f>
        <v>86</v>
      </c>
      <c r="R186" s="67" t="s">
        <v>872</v>
      </c>
      <c r="S186" s="68">
        <f>87.38</f>
        <v>87.38</v>
      </c>
      <c r="T186" s="65">
        <f>2904300</f>
        <v>2904300</v>
      </c>
      <c r="U186" s="65" t="str">
        <f>"－"</f>
        <v>－</v>
      </c>
      <c r="V186" s="65">
        <f>255338200</f>
        <v>255338200</v>
      </c>
      <c r="W186" s="65" t="str">
        <f>"－"</f>
        <v>－</v>
      </c>
      <c r="X186" s="69">
        <f>21</f>
        <v>21</v>
      </c>
    </row>
    <row r="187" spans="1:24">
      <c r="A187" s="60" t="s">
        <v>931</v>
      </c>
      <c r="B187" s="60" t="s">
        <v>614</v>
      </c>
      <c r="C187" s="60" t="s">
        <v>615</v>
      </c>
      <c r="D187" s="60" t="s">
        <v>616</v>
      </c>
      <c r="E187" s="61" t="s">
        <v>46</v>
      </c>
      <c r="F187" s="62" t="s">
        <v>46</v>
      </c>
      <c r="G187" s="63" t="s">
        <v>46</v>
      </c>
      <c r="H187" s="64"/>
      <c r="I187" s="64" t="s">
        <v>47</v>
      </c>
      <c r="J187" s="65">
        <v>100</v>
      </c>
      <c r="K187" s="66">
        <f>117</f>
        <v>117</v>
      </c>
      <c r="L187" s="67" t="s">
        <v>857</v>
      </c>
      <c r="M187" s="66">
        <f>121</f>
        <v>121</v>
      </c>
      <c r="N187" s="67" t="s">
        <v>92</v>
      </c>
      <c r="O187" s="66">
        <f>112</f>
        <v>112</v>
      </c>
      <c r="P187" s="67" t="s">
        <v>874</v>
      </c>
      <c r="Q187" s="66">
        <f>115</f>
        <v>115</v>
      </c>
      <c r="R187" s="67" t="s">
        <v>872</v>
      </c>
      <c r="S187" s="68">
        <f>116.29</f>
        <v>116.29</v>
      </c>
      <c r="T187" s="65">
        <f>1438000</f>
        <v>1438000</v>
      </c>
      <c r="U187" s="65" t="str">
        <f>"－"</f>
        <v>－</v>
      </c>
      <c r="V187" s="65">
        <f>168466000</f>
        <v>168466000</v>
      </c>
      <c r="W187" s="65" t="str">
        <f>"－"</f>
        <v>－</v>
      </c>
      <c r="X187" s="69">
        <f>21</f>
        <v>21</v>
      </c>
    </row>
    <row r="188" spans="1:24">
      <c r="A188" s="60" t="s">
        <v>931</v>
      </c>
      <c r="B188" s="60" t="s">
        <v>617</v>
      </c>
      <c r="C188" s="60" t="s">
        <v>618</v>
      </c>
      <c r="D188" s="60" t="s">
        <v>619</v>
      </c>
      <c r="E188" s="61" t="s">
        <v>46</v>
      </c>
      <c r="F188" s="62" t="s">
        <v>46</v>
      </c>
      <c r="G188" s="63" t="s">
        <v>46</v>
      </c>
      <c r="H188" s="64"/>
      <c r="I188" s="64" t="s">
        <v>47</v>
      </c>
      <c r="J188" s="65">
        <v>10</v>
      </c>
      <c r="K188" s="66">
        <f>2735</f>
        <v>2735</v>
      </c>
      <c r="L188" s="67" t="s">
        <v>857</v>
      </c>
      <c r="M188" s="66">
        <f>2801</f>
        <v>2801</v>
      </c>
      <c r="N188" s="67" t="s">
        <v>855</v>
      </c>
      <c r="O188" s="66">
        <f>2622</f>
        <v>2622</v>
      </c>
      <c r="P188" s="67" t="s">
        <v>874</v>
      </c>
      <c r="Q188" s="66">
        <f>2674</f>
        <v>2674</v>
      </c>
      <c r="R188" s="67" t="s">
        <v>872</v>
      </c>
      <c r="S188" s="68">
        <f>2716.81</f>
        <v>2716.81</v>
      </c>
      <c r="T188" s="65">
        <f>14690</f>
        <v>14690</v>
      </c>
      <c r="U188" s="65" t="str">
        <f>"－"</f>
        <v>－</v>
      </c>
      <c r="V188" s="65">
        <f>39920350</f>
        <v>39920350</v>
      </c>
      <c r="W188" s="65" t="str">
        <f>"－"</f>
        <v>－</v>
      </c>
      <c r="X188" s="69">
        <f>21</f>
        <v>21</v>
      </c>
    </row>
    <row r="189" spans="1:24">
      <c r="A189" s="60" t="s">
        <v>931</v>
      </c>
      <c r="B189" s="60" t="s">
        <v>620</v>
      </c>
      <c r="C189" s="60" t="s">
        <v>621</v>
      </c>
      <c r="D189" s="60" t="s">
        <v>622</v>
      </c>
      <c r="E189" s="61" t="s">
        <v>46</v>
      </c>
      <c r="F189" s="62" t="s">
        <v>46</v>
      </c>
      <c r="G189" s="63" t="s">
        <v>46</v>
      </c>
      <c r="H189" s="64"/>
      <c r="I189" s="64" t="s">
        <v>47</v>
      </c>
      <c r="J189" s="65">
        <v>10</v>
      </c>
      <c r="K189" s="66">
        <f>1821</f>
        <v>1821</v>
      </c>
      <c r="L189" s="67" t="s">
        <v>857</v>
      </c>
      <c r="M189" s="66">
        <f>1870</f>
        <v>1870</v>
      </c>
      <c r="N189" s="67" t="s">
        <v>131</v>
      </c>
      <c r="O189" s="66">
        <f>1785</f>
        <v>1785</v>
      </c>
      <c r="P189" s="67" t="s">
        <v>371</v>
      </c>
      <c r="Q189" s="66">
        <f>1837</f>
        <v>1837</v>
      </c>
      <c r="R189" s="67" t="s">
        <v>872</v>
      </c>
      <c r="S189" s="68">
        <f>1824.81</f>
        <v>1824.81</v>
      </c>
      <c r="T189" s="65">
        <f>19060</f>
        <v>19060</v>
      </c>
      <c r="U189" s="65">
        <f>40</f>
        <v>40</v>
      </c>
      <c r="V189" s="65">
        <f>34957630</f>
        <v>34957630</v>
      </c>
      <c r="W189" s="65">
        <f>73490</f>
        <v>73490</v>
      </c>
      <c r="X189" s="69">
        <f>21</f>
        <v>21</v>
      </c>
    </row>
    <row r="190" spans="1:24">
      <c r="A190" s="60" t="s">
        <v>931</v>
      </c>
      <c r="B190" s="60" t="s">
        <v>623</v>
      </c>
      <c r="C190" s="60" t="s">
        <v>624</v>
      </c>
      <c r="D190" s="60" t="s">
        <v>625</v>
      </c>
      <c r="E190" s="61" t="s">
        <v>46</v>
      </c>
      <c r="F190" s="62" t="s">
        <v>46</v>
      </c>
      <c r="G190" s="63" t="s">
        <v>46</v>
      </c>
      <c r="H190" s="64"/>
      <c r="I190" s="64" t="s">
        <v>47</v>
      </c>
      <c r="J190" s="65">
        <v>10</v>
      </c>
      <c r="K190" s="66">
        <f>193</f>
        <v>193</v>
      </c>
      <c r="L190" s="67" t="s">
        <v>857</v>
      </c>
      <c r="M190" s="66">
        <f>194</f>
        <v>194</v>
      </c>
      <c r="N190" s="67" t="s">
        <v>857</v>
      </c>
      <c r="O190" s="66">
        <f>167</f>
        <v>167</v>
      </c>
      <c r="P190" s="67" t="s">
        <v>874</v>
      </c>
      <c r="Q190" s="66">
        <f>187</f>
        <v>187</v>
      </c>
      <c r="R190" s="67" t="s">
        <v>872</v>
      </c>
      <c r="S190" s="68">
        <f>181.81</f>
        <v>181.81</v>
      </c>
      <c r="T190" s="65">
        <f>84081880</f>
        <v>84081880</v>
      </c>
      <c r="U190" s="65">
        <f>107120</f>
        <v>107120</v>
      </c>
      <c r="V190" s="65">
        <f>15222370219</f>
        <v>15222370219</v>
      </c>
      <c r="W190" s="65">
        <f>19172099</f>
        <v>19172099</v>
      </c>
      <c r="X190" s="69">
        <f>21</f>
        <v>21</v>
      </c>
    </row>
    <row r="191" spans="1:24">
      <c r="A191" s="60" t="s">
        <v>931</v>
      </c>
      <c r="B191" s="60" t="s">
        <v>626</v>
      </c>
      <c r="C191" s="60" t="s">
        <v>627</v>
      </c>
      <c r="D191" s="60" t="s">
        <v>628</v>
      </c>
      <c r="E191" s="61" t="s">
        <v>46</v>
      </c>
      <c r="F191" s="62" t="s">
        <v>46</v>
      </c>
      <c r="G191" s="63" t="s">
        <v>46</v>
      </c>
      <c r="H191" s="64"/>
      <c r="I191" s="64" t="s">
        <v>629</v>
      </c>
      <c r="J191" s="65">
        <v>1</v>
      </c>
      <c r="K191" s="66">
        <f>9390</f>
        <v>9390</v>
      </c>
      <c r="L191" s="67" t="s">
        <v>857</v>
      </c>
      <c r="M191" s="66">
        <f>10240</f>
        <v>10240</v>
      </c>
      <c r="N191" s="67" t="s">
        <v>131</v>
      </c>
      <c r="O191" s="66">
        <f>8650</f>
        <v>8650</v>
      </c>
      <c r="P191" s="67" t="s">
        <v>371</v>
      </c>
      <c r="Q191" s="66">
        <f>9170</f>
        <v>9170</v>
      </c>
      <c r="R191" s="67" t="s">
        <v>872</v>
      </c>
      <c r="S191" s="68">
        <f>9489.52</f>
        <v>9489.52</v>
      </c>
      <c r="T191" s="65">
        <f>12030</f>
        <v>12030</v>
      </c>
      <c r="U191" s="65" t="str">
        <f>"－"</f>
        <v>－</v>
      </c>
      <c r="V191" s="65">
        <f>114330750</f>
        <v>114330750</v>
      </c>
      <c r="W191" s="65" t="str">
        <f>"－"</f>
        <v>－</v>
      </c>
      <c r="X191" s="69">
        <f>21</f>
        <v>21</v>
      </c>
    </row>
    <row r="192" spans="1:24">
      <c r="A192" s="60" t="s">
        <v>931</v>
      </c>
      <c r="B192" s="60" t="s">
        <v>630</v>
      </c>
      <c r="C192" s="60" t="s">
        <v>631</v>
      </c>
      <c r="D192" s="60" t="s">
        <v>632</v>
      </c>
      <c r="E192" s="61" t="s">
        <v>46</v>
      </c>
      <c r="F192" s="62" t="s">
        <v>46</v>
      </c>
      <c r="G192" s="63" t="s">
        <v>46</v>
      </c>
      <c r="H192" s="64"/>
      <c r="I192" s="64" t="s">
        <v>629</v>
      </c>
      <c r="J192" s="65">
        <v>1</v>
      </c>
      <c r="K192" s="66">
        <f>5780</f>
        <v>5780</v>
      </c>
      <c r="L192" s="67" t="s">
        <v>857</v>
      </c>
      <c r="M192" s="66">
        <f>5990</f>
        <v>5990</v>
      </c>
      <c r="N192" s="67" t="s">
        <v>371</v>
      </c>
      <c r="O192" s="66">
        <f>5490</f>
        <v>5490</v>
      </c>
      <c r="P192" s="67" t="s">
        <v>48</v>
      </c>
      <c r="Q192" s="66">
        <f>5790</f>
        <v>5790</v>
      </c>
      <c r="R192" s="67" t="s">
        <v>872</v>
      </c>
      <c r="S192" s="68">
        <f>5689.52</f>
        <v>5689.52</v>
      </c>
      <c r="T192" s="65">
        <f>4194</f>
        <v>4194</v>
      </c>
      <c r="U192" s="65" t="str">
        <f>"－"</f>
        <v>－</v>
      </c>
      <c r="V192" s="65">
        <f>24025040</f>
        <v>24025040</v>
      </c>
      <c r="W192" s="65" t="str">
        <f>"－"</f>
        <v>－</v>
      </c>
      <c r="X192" s="69">
        <f>21</f>
        <v>21</v>
      </c>
    </row>
    <row r="193" spans="1:24">
      <c r="A193" s="60" t="s">
        <v>931</v>
      </c>
      <c r="B193" s="60" t="s">
        <v>633</v>
      </c>
      <c r="C193" s="60" t="s">
        <v>634</v>
      </c>
      <c r="D193" s="60" t="s">
        <v>635</v>
      </c>
      <c r="E193" s="61" t="s">
        <v>46</v>
      </c>
      <c r="F193" s="62" t="s">
        <v>46</v>
      </c>
      <c r="G193" s="63" t="s">
        <v>46</v>
      </c>
      <c r="H193" s="64"/>
      <c r="I193" s="64" t="s">
        <v>629</v>
      </c>
      <c r="J193" s="65">
        <v>1</v>
      </c>
      <c r="K193" s="66">
        <f>19010</f>
        <v>19010</v>
      </c>
      <c r="L193" s="67" t="s">
        <v>857</v>
      </c>
      <c r="M193" s="66">
        <f>20340</f>
        <v>20340</v>
      </c>
      <c r="N193" s="67" t="s">
        <v>77</v>
      </c>
      <c r="O193" s="66">
        <f>16400</f>
        <v>16400</v>
      </c>
      <c r="P193" s="67" t="s">
        <v>371</v>
      </c>
      <c r="Q193" s="66">
        <f>17760</f>
        <v>17760</v>
      </c>
      <c r="R193" s="67" t="s">
        <v>872</v>
      </c>
      <c r="S193" s="68">
        <f>18415.5</f>
        <v>18415.5</v>
      </c>
      <c r="T193" s="65">
        <f>1246</f>
        <v>1246</v>
      </c>
      <c r="U193" s="65">
        <f>1</f>
        <v>1</v>
      </c>
      <c r="V193" s="65">
        <f>22231510</f>
        <v>22231510</v>
      </c>
      <c r="W193" s="65">
        <f>17590</f>
        <v>17590</v>
      </c>
      <c r="X193" s="69">
        <f>20</f>
        <v>20</v>
      </c>
    </row>
    <row r="194" spans="1:24">
      <c r="A194" s="60" t="s">
        <v>931</v>
      </c>
      <c r="B194" s="60" t="s">
        <v>636</v>
      </c>
      <c r="C194" s="60" t="s">
        <v>637</v>
      </c>
      <c r="D194" s="60" t="s">
        <v>638</v>
      </c>
      <c r="E194" s="61" t="s">
        <v>46</v>
      </c>
      <c r="F194" s="62" t="s">
        <v>46</v>
      </c>
      <c r="G194" s="63" t="s">
        <v>46</v>
      </c>
      <c r="H194" s="64"/>
      <c r="I194" s="64" t="s">
        <v>629</v>
      </c>
      <c r="J194" s="65">
        <v>1</v>
      </c>
      <c r="K194" s="66">
        <f>5820</f>
        <v>5820</v>
      </c>
      <c r="L194" s="67" t="s">
        <v>857</v>
      </c>
      <c r="M194" s="66">
        <f>6090</f>
        <v>6090</v>
      </c>
      <c r="N194" s="67" t="s">
        <v>874</v>
      </c>
      <c r="O194" s="66">
        <f>5650</f>
        <v>5650</v>
      </c>
      <c r="P194" s="67" t="s">
        <v>48</v>
      </c>
      <c r="Q194" s="66">
        <f>5860</f>
        <v>5860</v>
      </c>
      <c r="R194" s="67" t="s">
        <v>872</v>
      </c>
      <c r="S194" s="68">
        <f>5830</f>
        <v>5830</v>
      </c>
      <c r="T194" s="65">
        <f>11139</f>
        <v>11139</v>
      </c>
      <c r="U194" s="65" t="str">
        <f>"－"</f>
        <v>－</v>
      </c>
      <c r="V194" s="65">
        <f>65393430</f>
        <v>65393430</v>
      </c>
      <c r="W194" s="65" t="str">
        <f>"－"</f>
        <v>－</v>
      </c>
      <c r="X194" s="69">
        <f>21</f>
        <v>21</v>
      </c>
    </row>
    <row r="195" spans="1:24">
      <c r="A195" s="60" t="s">
        <v>931</v>
      </c>
      <c r="B195" s="60" t="s">
        <v>639</v>
      </c>
      <c r="C195" s="60" t="s">
        <v>640</v>
      </c>
      <c r="D195" s="60" t="s">
        <v>641</v>
      </c>
      <c r="E195" s="61" t="s">
        <v>46</v>
      </c>
      <c r="F195" s="62" t="s">
        <v>46</v>
      </c>
      <c r="G195" s="63" t="s">
        <v>46</v>
      </c>
      <c r="H195" s="64"/>
      <c r="I195" s="64" t="s">
        <v>629</v>
      </c>
      <c r="J195" s="65">
        <v>1</v>
      </c>
      <c r="K195" s="66">
        <f>183</f>
        <v>183</v>
      </c>
      <c r="L195" s="67" t="s">
        <v>857</v>
      </c>
      <c r="M195" s="66">
        <f>187</f>
        <v>187</v>
      </c>
      <c r="N195" s="67" t="s">
        <v>858</v>
      </c>
      <c r="O195" s="66">
        <f>160</f>
        <v>160</v>
      </c>
      <c r="P195" s="67" t="s">
        <v>872</v>
      </c>
      <c r="Q195" s="66">
        <f>161</f>
        <v>161</v>
      </c>
      <c r="R195" s="67" t="s">
        <v>872</v>
      </c>
      <c r="S195" s="68">
        <f>171.14</f>
        <v>171.14</v>
      </c>
      <c r="T195" s="65">
        <f>10869457</f>
        <v>10869457</v>
      </c>
      <c r="U195" s="65">
        <f>22</f>
        <v>22</v>
      </c>
      <c r="V195" s="65">
        <f>1851155556</f>
        <v>1851155556</v>
      </c>
      <c r="W195" s="65">
        <f>3688</f>
        <v>3688</v>
      </c>
      <c r="X195" s="69">
        <f>21</f>
        <v>21</v>
      </c>
    </row>
    <row r="196" spans="1:24">
      <c r="A196" s="60" t="s">
        <v>931</v>
      </c>
      <c r="B196" s="60" t="s">
        <v>642</v>
      </c>
      <c r="C196" s="60" t="s">
        <v>643</v>
      </c>
      <c r="D196" s="60" t="s">
        <v>644</v>
      </c>
      <c r="E196" s="61" t="s">
        <v>46</v>
      </c>
      <c r="F196" s="62" t="s">
        <v>46</v>
      </c>
      <c r="G196" s="63" t="s">
        <v>46</v>
      </c>
      <c r="H196" s="64"/>
      <c r="I196" s="64" t="s">
        <v>629</v>
      </c>
      <c r="J196" s="65">
        <v>1</v>
      </c>
      <c r="K196" s="66">
        <f>17870</f>
        <v>17870</v>
      </c>
      <c r="L196" s="67" t="s">
        <v>857</v>
      </c>
      <c r="M196" s="66">
        <f>17960</f>
        <v>17960</v>
      </c>
      <c r="N196" s="67" t="s">
        <v>872</v>
      </c>
      <c r="O196" s="66">
        <f>16400</f>
        <v>16400</v>
      </c>
      <c r="P196" s="67" t="s">
        <v>860</v>
      </c>
      <c r="Q196" s="66">
        <f>17840</f>
        <v>17840</v>
      </c>
      <c r="R196" s="67" t="s">
        <v>872</v>
      </c>
      <c r="S196" s="68">
        <f>17320</f>
        <v>17320</v>
      </c>
      <c r="T196" s="65">
        <f>40097</f>
        <v>40097</v>
      </c>
      <c r="U196" s="65" t="str">
        <f>"－"</f>
        <v>－</v>
      </c>
      <c r="V196" s="65">
        <f>690137180</f>
        <v>690137180</v>
      </c>
      <c r="W196" s="65" t="str">
        <f>"－"</f>
        <v>－</v>
      </c>
      <c r="X196" s="69">
        <f>21</f>
        <v>21</v>
      </c>
    </row>
    <row r="197" spans="1:24">
      <c r="A197" s="60" t="s">
        <v>931</v>
      </c>
      <c r="B197" s="60" t="s">
        <v>645</v>
      </c>
      <c r="C197" s="60" t="s">
        <v>646</v>
      </c>
      <c r="D197" s="60" t="s">
        <v>647</v>
      </c>
      <c r="E197" s="61" t="s">
        <v>46</v>
      </c>
      <c r="F197" s="62" t="s">
        <v>46</v>
      </c>
      <c r="G197" s="63" t="s">
        <v>46</v>
      </c>
      <c r="H197" s="64"/>
      <c r="I197" s="64" t="s">
        <v>629</v>
      </c>
      <c r="J197" s="65">
        <v>1</v>
      </c>
      <c r="K197" s="66">
        <f>5460</f>
        <v>5460</v>
      </c>
      <c r="L197" s="67" t="s">
        <v>857</v>
      </c>
      <c r="M197" s="66">
        <f>5780</f>
        <v>5780</v>
      </c>
      <c r="N197" s="67" t="s">
        <v>875</v>
      </c>
      <c r="O197" s="66">
        <f>5430</f>
        <v>5430</v>
      </c>
      <c r="P197" s="67" t="s">
        <v>873</v>
      </c>
      <c r="Q197" s="66">
        <f>5450</f>
        <v>5450</v>
      </c>
      <c r="R197" s="67" t="s">
        <v>872</v>
      </c>
      <c r="S197" s="68">
        <f>5559.52</f>
        <v>5559.52</v>
      </c>
      <c r="T197" s="65">
        <f>15263</f>
        <v>15263</v>
      </c>
      <c r="U197" s="65" t="str">
        <f>"－"</f>
        <v>－</v>
      </c>
      <c r="V197" s="65">
        <f>85495430</f>
        <v>85495430</v>
      </c>
      <c r="W197" s="65" t="str">
        <f>"－"</f>
        <v>－</v>
      </c>
      <c r="X197" s="69">
        <f>21</f>
        <v>21</v>
      </c>
    </row>
    <row r="198" spans="1:24">
      <c r="A198" s="60" t="s">
        <v>931</v>
      </c>
      <c r="B198" s="60" t="s">
        <v>648</v>
      </c>
      <c r="C198" s="60" t="s">
        <v>649</v>
      </c>
      <c r="D198" s="60" t="s">
        <v>650</v>
      </c>
      <c r="E198" s="61" t="s">
        <v>46</v>
      </c>
      <c r="F198" s="62" t="s">
        <v>46</v>
      </c>
      <c r="G198" s="63" t="s">
        <v>46</v>
      </c>
      <c r="H198" s="64"/>
      <c r="I198" s="64" t="s">
        <v>629</v>
      </c>
      <c r="J198" s="65">
        <v>1</v>
      </c>
      <c r="K198" s="66">
        <f>625</f>
        <v>625</v>
      </c>
      <c r="L198" s="67" t="s">
        <v>857</v>
      </c>
      <c r="M198" s="66">
        <f>625</f>
        <v>625</v>
      </c>
      <c r="N198" s="67" t="s">
        <v>857</v>
      </c>
      <c r="O198" s="66">
        <f>486</f>
        <v>486</v>
      </c>
      <c r="P198" s="67" t="s">
        <v>874</v>
      </c>
      <c r="Q198" s="66">
        <f>591</f>
        <v>591</v>
      </c>
      <c r="R198" s="67" t="s">
        <v>872</v>
      </c>
      <c r="S198" s="68">
        <f>563.86</f>
        <v>563.86</v>
      </c>
      <c r="T198" s="65">
        <f>106809004</f>
        <v>106809004</v>
      </c>
      <c r="U198" s="65">
        <f>100006</f>
        <v>100006</v>
      </c>
      <c r="V198" s="65">
        <f>59943988291</f>
        <v>59943988291</v>
      </c>
      <c r="W198" s="65">
        <f>55503114</f>
        <v>55503114</v>
      </c>
      <c r="X198" s="69">
        <f>21</f>
        <v>21</v>
      </c>
    </row>
    <row r="199" spans="1:24">
      <c r="A199" s="60" t="s">
        <v>931</v>
      </c>
      <c r="B199" s="60" t="s">
        <v>651</v>
      </c>
      <c r="C199" s="60" t="s">
        <v>652</v>
      </c>
      <c r="D199" s="60" t="s">
        <v>653</v>
      </c>
      <c r="E199" s="61" t="s">
        <v>46</v>
      </c>
      <c r="F199" s="62" t="s">
        <v>46</v>
      </c>
      <c r="G199" s="63" t="s">
        <v>46</v>
      </c>
      <c r="H199" s="64"/>
      <c r="I199" s="64" t="s">
        <v>629</v>
      </c>
      <c r="J199" s="65">
        <v>1</v>
      </c>
      <c r="K199" s="66">
        <f>3200</f>
        <v>3200</v>
      </c>
      <c r="L199" s="67" t="s">
        <v>857</v>
      </c>
      <c r="M199" s="66">
        <f>3600</f>
        <v>3600</v>
      </c>
      <c r="N199" s="67" t="s">
        <v>874</v>
      </c>
      <c r="O199" s="66">
        <f>3195</f>
        <v>3195</v>
      </c>
      <c r="P199" s="67" t="s">
        <v>857</v>
      </c>
      <c r="Q199" s="66">
        <f>3255</f>
        <v>3255</v>
      </c>
      <c r="R199" s="67" t="s">
        <v>872</v>
      </c>
      <c r="S199" s="68">
        <f>3359.76</f>
        <v>3359.76</v>
      </c>
      <c r="T199" s="65">
        <f>461616</f>
        <v>461616</v>
      </c>
      <c r="U199" s="65" t="str">
        <f>"－"</f>
        <v>－</v>
      </c>
      <c r="V199" s="65">
        <f>1563145050</f>
        <v>1563145050</v>
      </c>
      <c r="W199" s="65" t="str">
        <f>"－"</f>
        <v>－</v>
      </c>
      <c r="X199" s="69">
        <f>21</f>
        <v>21</v>
      </c>
    </row>
    <row r="200" spans="1:24">
      <c r="A200" s="60" t="s">
        <v>931</v>
      </c>
      <c r="B200" s="60" t="s">
        <v>654</v>
      </c>
      <c r="C200" s="60" t="s">
        <v>655</v>
      </c>
      <c r="D200" s="60" t="s">
        <v>656</v>
      </c>
      <c r="E200" s="61" t="s">
        <v>46</v>
      </c>
      <c r="F200" s="62" t="s">
        <v>46</v>
      </c>
      <c r="G200" s="63" t="s">
        <v>46</v>
      </c>
      <c r="H200" s="64"/>
      <c r="I200" s="64" t="s">
        <v>629</v>
      </c>
      <c r="J200" s="65">
        <v>1</v>
      </c>
      <c r="K200" s="66">
        <f>31650</f>
        <v>31650</v>
      </c>
      <c r="L200" s="67" t="s">
        <v>857</v>
      </c>
      <c r="M200" s="66">
        <f>32500</f>
        <v>32500</v>
      </c>
      <c r="N200" s="67" t="s">
        <v>855</v>
      </c>
      <c r="O200" s="66">
        <f>31200</f>
        <v>31200</v>
      </c>
      <c r="P200" s="67" t="s">
        <v>84</v>
      </c>
      <c r="Q200" s="66">
        <f>32350</f>
        <v>32350</v>
      </c>
      <c r="R200" s="67" t="s">
        <v>872</v>
      </c>
      <c r="S200" s="68">
        <f>31926.19</f>
        <v>31926.19</v>
      </c>
      <c r="T200" s="65">
        <f>81270</f>
        <v>81270</v>
      </c>
      <c r="U200" s="65">
        <f>2</f>
        <v>2</v>
      </c>
      <c r="V200" s="65">
        <f>2589736400</f>
        <v>2589736400</v>
      </c>
      <c r="W200" s="65">
        <f>63700</f>
        <v>63700</v>
      </c>
      <c r="X200" s="69">
        <f>21</f>
        <v>21</v>
      </c>
    </row>
    <row r="201" spans="1:24">
      <c r="A201" s="60" t="s">
        <v>931</v>
      </c>
      <c r="B201" s="60" t="s">
        <v>657</v>
      </c>
      <c r="C201" s="60" t="s">
        <v>658</v>
      </c>
      <c r="D201" s="60" t="s">
        <v>659</v>
      </c>
      <c r="E201" s="61" t="s">
        <v>46</v>
      </c>
      <c r="F201" s="62" t="s">
        <v>46</v>
      </c>
      <c r="G201" s="63" t="s">
        <v>46</v>
      </c>
      <c r="H201" s="64"/>
      <c r="I201" s="64" t="s">
        <v>629</v>
      </c>
      <c r="J201" s="65">
        <v>1</v>
      </c>
      <c r="K201" s="66">
        <f>2954</f>
        <v>2954</v>
      </c>
      <c r="L201" s="67" t="s">
        <v>857</v>
      </c>
      <c r="M201" s="66">
        <f>2975</f>
        <v>2975</v>
      </c>
      <c r="N201" s="67" t="s">
        <v>84</v>
      </c>
      <c r="O201" s="66">
        <f>2896</f>
        <v>2896</v>
      </c>
      <c r="P201" s="67" t="s">
        <v>856</v>
      </c>
      <c r="Q201" s="66">
        <f>2903</f>
        <v>2903</v>
      </c>
      <c r="R201" s="67" t="s">
        <v>872</v>
      </c>
      <c r="S201" s="68">
        <f>2929.48</f>
        <v>2929.48</v>
      </c>
      <c r="T201" s="65">
        <f>420179</f>
        <v>420179</v>
      </c>
      <c r="U201" s="65" t="str">
        <f>"－"</f>
        <v>－</v>
      </c>
      <c r="V201" s="65">
        <f>1231106966</f>
        <v>1231106966</v>
      </c>
      <c r="W201" s="65" t="str">
        <f>"－"</f>
        <v>－</v>
      </c>
      <c r="X201" s="69">
        <f>21</f>
        <v>21</v>
      </c>
    </row>
    <row r="202" spans="1:24">
      <c r="A202" s="60" t="s">
        <v>931</v>
      </c>
      <c r="B202" s="60" t="s">
        <v>660</v>
      </c>
      <c r="C202" s="60" t="s">
        <v>661</v>
      </c>
      <c r="D202" s="60" t="s">
        <v>662</v>
      </c>
      <c r="E202" s="61" t="s">
        <v>46</v>
      </c>
      <c r="F202" s="62" t="s">
        <v>46</v>
      </c>
      <c r="G202" s="63" t="s">
        <v>46</v>
      </c>
      <c r="H202" s="64"/>
      <c r="I202" s="64" t="s">
        <v>629</v>
      </c>
      <c r="J202" s="65">
        <v>1</v>
      </c>
      <c r="K202" s="66">
        <f>11790</f>
        <v>11790</v>
      </c>
      <c r="L202" s="67" t="s">
        <v>857</v>
      </c>
      <c r="M202" s="66">
        <f>12300</f>
        <v>12300</v>
      </c>
      <c r="N202" s="67" t="s">
        <v>872</v>
      </c>
      <c r="O202" s="66">
        <f>10700</f>
        <v>10700</v>
      </c>
      <c r="P202" s="67" t="s">
        <v>100</v>
      </c>
      <c r="Q202" s="66">
        <f>12300</f>
        <v>12300</v>
      </c>
      <c r="R202" s="67" t="s">
        <v>872</v>
      </c>
      <c r="S202" s="68">
        <f>11538.57</f>
        <v>11538.57</v>
      </c>
      <c r="T202" s="65">
        <f>69199</f>
        <v>69199</v>
      </c>
      <c r="U202" s="65">
        <f>12900</f>
        <v>12900</v>
      </c>
      <c r="V202" s="65">
        <f>806728940</f>
        <v>806728940</v>
      </c>
      <c r="W202" s="65">
        <f>153642100</f>
        <v>153642100</v>
      </c>
      <c r="X202" s="69">
        <f>21</f>
        <v>21</v>
      </c>
    </row>
    <row r="203" spans="1:24">
      <c r="A203" s="60" t="s">
        <v>931</v>
      </c>
      <c r="B203" s="60" t="s">
        <v>663</v>
      </c>
      <c r="C203" s="60" t="s">
        <v>664</v>
      </c>
      <c r="D203" s="60" t="s">
        <v>665</v>
      </c>
      <c r="E203" s="61" t="s">
        <v>46</v>
      </c>
      <c r="F203" s="62" t="s">
        <v>46</v>
      </c>
      <c r="G203" s="63" t="s">
        <v>46</v>
      </c>
      <c r="H203" s="64"/>
      <c r="I203" s="64" t="s">
        <v>629</v>
      </c>
      <c r="J203" s="65">
        <v>1</v>
      </c>
      <c r="K203" s="66">
        <f>12670</f>
        <v>12670</v>
      </c>
      <c r="L203" s="67" t="s">
        <v>875</v>
      </c>
      <c r="M203" s="66">
        <f>12980</f>
        <v>12980</v>
      </c>
      <c r="N203" s="67" t="s">
        <v>854</v>
      </c>
      <c r="O203" s="66">
        <f>12500</f>
        <v>12500</v>
      </c>
      <c r="P203" s="67" t="s">
        <v>371</v>
      </c>
      <c r="Q203" s="66">
        <f>12890</f>
        <v>12890</v>
      </c>
      <c r="R203" s="67" t="s">
        <v>873</v>
      </c>
      <c r="S203" s="68">
        <f>12767.27</f>
        <v>12767.27</v>
      </c>
      <c r="T203" s="65">
        <f>460</f>
        <v>460</v>
      </c>
      <c r="U203" s="65" t="str">
        <f>"－"</f>
        <v>－</v>
      </c>
      <c r="V203" s="65">
        <f>5784580</f>
        <v>5784580</v>
      </c>
      <c r="W203" s="65" t="str">
        <f>"－"</f>
        <v>－</v>
      </c>
      <c r="X203" s="69">
        <f>11</f>
        <v>11</v>
      </c>
    </row>
    <row r="204" spans="1:24">
      <c r="A204" s="60" t="s">
        <v>931</v>
      </c>
      <c r="B204" s="60" t="s">
        <v>666</v>
      </c>
      <c r="C204" s="60" t="s">
        <v>667</v>
      </c>
      <c r="D204" s="60" t="s">
        <v>668</v>
      </c>
      <c r="E204" s="61" t="s">
        <v>46</v>
      </c>
      <c r="F204" s="62" t="s">
        <v>46</v>
      </c>
      <c r="G204" s="63" t="s">
        <v>46</v>
      </c>
      <c r="H204" s="64"/>
      <c r="I204" s="64" t="s">
        <v>629</v>
      </c>
      <c r="J204" s="65">
        <v>1</v>
      </c>
      <c r="K204" s="66">
        <f>18950</f>
        <v>18950</v>
      </c>
      <c r="L204" s="67" t="s">
        <v>857</v>
      </c>
      <c r="M204" s="66">
        <f>19430</f>
        <v>19430</v>
      </c>
      <c r="N204" s="67" t="s">
        <v>92</v>
      </c>
      <c r="O204" s="66">
        <f>18770</f>
        <v>18770</v>
      </c>
      <c r="P204" s="67" t="s">
        <v>858</v>
      </c>
      <c r="Q204" s="66">
        <f>19280</f>
        <v>19280</v>
      </c>
      <c r="R204" s="67" t="s">
        <v>872</v>
      </c>
      <c r="S204" s="68">
        <f>19098.57</f>
        <v>19098.57</v>
      </c>
      <c r="T204" s="65">
        <f>20856</f>
        <v>20856</v>
      </c>
      <c r="U204" s="65">
        <f>2</f>
        <v>2</v>
      </c>
      <c r="V204" s="65">
        <f>398743920</f>
        <v>398743920</v>
      </c>
      <c r="W204" s="65">
        <f>39610</f>
        <v>39610</v>
      </c>
      <c r="X204" s="69">
        <f>21</f>
        <v>21</v>
      </c>
    </row>
    <row r="205" spans="1:24">
      <c r="A205" s="60" t="s">
        <v>931</v>
      </c>
      <c r="B205" s="60" t="s">
        <v>669</v>
      </c>
      <c r="C205" s="60" t="s">
        <v>670</v>
      </c>
      <c r="D205" s="60" t="s">
        <v>671</v>
      </c>
      <c r="E205" s="61" t="s">
        <v>46</v>
      </c>
      <c r="F205" s="62" t="s">
        <v>46</v>
      </c>
      <c r="G205" s="63" t="s">
        <v>46</v>
      </c>
      <c r="H205" s="64"/>
      <c r="I205" s="64" t="s">
        <v>629</v>
      </c>
      <c r="J205" s="65">
        <v>1</v>
      </c>
      <c r="K205" s="66">
        <f>13750</f>
        <v>13750</v>
      </c>
      <c r="L205" s="67" t="s">
        <v>857</v>
      </c>
      <c r="M205" s="66">
        <f>13990</f>
        <v>13990</v>
      </c>
      <c r="N205" s="67" t="s">
        <v>873</v>
      </c>
      <c r="O205" s="66">
        <f>13580</f>
        <v>13580</v>
      </c>
      <c r="P205" s="67" t="s">
        <v>873</v>
      </c>
      <c r="Q205" s="66">
        <f>13750</f>
        <v>13750</v>
      </c>
      <c r="R205" s="67" t="s">
        <v>872</v>
      </c>
      <c r="S205" s="68">
        <f>13810.67</f>
        <v>13810.67</v>
      </c>
      <c r="T205" s="65">
        <f>276</f>
        <v>276</v>
      </c>
      <c r="U205" s="65">
        <f>1</f>
        <v>1</v>
      </c>
      <c r="V205" s="65">
        <f>3798540</f>
        <v>3798540</v>
      </c>
      <c r="W205" s="65">
        <f>13930</f>
        <v>13930</v>
      </c>
      <c r="X205" s="69">
        <f>15</f>
        <v>15</v>
      </c>
    </row>
    <row r="206" spans="1:24">
      <c r="A206" s="60" t="s">
        <v>931</v>
      </c>
      <c r="B206" s="60" t="s">
        <v>672</v>
      </c>
      <c r="C206" s="60" t="s">
        <v>673</v>
      </c>
      <c r="D206" s="60" t="s">
        <v>674</v>
      </c>
      <c r="E206" s="61" t="s">
        <v>46</v>
      </c>
      <c r="F206" s="62" t="s">
        <v>46</v>
      </c>
      <c r="G206" s="63" t="s">
        <v>46</v>
      </c>
      <c r="H206" s="64"/>
      <c r="I206" s="64" t="s">
        <v>629</v>
      </c>
      <c r="J206" s="65">
        <v>1</v>
      </c>
      <c r="K206" s="66">
        <f>14370</f>
        <v>14370</v>
      </c>
      <c r="L206" s="67" t="s">
        <v>857</v>
      </c>
      <c r="M206" s="66">
        <f>17080</f>
        <v>17080</v>
      </c>
      <c r="N206" s="67" t="s">
        <v>872</v>
      </c>
      <c r="O206" s="66">
        <f>14340</f>
        <v>14340</v>
      </c>
      <c r="P206" s="67" t="s">
        <v>857</v>
      </c>
      <c r="Q206" s="66">
        <f>16870</f>
        <v>16870</v>
      </c>
      <c r="R206" s="67" t="s">
        <v>872</v>
      </c>
      <c r="S206" s="68">
        <f>15630</f>
        <v>15630</v>
      </c>
      <c r="T206" s="65">
        <f>41214</f>
        <v>41214</v>
      </c>
      <c r="U206" s="65">
        <f>3</f>
        <v>3</v>
      </c>
      <c r="V206" s="65">
        <f>644231200</f>
        <v>644231200</v>
      </c>
      <c r="W206" s="65">
        <f>46950</f>
        <v>46950</v>
      </c>
      <c r="X206" s="69">
        <f>21</f>
        <v>21</v>
      </c>
    </row>
    <row r="207" spans="1:24">
      <c r="A207" s="60" t="s">
        <v>931</v>
      </c>
      <c r="B207" s="60" t="s">
        <v>675</v>
      </c>
      <c r="C207" s="60" t="s">
        <v>676</v>
      </c>
      <c r="D207" s="60" t="s">
        <v>677</v>
      </c>
      <c r="E207" s="61" t="s">
        <v>46</v>
      </c>
      <c r="F207" s="62" t="s">
        <v>46</v>
      </c>
      <c r="G207" s="63" t="s">
        <v>46</v>
      </c>
      <c r="H207" s="64"/>
      <c r="I207" s="64" t="s">
        <v>629</v>
      </c>
      <c r="J207" s="65">
        <v>1</v>
      </c>
      <c r="K207" s="66">
        <f>4275</f>
        <v>4275</v>
      </c>
      <c r="L207" s="67" t="s">
        <v>857</v>
      </c>
      <c r="M207" s="66">
        <f>4310</f>
        <v>4310</v>
      </c>
      <c r="N207" s="67" t="s">
        <v>857</v>
      </c>
      <c r="O207" s="66">
        <f>4035</f>
        <v>4035</v>
      </c>
      <c r="P207" s="67" t="s">
        <v>873</v>
      </c>
      <c r="Q207" s="66">
        <f>4040</f>
        <v>4040</v>
      </c>
      <c r="R207" s="67" t="s">
        <v>872</v>
      </c>
      <c r="S207" s="68">
        <f>4146.58</f>
        <v>4146.58</v>
      </c>
      <c r="T207" s="65">
        <f>9193</f>
        <v>9193</v>
      </c>
      <c r="U207" s="65" t="str">
        <f>"－"</f>
        <v>－</v>
      </c>
      <c r="V207" s="65">
        <f>38727180</f>
        <v>38727180</v>
      </c>
      <c r="W207" s="65" t="str">
        <f>"－"</f>
        <v>－</v>
      </c>
      <c r="X207" s="69">
        <f>19</f>
        <v>19</v>
      </c>
    </row>
    <row r="208" spans="1:24">
      <c r="A208" s="60" t="s">
        <v>931</v>
      </c>
      <c r="B208" s="60" t="s">
        <v>678</v>
      </c>
      <c r="C208" s="60" t="s">
        <v>679</v>
      </c>
      <c r="D208" s="60" t="s">
        <v>680</v>
      </c>
      <c r="E208" s="61" t="s">
        <v>46</v>
      </c>
      <c r="F208" s="62" t="s">
        <v>46</v>
      </c>
      <c r="G208" s="63" t="s">
        <v>46</v>
      </c>
      <c r="H208" s="64"/>
      <c r="I208" s="64" t="s">
        <v>629</v>
      </c>
      <c r="J208" s="65">
        <v>1</v>
      </c>
      <c r="K208" s="66">
        <f>10770</f>
        <v>10770</v>
      </c>
      <c r="L208" s="67" t="s">
        <v>857</v>
      </c>
      <c r="M208" s="66">
        <f>11200</f>
        <v>11200</v>
      </c>
      <c r="N208" s="67" t="s">
        <v>92</v>
      </c>
      <c r="O208" s="66">
        <f>10770</f>
        <v>10770</v>
      </c>
      <c r="P208" s="67" t="s">
        <v>857</v>
      </c>
      <c r="Q208" s="66">
        <f>11010</f>
        <v>11010</v>
      </c>
      <c r="R208" s="67" t="s">
        <v>872</v>
      </c>
      <c r="S208" s="68">
        <f>10998.89</f>
        <v>10998.89</v>
      </c>
      <c r="T208" s="65">
        <f>2032</f>
        <v>2032</v>
      </c>
      <c r="U208" s="65" t="str">
        <f>"－"</f>
        <v>－</v>
      </c>
      <c r="V208" s="65">
        <f>22266700</f>
        <v>22266700</v>
      </c>
      <c r="W208" s="65" t="str">
        <f>"－"</f>
        <v>－</v>
      </c>
      <c r="X208" s="69">
        <f>9</f>
        <v>9</v>
      </c>
    </row>
    <row r="209" spans="1:24">
      <c r="A209" s="60" t="s">
        <v>931</v>
      </c>
      <c r="B209" s="60" t="s">
        <v>681</v>
      </c>
      <c r="C209" s="60" t="s">
        <v>682</v>
      </c>
      <c r="D209" s="60" t="s">
        <v>683</v>
      </c>
      <c r="E209" s="61" t="s">
        <v>46</v>
      </c>
      <c r="F209" s="62" t="s">
        <v>46</v>
      </c>
      <c r="G209" s="63" t="s">
        <v>46</v>
      </c>
      <c r="H209" s="64"/>
      <c r="I209" s="64" t="s">
        <v>629</v>
      </c>
      <c r="J209" s="65">
        <v>1</v>
      </c>
      <c r="K209" s="66">
        <f>12730</f>
        <v>12730</v>
      </c>
      <c r="L209" s="67" t="s">
        <v>857</v>
      </c>
      <c r="M209" s="66">
        <f>12740</f>
        <v>12740</v>
      </c>
      <c r="N209" s="67" t="s">
        <v>872</v>
      </c>
      <c r="O209" s="66">
        <f>12200</f>
        <v>12200</v>
      </c>
      <c r="P209" s="67" t="s">
        <v>371</v>
      </c>
      <c r="Q209" s="66">
        <f>12740</f>
        <v>12740</v>
      </c>
      <c r="R209" s="67" t="s">
        <v>872</v>
      </c>
      <c r="S209" s="68">
        <f>12564.55</f>
        <v>12564.55</v>
      </c>
      <c r="T209" s="65">
        <f>164</f>
        <v>164</v>
      </c>
      <c r="U209" s="65">
        <f>1</f>
        <v>1</v>
      </c>
      <c r="V209" s="65">
        <f>2060980</f>
        <v>2060980</v>
      </c>
      <c r="W209" s="65">
        <f>12640</f>
        <v>12640</v>
      </c>
      <c r="X209" s="69">
        <f>11</f>
        <v>11</v>
      </c>
    </row>
    <row r="210" spans="1:24">
      <c r="A210" s="60" t="s">
        <v>931</v>
      </c>
      <c r="B210" s="60" t="s">
        <v>684</v>
      </c>
      <c r="C210" s="60" t="s">
        <v>685</v>
      </c>
      <c r="D210" s="60" t="s">
        <v>686</v>
      </c>
      <c r="E210" s="61" t="s">
        <v>46</v>
      </c>
      <c r="F210" s="62" t="s">
        <v>46</v>
      </c>
      <c r="G210" s="63" t="s">
        <v>46</v>
      </c>
      <c r="H210" s="64"/>
      <c r="I210" s="64" t="s">
        <v>629</v>
      </c>
      <c r="J210" s="65">
        <v>1</v>
      </c>
      <c r="K210" s="66">
        <f>12910</f>
        <v>12910</v>
      </c>
      <c r="L210" s="67" t="s">
        <v>131</v>
      </c>
      <c r="M210" s="66">
        <f>12910</f>
        <v>12910</v>
      </c>
      <c r="N210" s="67" t="s">
        <v>131</v>
      </c>
      <c r="O210" s="66">
        <f>12670</f>
        <v>12670</v>
      </c>
      <c r="P210" s="67" t="s">
        <v>613</v>
      </c>
      <c r="Q210" s="66">
        <f>12670</f>
        <v>12670</v>
      </c>
      <c r="R210" s="67" t="s">
        <v>613</v>
      </c>
      <c r="S210" s="68">
        <f>12806.67</f>
        <v>12806.67</v>
      </c>
      <c r="T210" s="65">
        <f>25</f>
        <v>25</v>
      </c>
      <c r="U210" s="65" t="str">
        <f t="shared" ref="U210:U217" si="2">"－"</f>
        <v>－</v>
      </c>
      <c r="V210" s="65">
        <f>321670</f>
        <v>321670</v>
      </c>
      <c r="W210" s="65" t="str">
        <f t="shared" ref="W210:W217" si="3">"－"</f>
        <v>－</v>
      </c>
      <c r="X210" s="69">
        <f>3</f>
        <v>3</v>
      </c>
    </row>
    <row r="211" spans="1:24">
      <c r="A211" s="60" t="s">
        <v>931</v>
      </c>
      <c r="B211" s="60" t="s">
        <v>687</v>
      </c>
      <c r="C211" s="60" t="s">
        <v>688</v>
      </c>
      <c r="D211" s="60" t="s">
        <v>689</v>
      </c>
      <c r="E211" s="61" t="s">
        <v>46</v>
      </c>
      <c r="F211" s="62" t="s">
        <v>46</v>
      </c>
      <c r="G211" s="63" t="s">
        <v>46</v>
      </c>
      <c r="H211" s="64"/>
      <c r="I211" s="64" t="s">
        <v>629</v>
      </c>
      <c r="J211" s="65">
        <v>1</v>
      </c>
      <c r="K211" s="66">
        <f>14060</f>
        <v>14060</v>
      </c>
      <c r="L211" s="67" t="s">
        <v>48</v>
      </c>
      <c r="M211" s="66">
        <f>14340</f>
        <v>14340</v>
      </c>
      <c r="N211" s="67" t="s">
        <v>613</v>
      </c>
      <c r="O211" s="66">
        <f>13890</f>
        <v>13890</v>
      </c>
      <c r="P211" s="67" t="s">
        <v>856</v>
      </c>
      <c r="Q211" s="66">
        <f>14200</f>
        <v>14200</v>
      </c>
      <c r="R211" s="67" t="s">
        <v>73</v>
      </c>
      <c r="S211" s="68">
        <f>14058.75</f>
        <v>14058.75</v>
      </c>
      <c r="T211" s="65">
        <f>1061</f>
        <v>1061</v>
      </c>
      <c r="U211" s="65" t="str">
        <f t="shared" si="2"/>
        <v>－</v>
      </c>
      <c r="V211" s="65">
        <f>14925720</f>
        <v>14925720</v>
      </c>
      <c r="W211" s="65" t="str">
        <f t="shared" si="3"/>
        <v>－</v>
      </c>
      <c r="X211" s="69">
        <f>8</f>
        <v>8</v>
      </c>
    </row>
    <row r="212" spans="1:24">
      <c r="A212" s="60" t="s">
        <v>931</v>
      </c>
      <c r="B212" s="60" t="s">
        <v>690</v>
      </c>
      <c r="C212" s="60" t="s">
        <v>691</v>
      </c>
      <c r="D212" s="60" t="s">
        <v>692</v>
      </c>
      <c r="E212" s="61" t="s">
        <v>46</v>
      </c>
      <c r="F212" s="62" t="s">
        <v>46</v>
      </c>
      <c r="G212" s="63" t="s">
        <v>46</v>
      </c>
      <c r="H212" s="64"/>
      <c r="I212" s="64" t="s">
        <v>629</v>
      </c>
      <c r="J212" s="65">
        <v>1</v>
      </c>
      <c r="K212" s="66">
        <f>12630</f>
        <v>12630</v>
      </c>
      <c r="L212" s="67" t="s">
        <v>857</v>
      </c>
      <c r="M212" s="66">
        <f>12830</f>
        <v>12830</v>
      </c>
      <c r="N212" s="67" t="s">
        <v>131</v>
      </c>
      <c r="O212" s="66">
        <f>12100</f>
        <v>12100</v>
      </c>
      <c r="P212" s="67" t="s">
        <v>371</v>
      </c>
      <c r="Q212" s="66">
        <f>12610</f>
        <v>12610</v>
      </c>
      <c r="R212" s="67" t="s">
        <v>872</v>
      </c>
      <c r="S212" s="68">
        <f>12511.25</f>
        <v>12511.25</v>
      </c>
      <c r="T212" s="65">
        <f>2337</f>
        <v>2337</v>
      </c>
      <c r="U212" s="65" t="str">
        <f t="shared" si="2"/>
        <v>－</v>
      </c>
      <c r="V212" s="65">
        <f>29226910</f>
        <v>29226910</v>
      </c>
      <c r="W212" s="65" t="str">
        <f t="shared" si="3"/>
        <v>－</v>
      </c>
      <c r="X212" s="69">
        <f>16</f>
        <v>16</v>
      </c>
    </row>
    <row r="213" spans="1:24">
      <c r="A213" s="60" t="s">
        <v>931</v>
      </c>
      <c r="B213" s="60" t="s">
        <v>693</v>
      </c>
      <c r="C213" s="60" t="s">
        <v>694</v>
      </c>
      <c r="D213" s="60" t="s">
        <v>695</v>
      </c>
      <c r="E213" s="61" t="s">
        <v>46</v>
      </c>
      <c r="F213" s="62" t="s">
        <v>46</v>
      </c>
      <c r="G213" s="63" t="s">
        <v>46</v>
      </c>
      <c r="H213" s="64"/>
      <c r="I213" s="64" t="s">
        <v>629</v>
      </c>
      <c r="J213" s="65">
        <v>1</v>
      </c>
      <c r="K213" s="66">
        <f>13650</f>
        <v>13650</v>
      </c>
      <c r="L213" s="67" t="s">
        <v>875</v>
      </c>
      <c r="M213" s="66">
        <f>13840</f>
        <v>13840</v>
      </c>
      <c r="N213" s="67" t="s">
        <v>875</v>
      </c>
      <c r="O213" s="66">
        <f>12590</f>
        <v>12590</v>
      </c>
      <c r="P213" s="67" t="s">
        <v>371</v>
      </c>
      <c r="Q213" s="66">
        <f>13380</f>
        <v>13380</v>
      </c>
      <c r="R213" s="67" t="s">
        <v>873</v>
      </c>
      <c r="S213" s="68">
        <f>13268.33</f>
        <v>13268.33</v>
      </c>
      <c r="T213" s="65">
        <f>1032</f>
        <v>1032</v>
      </c>
      <c r="U213" s="65" t="str">
        <f t="shared" si="2"/>
        <v>－</v>
      </c>
      <c r="V213" s="65">
        <f>14110190</f>
        <v>14110190</v>
      </c>
      <c r="W213" s="65" t="str">
        <f t="shared" si="3"/>
        <v>－</v>
      </c>
      <c r="X213" s="69">
        <f>6</f>
        <v>6</v>
      </c>
    </row>
    <row r="214" spans="1:24">
      <c r="A214" s="60" t="s">
        <v>931</v>
      </c>
      <c r="B214" s="60" t="s">
        <v>696</v>
      </c>
      <c r="C214" s="60" t="s">
        <v>697</v>
      </c>
      <c r="D214" s="60" t="s">
        <v>698</v>
      </c>
      <c r="E214" s="61" t="s">
        <v>46</v>
      </c>
      <c r="F214" s="62" t="s">
        <v>46</v>
      </c>
      <c r="G214" s="63" t="s">
        <v>46</v>
      </c>
      <c r="H214" s="64"/>
      <c r="I214" s="64" t="s">
        <v>629</v>
      </c>
      <c r="J214" s="65">
        <v>1</v>
      </c>
      <c r="K214" s="66">
        <f>12700</f>
        <v>12700</v>
      </c>
      <c r="L214" s="67" t="s">
        <v>613</v>
      </c>
      <c r="M214" s="66">
        <f>12920</f>
        <v>12920</v>
      </c>
      <c r="N214" s="67" t="s">
        <v>176</v>
      </c>
      <c r="O214" s="66">
        <f>12700</f>
        <v>12700</v>
      </c>
      <c r="P214" s="67" t="s">
        <v>613</v>
      </c>
      <c r="Q214" s="66">
        <f>12800</f>
        <v>12800</v>
      </c>
      <c r="R214" s="67" t="s">
        <v>240</v>
      </c>
      <c r="S214" s="68">
        <f>12806.67</f>
        <v>12806.67</v>
      </c>
      <c r="T214" s="65">
        <f>19</f>
        <v>19</v>
      </c>
      <c r="U214" s="65" t="str">
        <f t="shared" si="2"/>
        <v>－</v>
      </c>
      <c r="V214" s="65">
        <f>243410</f>
        <v>243410</v>
      </c>
      <c r="W214" s="65" t="str">
        <f t="shared" si="3"/>
        <v>－</v>
      </c>
      <c r="X214" s="69">
        <f>3</f>
        <v>3</v>
      </c>
    </row>
    <row r="215" spans="1:24">
      <c r="A215" s="60" t="s">
        <v>931</v>
      </c>
      <c r="B215" s="60" t="s">
        <v>699</v>
      </c>
      <c r="C215" s="60" t="s">
        <v>700</v>
      </c>
      <c r="D215" s="60" t="s">
        <v>701</v>
      </c>
      <c r="E215" s="61" t="s">
        <v>46</v>
      </c>
      <c r="F215" s="62" t="s">
        <v>46</v>
      </c>
      <c r="G215" s="63" t="s">
        <v>46</v>
      </c>
      <c r="H215" s="64"/>
      <c r="I215" s="64" t="s">
        <v>629</v>
      </c>
      <c r="J215" s="65">
        <v>1</v>
      </c>
      <c r="K215" s="66">
        <f>10140</f>
        <v>10140</v>
      </c>
      <c r="L215" s="67" t="s">
        <v>857</v>
      </c>
      <c r="M215" s="66">
        <f>10520</f>
        <v>10520</v>
      </c>
      <c r="N215" s="67" t="s">
        <v>872</v>
      </c>
      <c r="O215" s="66">
        <f>10060</f>
        <v>10060</v>
      </c>
      <c r="P215" s="67" t="s">
        <v>84</v>
      </c>
      <c r="Q215" s="66">
        <f>10470</f>
        <v>10470</v>
      </c>
      <c r="R215" s="67" t="s">
        <v>872</v>
      </c>
      <c r="S215" s="68">
        <f>10258.13</f>
        <v>10258.129999999999</v>
      </c>
      <c r="T215" s="65">
        <f>6955</f>
        <v>6955</v>
      </c>
      <c r="U215" s="65" t="str">
        <f t="shared" si="2"/>
        <v>－</v>
      </c>
      <c r="V215" s="65">
        <f>71871120</f>
        <v>71871120</v>
      </c>
      <c r="W215" s="65" t="str">
        <f t="shared" si="3"/>
        <v>－</v>
      </c>
      <c r="X215" s="69">
        <f>16</f>
        <v>16</v>
      </c>
    </row>
    <row r="216" spans="1:24">
      <c r="A216" s="60" t="s">
        <v>931</v>
      </c>
      <c r="B216" s="60" t="s">
        <v>702</v>
      </c>
      <c r="C216" s="60" t="s">
        <v>703</v>
      </c>
      <c r="D216" s="60" t="s">
        <v>704</v>
      </c>
      <c r="E216" s="61" t="s">
        <v>46</v>
      </c>
      <c r="F216" s="62" t="s">
        <v>46</v>
      </c>
      <c r="G216" s="63" t="s">
        <v>46</v>
      </c>
      <c r="H216" s="64"/>
      <c r="I216" s="64" t="s">
        <v>629</v>
      </c>
      <c r="J216" s="65">
        <v>1</v>
      </c>
      <c r="K216" s="66">
        <f>10870</f>
        <v>10870</v>
      </c>
      <c r="L216" s="67" t="s">
        <v>857</v>
      </c>
      <c r="M216" s="66">
        <f>11540</f>
        <v>11540</v>
      </c>
      <c r="N216" s="67" t="s">
        <v>872</v>
      </c>
      <c r="O216" s="66">
        <f>10840</f>
        <v>10840</v>
      </c>
      <c r="P216" s="67" t="s">
        <v>48</v>
      </c>
      <c r="Q216" s="66">
        <f>11520</f>
        <v>11520</v>
      </c>
      <c r="R216" s="67" t="s">
        <v>872</v>
      </c>
      <c r="S216" s="68">
        <f>11066.19</f>
        <v>11066.19</v>
      </c>
      <c r="T216" s="65">
        <f>39635</f>
        <v>39635</v>
      </c>
      <c r="U216" s="65" t="str">
        <f t="shared" si="2"/>
        <v>－</v>
      </c>
      <c r="V216" s="65">
        <f>441681950</f>
        <v>441681950</v>
      </c>
      <c r="W216" s="65" t="str">
        <f t="shared" si="3"/>
        <v>－</v>
      </c>
      <c r="X216" s="69">
        <f>21</f>
        <v>21</v>
      </c>
    </row>
    <row r="217" spans="1:24">
      <c r="A217" s="60" t="s">
        <v>931</v>
      </c>
      <c r="B217" s="60" t="s">
        <v>705</v>
      </c>
      <c r="C217" s="60" t="s">
        <v>706</v>
      </c>
      <c r="D217" s="60" t="s">
        <v>707</v>
      </c>
      <c r="E217" s="61" t="s">
        <v>46</v>
      </c>
      <c r="F217" s="62" t="s">
        <v>46</v>
      </c>
      <c r="G217" s="63" t="s">
        <v>46</v>
      </c>
      <c r="H217" s="64"/>
      <c r="I217" s="64" t="s">
        <v>629</v>
      </c>
      <c r="J217" s="65">
        <v>1</v>
      </c>
      <c r="K217" s="66">
        <f>10270</f>
        <v>10270</v>
      </c>
      <c r="L217" s="67" t="s">
        <v>857</v>
      </c>
      <c r="M217" s="66">
        <f>10430</f>
        <v>10430</v>
      </c>
      <c r="N217" s="67" t="s">
        <v>872</v>
      </c>
      <c r="O217" s="66">
        <f>10140</f>
        <v>10140</v>
      </c>
      <c r="P217" s="67" t="s">
        <v>613</v>
      </c>
      <c r="Q217" s="66">
        <f>10430</f>
        <v>10430</v>
      </c>
      <c r="R217" s="67" t="s">
        <v>872</v>
      </c>
      <c r="S217" s="68">
        <f>10259.44</f>
        <v>10259.44</v>
      </c>
      <c r="T217" s="65">
        <f>10920</f>
        <v>10920</v>
      </c>
      <c r="U217" s="65" t="str">
        <f t="shared" si="2"/>
        <v>－</v>
      </c>
      <c r="V217" s="65">
        <f>111935490</f>
        <v>111935490</v>
      </c>
      <c r="W217" s="65" t="str">
        <f t="shared" si="3"/>
        <v>－</v>
      </c>
      <c r="X217" s="69">
        <f>18</f>
        <v>18</v>
      </c>
    </row>
    <row r="218" spans="1:24">
      <c r="A218" s="60" t="s">
        <v>931</v>
      </c>
      <c r="B218" s="60" t="s">
        <v>708</v>
      </c>
      <c r="C218" s="60" t="s">
        <v>709</v>
      </c>
      <c r="D218" s="60" t="s">
        <v>710</v>
      </c>
      <c r="E218" s="61" t="s">
        <v>46</v>
      </c>
      <c r="F218" s="62" t="s">
        <v>46</v>
      </c>
      <c r="G218" s="63" t="s">
        <v>46</v>
      </c>
      <c r="H218" s="64"/>
      <c r="I218" s="64" t="s">
        <v>47</v>
      </c>
      <c r="J218" s="65">
        <v>10</v>
      </c>
      <c r="K218" s="66">
        <f>1001</f>
        <v>1001</v>
      </c>
      <c r="L218" s="67" t="s">
        <v>857</v>
      </c>
      <c r="M218" s="66">
        <f>1002</f>
        <v>1002</v>
      </c>
      <c r="N218" s="67" t="s">
        <v>48</v>
      </c>
      <c r="O218" s="66">
        <f>997</f>
        <v>997</v>
      </c>
      <c r="P218" s="67" t="s">
        <v>875</v>
      </c>
      <c r="Q218" s="66">
        <f>1000</f>
        <v>1000</v>
      </c>
      <c r="R218" s="67" t="s">
        <v>872</v>
      </c>
      <c r="S218" s="68">
        <f>999.52</f>
        <v>999.52</v>
      </c>
      <c r="T218" s="65">
        <f>4600440</f>
        <v>4600440</v>
      </c>
      <c r="U218" s="65">
        <f>3836680</f>
        <v>3836680</v>
      </c>
      <c r="V218" s="65">
        <f>4602519614</f>
        <v>4602519614</v>
      </c>
      <c r="W218" s="65">
        <f>3838098484</f>
        <v>3838098484</v>
      </c>
      <c r="X218" s="69">
        <f>21</f>
        <v>21</v>
      </c>
    </row>
    <row r="219" spans="1:24">
      <c r="A219" s="60" t="s">
        <v>931</v>
      </c>
      <c r="B219" s="60" t="s">
        <v>711</v>
      </c>
      <c r="C219" s="60" t="s">
        <v>712</v>
      </c>
      <c r="D219" s="60" t="s">
        <v>713</v>
      </c>
      <c r="E219" s="61" t="s">
        <v>46</v>
      </c>
      <c r="F219" s="62" t="s">
        <v>46</v>
      </c>
      <c r="G219" s="63" t="s">
        <v>46</v>
      </c>
      <c r="H219" s="64"/>
      <c r="I219" s="64" t="s">
        <v>47</v>
      </c>
      <c r="J219" s="65">
        <v>10</v>
      </c>
      <c r="K219" s="66">
        <f>1030</f>
        <v>1030</v>
      </c>
      <c r="L219" s="67" t="s">
        <v>857</v>
      </c>
      <c r="M219" s="66">
        <f>1036</f>
        <v>1036</v>
      </c>
      <c r="N219" s="67" t="s">
        <v>77</v>
      </c>
      <c r="O219" s="66">
        <f>1020</f>
        <v>1020</v>
      </c>
      <c r="P219" s="67" t="s">
        <v>874</v>
      </c>
      <c r="Q219" s="66">
        <f>1029</f>
        <v>1029</v>
      </c>
      <c r="R219" s="67" t="s">
        <v>872</v>
      </c>
      <c r="S219" s="68">
        <f>1027</f>
        <v>1027</v>
      </c>
      <c r="T219" s="65">
        <f>3463730</f>
        <v>3463730</v>
      </c>
      <c r="U219" s="65">
        <f>2300760</f>
        <v>2300760</v>
      </c>
      <c r="V219" s="65">
        <f>3547352287</f>
        <v>3547352287</v>
      </c>
      <c r="W219" s="65">
        <f>2353642807</f>
        <v>2353642807</v>
      </c>
      <c r="X219" s="69">
        <f>21</f>
        <v>21</v>
      </c>
    </row>
    <row r="220" spans="1:24">
      <c r="A220" s="60" t="s">
        <v>931</v>
      </c>
      <c r="B220" s="60" t="s">
        <v>714</v>
      </c>
      <c r="C220" s="60" t="s">
        <v>715</v>
      </c>
      <c r="D220" s="60" t="s">
        <v>716</v>
      </c>
      <c r="E220" s="61" t="s">
        <v>46</v>
      </c>
      <c r="F220" s="62" t="s">
        <v>46</v>
      </c>
      <c r="G220" s="63" t="s">
        <v>46</v>
      </c>
      <c r="H220" s="64"/>
      <c r="I220" s="64" t="s">
        <v>47</v>
      </c>
      <c r="J220" s="65">
        <v>10</v>
      </c>
      <c r="K220" s="66">
        <f>1038</f>
        <v>1038</v>
      </c>
      <c r="L220" s="67" t="s">
        <v>857</v>
      </c>
      <c r="M220" s="66">
        <f>1041</f>
        <v>1041</v>
      </c>
      <c r="N220" s="67" t="s">
        <v>858</v>
      </c>
      <c r="O220" s="66">
        <f>1032</f>
        <v>1032</v>
      </c>
      <c r="P220" s="67" t="s">
        <v>240</v>
      </c>
      <c r="Q220" s="66">
        <f>1037</f>
        <v>1037</v>
      </c>
      <c r="R220" s="67" t="s">
        <v>872</v>
      </c>
      <c r="S220" s="68">
        <f>1037.52</f>
        <v>1037.52</v>
      </c>
      <c r="T220" s="65">
        <f>13019360</f>
        <v>13019360</v>
      </c>
      <c r="U220" s="65">
        <f>11766260</f>
        <v>11766260</v>
      </c>
      <c r="V220" s="65">
        <f>13519920327</f>
        <v>13519920327</v>
      </c>
      <c r="W220" s="65">
        <f>12220490907</f>
        <v>12220490907</v>
      </c>
      <c r="X220" s="69">
        <f>21</f>
        <v>21</v>
      </c>
    </row>
    <row r="221" spans="1:24">
      <c r="A221" s="60" t="s">
        <v>931</v>
      </c>
      <c r="B221" s="60" t="s">
        <v>717</v>
      </c>
      <c r="C221" s="60" t="s">
        <v>718</v>
      </c>
      <c r="D221" s="60" t="s">
        <v>719</v>
      </c>
      <c r="E221" s="61" t="s">
        <v>46</v>
      </c>
      <c r="F221" s="62" t="s">
        <v>46</v>
      </c>
      <c r="G221" s="63" t="s">
        <v>46</v>
      </c>
      <c r="H221" s="64"/>
      <c r="I221" s="64" t="s">
        <v>47</v>
      </c>
      <c r="J221" s="65">
        <v>10</v>
      </c>
      <c r="K221" s="66">
        <f>1534</f>
        <v>1534</v>
      </c>
      <c r="L221" s="67" t="s">
        <v>857</v>
      </c>
      <c r="M221" s="66">
        <f>1573</f>
        <v>1573</v>
      </c>
      <c r="N221" s="67" t="s">
        <v>872</v>
      </c>
      <c r="O221" s="66">
        <f>1518</f>
        <v>1518</v>
      </c>
      <c r="P221" s="67" t="s">
        <v>858</v>
      </c>
      <c r="Q221" s="66">
        <f>1572</f>
        <v>1572</v>
      </c>
      <c r="R221" s="67" t="s">
        <v>872</v>
      </c>
      <c r="S221" s="68">
        <f>1544.86</f>
        <v>1544.86</v>
      </c>
      <c r="T221" s="65">
        <f>3153640</f>
        <v>3153640</v>
      </c>
      <c r="U221" s="65">
        <f>1853840</f>
        <v>1853840</v>
      </c>
      <c r="V221" s="65">
        <f>4854444830</f>
        <v>4854444830</v>
      </c>
      <c r="W221" s="65">
        <f>2854789710</f>
        <v>2854789710</v>
      </c>
      <c r="X221" s="69">
        <f>21</f>
        <v>21</v>
      </c>
    </row>
    <row r="222" spans="1:24">
      <c r="A222" s="60" t="s">
        <v>931</v>
      </c>
      <c r="B222" s="60" t="s">
        <v>720</v>
      </c>
      <c r="C222" s="60" t="s">
        <v>721</v>
      </c>
      <c r="D222" s="60" t="s">
        <v>722</v>
      </c>
      <c r="E222" s="61" t="s">
        <v>46</v>
      </c>
      <c r="F222" s="62" t="s">
        <v>46</v>
      </c>
      <c r="G222" s="63" t="s">
        <v>46</v>
      </c>
      <c r="H222" s="64"/>
      <c r="I222" s="64" t="s">
        <v>47</v>
      </c>
      <c r="J222" s="65">
        <v>10</v>
      </c>
      <c r="K222" s="66">
        <f>1511</f>
        <v>1511</v>
      </c>
      <c r="L222" s="67" t="s">
        <v>857</v>
      </c>
      <c r="M222" s="66">
        <f>1556</f>
        <v>1556</v>
      </c>
      <c r="N222" s="67" t="s">
        <v>872</v>
      </c>
      <c r="O222" s="66">
        <f>1508</f>
        <v>1508</v>
      </c>
      <c r="P222" s="67" t="s">
        <v>858</v>
      </c>
      <c r="Q222" s="66">
        <f>1556</f>
        <v>1556</v>
      </c>
      <c r="R222" s="67" t="s">
        <v>872</v>
      </c>
      <c r="S222" s="68">
        <f>1530.19</f>
        <v>1530.19</v>
      </c>
      <c r="T222" s="65">
        <f>404760</f>
        <v>404760</v>
      </c>
      <c r="U222" s="65">
        <f>30</f>
        <v>30</v>
      </c>
      <c r="V222" s="65">
        <f>620221630</f>
        <v>620221630</v>
      </c>
      <c r="W222" s="65">
        <f>45650</f>
        <v>45650</v>
      </c>
      <c r="X222" s="69">
        <f>21</f>
        <v>21</v>
      </c>
    </row>
    <row r="223" spans="1:24">
      <c r="A223" s="60" t="s">
        <v>931</v>
      </c>
      <c r="B223" s="60" t="s">
        <v>723</v>
      </c>
      <c r="C223" s="60" t="s">
        <v>724</v>
      </c>
      <c r="D223" s="60" t="s">
        <v>725</v>
      </c>
      <c r="E223" s="61" t="s">
        <v>46</v>
      </c>
      <c r="F223" s="62" t="s">
        <v>46</v>
      </c>
      <c r="G223" s="63" t="s">
        <v>46</v>
      </c>
      <c r="H223" s="64"/>
      <c r="I223" s="64" t="s">
        <v>47</v>
      </c>
      <c r="J223" s="65">
        <v>10</v>
      </c>
      <c r="K223" s="66">
        <f>1175</f>
        <v>1175</v>
      </c>
      <c r="L223" s="67" t="s">
        <v>857</v>
      </c>
      <c r="M223" s="66">
        <f>1195</f>
        <v>1195</v>
      </c>
      <c r="N223" s="67" t="s">
        <v>872</v>
      </c>
      <c r="O223" s="66">
        <f>1159</f>
        <v>1159</v>
      </c>
      <c r="P223" s="67" t="s">
        <v>48</v>
      </c>
      <c r="Q223" s="66">
        <f>1193</f>
        <v>1193</v>
      </c>
      <c r="R223" s="67" t="s">
        <v>872</v>
      </c>
      <c r="S223" s="68">
        <f>1173.05</f>
        <v>1173.05</v>
      </c>
      <c r="T223" s="65">
        <f>871690</f>
        <v>871690</v>
      </c>
      <c r="U223" s="65">
        <f>619820</f>
        <v>619820</v>
      </c>
      <c r="V223" s="65">
        <f>1021132777</f>
        <v>1021132777</v>
      </c>
      <c r="W223" s="65">
        <f>725997867</f>
        <v>725997867</v>
      </c>
      <c r="X223" s="69">
        <f>21</f>
        <v>21</v>
      </c>
    </row>
    <row r="224" spans="1:24">
      <c r="A224" s="60" t="s">
        <v>931</v>
      </c>
      <c r="B224" s="60" t="s">
        <v>726</v>
      </c>
      <c r="C224" s="60" t="s">
        <v>727</v>
      </c>
      <c r="D224" s="60" t="s">
        <v>728</v>
      </c>
      <c r="E224" s="61" t="s">
        <v>46</v>
      </c>
      <c r="F224" s="62" t="s">
        <v>46</v>
      </c>
      <c r="G224" s="63" t="s">
        <v>46</v>
      </c>
      <c r="H224" s="64"/>
      <c r="I224" s="64" t="s">
        <v>47</v>
      </c>
      <c r="J224" s="65">
        <v>10</v>
      </c>
      <c r="K224" s="66">
        <f>846</f>
        <v>846</v>
      </c>
      <c r="L224" s="67" t="s">
        <v>857</v>
      </c>
      <c r="M224" s="66">
        <f>866</f>
        <v>866</v>
      </c>
      <c r="N224" s="67" t="s">
        <v>872</v>
      </c>
      <c r="O224" s="66">
        <f>771</f>
        <v>771</v>
      </c>
      <c r="P224" s="67" t="s">
        <v>100</v>
      </c>
      <c r="Q224" s="66">
        <f>860</f>
        <v>860</v>
      </c>
      <c r="R224" s="67" t="s">
        <v>872</v>
      </c>
      <c r="S224" s="68">
        <f>825.24</f>
        <v>825.24</v>
      </c>
      <c r="T224" s="65">
        <f>22059950</f>
        <v>22059950</v>
      </c>
      <c r="U224" s="65">
        <f>99460</f>
        <v>99460</v>
      </c>
      <c r="V224" s="65">
        <f>18109993103</f>
        <v>18109993103</v>
      </c>
      <c r="W224" s="65">
        <f>81502093</f>
        <v>81502093</v>
      </c>
      <c r="X224" s="69">
        <f>21</f>
        <v>21</v>
      </c>
    </row>
    <row r="225" spans="1:24">
      <c r="A225" s="60" t="s">
        <v>931</v>
      </c>
      <c r="B225" s="60" t="s">
        <v>729</v>
      </c>
      <c r="C225" s="60" t="s">
        <v>730</v>
      </c>
      <c r="D225" s="60" t="s">
        <v>731</v>
      </c>
      <c r="E225" s="61" t="s">
        <v>46</v>
      </c>
      <c r="F225" s="62" t="s">
        <v>46</v>
      </c>
      <c r="G225" s="63" t="s">
        <v>46</v>
      </c>
      <c r="H225" s="64"/>
      <c r="I225" s="64" t="s">
        <v>47</v>
      </c>
      <c r="J225" s="65">
        <v>10</v>
      </c>
      <c r="K225" s="66">
        <f>1280</f>
        <v>1280</v>
      </c>
      <c r="L225" s="67" t="s">
        <v>857</v>
      </c>
      <c r="M225" s="66">
        <f>1283</f>
        <v>1283</v>
      </c>
      <c r="N225" s="67" t="s">
        <v>84</v>
      </c>
      <c r="O225" s="66">
        <f>1208</f>
        <v>1208</v>
      </c>
      <c r="P225" s="67" t="s">
        <v>240</v>
      </c>
      <c r="Q225" s="66">
        <f>1256</f>
        <v>1256</v>
      </c>
      <c r="R225" s="67" t="s">
        <v>872</v>
      </c>
      <c r="S225" s="68">
        <f>1246.1</f>
        <v>1246.0999999999999</v>
      </c>
      <c r="T225" s="65">
        <f>763570</f>
        <v>763570</v>
      </c>
      <c r="U225" s="65">
        <f>389920</f>
        <v>389920</v>
      </c>
      <c r="V225" s="65">
        <f>949333882</f>
        <v>949333882</v>
      </c>
      <c r="W225" s="65">
        <f>484989042</f>
        <v>484989042</v>
      </c>
      <c r="X225" s="69">
        <f>21</f>
        <v>21</v>
      </c>
    </row>
    <row r="226" spans="1:24">
      <c r="A226" s="60" t="s">
        <v>931</v>
      </c>
      <c r="B226" s="60" t="s">
        <v>732</v>
      </c>
      <c r="C226" s="60" t="s">
        <v>733</v>
      </c>
      <c r="D226" s="60" t="s">
        <v>734</v>
      </c>
      <c r="E226" s="61" t="s">
        <v>46</v>
      </c>
      <c r="F226" s="62" t="s">
        <v>46</v>
      </c>
      <c r="G226" s="63" t="s">
        <v>46</v>
      </c>
      <c r="H226" s="64"/>
      <c r="I226" s="64" t="s">
        <v>47</v>
      </c>
      <c r="J226" s="65">
        <v>1</v>
      </c>
      <c r="K226" s="66">
        <f>1103</f>
        <v>1103</v>
      </c>
      <c r="L226" s="67" t="s">
        <v>857</v>
      </c>
      <c r="M226" s="66">
        <f>1140</f>
        <v>1140</v>
      </c>
      <c r="N226" s="67" t="s">
        <v>872</v>
      </c>
      <c r="O226" s="66">
        <f>1092</f>
        <v>1092</v>
      </c>
      <c r="P226" s="67" t="s">
        <v>371</v>
      </c>
      <c r="Q226" s="66">
        <f>1140</f>
        <v>1140</v>
      </c>
      <c r="R226" s="67" t="s">
        <v>872</v>
      </c>
      <c r="S226" s="68">
        <f>1113.52</f>
        <v>1113.52</v>
      </c>
      <c r="T226" s="65">
        <f>3059</f>
        <v>3059</v>
      </c>
      <c r="U226" s="65">
        <f>1</f>
        <v>1</v>
      </c>
      <c r="V226" s="65">
        <f>3408973</f>
        <v>3408973</v>
      </c>
      <c r="W226" s="65">
        <f>1110</f>
        <v>1110</v>
      </c>
      <c r="X226" s="69">
        <f>21</f>
        <v>21</v>
      </c>
    </row>
    <row r="227" spans="1:24">
      <c r="A227" s="60" t="s">
        <v>931</v>
      </c>
      <c r="B227" s="60" t="s">
        <v>735</v>
      </c>
      <c r="C227" s="60" t="s">
        <v>736</v>
      </c>
      <c r="D227" s="60" t="s">
        <v>737</v>
      </c>
      <c r="E227" s="61" t="s">
        <v>46</v>
      </c>
      <c r="F227" s="62" t="s">
        <v>46</v>
      </c>
      <c r="G227" s="63" t="s">
        <v>46</v>
      </c>
      <c r="H227" s="64"/>
      <c r="I227" s="64" t="s">
        <v>47</v>
      </c>
      <c r="J227" s="65">
        <v>10</v>
      </c>
      <c r="K227" s="66">
        <f>1050</f>
        <v>1050</v>
      </c>
      <c r="L227" s="67" t="s">
        <v>857</v>
      </c>
      <c r="M227" s="66">
        <f>1070</f>
        <v>1070</v>
      </c>
      <c r="N227" s="67" t="s">
        <v>872</v>
      </c>
      <c r="O227" s="66">
        <f>1050</f>
        <v>1050</v>
      </c>
      <c r="P227" s="67" t="s">
        <v>857</v>
      </c>
      <c r="Q227" s="66">
        <f>1066</f>
        <v>1066</v>
      </c>
      <c r="R227" s="67" t="s">
        <v>872</v>
      </c>
      <c r="S227" s="68">
        <f>1060.05</f>
        <v>1060.05</v>
      </c>
      <c r="T227" s="65">
        <f>250620</f>
        <v>250620</v>
      </c>
      <c r="U227" s="65">
        <f>157110</f>
        <v>157110</v>
      </c>
      <c r="V227" s="65">
        <f>265283266</f>
        <v>265283266</v>
      </c>
      <c r="W227" s="65">
        <f>166245766</f>
        <v>166245766</v>
      </c>
      <c r="X227" s="69">
        <f>21</f>
        <v>21</v>
      </c>
    </row>
    <row r="228" spans="1:24">
      <c r="A228" s="60" t="s">
        <v>931</v>
      </c>
      <c r="B228" s="60" t="s">
        <v>738</v>
      </c>
      <c r="C228" s="60" t="s">
        <v>739</v>
      </c>
      <c r="D228" s="60" t="s">
        <v>740</v>
      </c>
      <c r="E228" s="61" t="s">
        <v>46</v>
      </c>
      <c r="F228" s="62" t="s">
        <v>46</v>
      </c>
      <c r="G228" s="63" t="s">
        <v>46</v>
      </c>
      <c r="H228" s="64"/>
      <c r="I228" s="64" t="s">
        <v>47</v>
      </c>
      <c r="J228" s="65">
        <v>10</v>
      </c>
      <c r="K228" s="66">
        <f>1228</f>
        <v>1228</v>
      </c>
      <c r="L228" s="67" t="s">
        <v>857</v>
      </c>
      <c r="M228" s="66">
        <f>1252</f>
        <v>1252</v>
      </c>
      <c r="N228" s="67" t="s">
        <v>875</v>
      </c>
      <c r="O228" s="66">
        <f>1157</f>
        <v>1157</v>
      </c>
      <c r="P228" s="67" t="s">
        <v>371</v>
      </c>
      <c r="Q228" s="66">
        <f>1235</f>
        <v>1235</v>
      </c>
      <c r="R228" s="67" t="s">
        <v>872</v>
      </c>
      <c r="S228" s="68">
        <f>1217.95</f>
        <v>1217.95</v>
      </c>
      <c r="T228" s="65">
        <f>198450</f>
        <v>198450</v>
      </c>
      <c r="U228" s="65">
        <f>110940</f>
        <v>110940</v>
      </c>
      <c r="V228" s="65">
        <f>240810697</f>
        <v>240810697</v>
      </c>
      <c r="W228" s="65">
        <f>134621297</f>
        <v>134621297</v>
      </c>
      <c r="X228" s="69">
        <f>21</f>
        <v>21</v>
      </c>
    </row>
    <row r="229" spans="1:24">
      <c r="A229" s="60" t="s">
        <v>931</v>
      </c>
      <c r="B229" s="60" t="s">
        <v>741</v>
      </c>
      <c r="C229" s="60" t="s">
        <v>742</v>
      </c>
      <c r="D229" s="60" t="s">
        <v>743</v>
      </c>
      <c r="E229" s="61" t="s">
        <v>46</v>
      </c>
      <c r="F229" s="62" t="s">
        <v>46</v>
      </c>
      <c r="G229" s="63" t="s">
        <v>46</v>
      </c>
      <c r="H229" s="64"/>
      <c r="I229" s="64" t="s">
        <v>47</v>
      </c>
      <c r="J229" s="65">
        <v>10</v>
      </c>
      <c r="K229" s="66">
        <f>1541</f>
        <v>1541</v>
      </c>
      <c r="L229" s="67" t="s">
        <v>857</v>
      </c>
      <c r="M229" s="66">
        <f>1587</f>
        <v>1587</v>
      </c>
      <c r="N229" s="67" t="s">
        <v>872</v>
      </c>
      <c r="O229" s="66">
        <f>1531</f>
        <v>1531</v>
      </c>
      <c r="P229" s="67" t="s">
        <v>858</v>
      </c>
      <c r="Q229" s="66">
        <f>1587</f>
        <v>1587</v>
      </c>
      <c r="R229" s="67" t="s">
        <v>872</v>
      </c>
      <c r="S229" s="68">
        <f>1553.33</f>
        <v>1553.33</v>
      </c>
      <c r="T229" s="65">
        <f>9869500</f>
        <v>9869500</v>
      </c>
      <c r="U229" s="65">
        <f>2828500</f>
        <v>2828500</v>
      </c>
      <c r="V229" s="65">
        <f>15313729694</f>
        <v>15313729694</v>
      </c>
      <c r="W229" s="65">
        <f>4389337974</f>
        <v>4389337974</v>
      </c>
      <c r="X229" s="69">
        <f>21</f>
        <v>21</v>
      </c>
    </row>
    <row r="230" spans="1:24">
      <c r="A230" s="60" t="s">
        <v>931</v>
      </c>
      <c r="B230" s="60" t="s">
        <v>744</v>
      </c>
      <c r="C230" s="60" t="s">
        <v>745</v>
      </c>
      <c r="D230" s="60" t="s">
        <v>746</v>
      </c>
      <c r="E230" s="61" t="s">
        <v>46</v>
      </c>
      <c r="F230" s="62" t="s">
        <v>46</v>
      </c>
      <c r="G230" s="63" t="s">
        <v>46</v>
      </c>
      <c r="H230" s="64"/>
      <c r="I230" s="64" t="s">
        <v>47</v>
      </c>
      <c r="J230" s="65">
        <v>1</v>
      </c>
      <c r="K230" s="66">
        <f>3870</f>
        <v>3870</v>
      </c>
      <c r="L230" s="67" t="s">
        <v>857</v>
      </c>
      <c r="M230" s="66">
        <f>4040</f>
        <v>4040</v>
      </c>
      <c r="N230" s="67" t="s">
        <v>872</v>
      </c>
      <c r="O230" s="66">
        <f>3790</f>
        <v>3790</v>
      </c>
      <c r="P230" s="67" t="s">
        <v>371</v>
      </c>
      <c r="Q230" s="66">
        <f>4035</f>
        <v>4035</v>
      </c>
      <c r="R230" s="67" t="s">
        <v>872</v>
      </c>
      <c r="S230" s="68">
        <f>3922.14</f>
        <v>3922.14</v>
      </c>
      <c r="T230" s="65">
        <f>34391</f>
        <v>34391</v>
      </c>
      <c r="U230" s="65" t="str">
        <f>"－"</f>
        <v>－</v>
      </c>
      <c r="V230" s="65">
        <f>135389705</f>
        <v>135389705</v>
      </c>
      <c r="W230" s="65" t="str">
        <f>"－"</f>
        <v>－</v>
      </c>
      <c r="X230" s="69">
        <f>21</f>
        <v>21</v>
      </c>
    </row>
    <row r="231" spans="1:24">
      <c r="A231" s="60" t="s">
        <v>931</v>
      </c>
      <c r="B231" s="60" t="s">
        <v>747</v>
      </c>
      <c r="C231" s="60" t="s">
        <v>748</v>
      </c>
      <c r="D231" s="60" t="s">
        <v>749</v>
      </c>
      <c r="E231" s="61" t="s">
        <v>46</v>
      </c>
      <c r="F231" s="62" t="s">
        <v>46</v>
      </c>
      <c r="G231" s="63" t="s">
        <v>46</v>
      </c>
      <c r="H231" s="64"/>
      <c r="I231" s="64" t="s">
        <v>47</v>
      </c>
      <c r="J231" s="65">
        <v>10</v>
      </c>
      <c r="K231" s="66">
        <f>1645</f>
        <v>1645</v>
      </c>
      <c r="L231" s="67" t="s">
        <v>858</v>
      </c>
      <c r="M231" s="66">
        <f>1657</f>
        <v>1657</v>
      </c>
      <c r="N231" s="67" t="s">
        <v>873</v>
      </c>
      <c r="O231" s="66">
        <f>1564</f>
        <v>1564</v>
      </c>
      <c r="P231" s="67" t="s">
        <v>84</v>
      </c>
      <c r="Q231" s="66">
        <f>1629</f>
        <v>1629</v>
      </c>
      <c r="R231" s="67" t="s">
        <v>872</v>
      </c>
      <c r="S231" s="68">
        <f>1625.26</f>
        <v>1625.26</v>
      </c>
      <c r="T231" s="65">
        <f>17750</f>
        <v>17750</v>
      </c>
      <c r="U231" s="65">
        <f>20</f>
        <v>20</v>
      </c>
      <c r="V231" s="65">
        <f>28594900</f>
        <v>28594900</v>
      </c>
      <c r="W231" s="65">
        <f>32350</f>
        <v>32350</v>
      </c>
      <c r="X231" s="69">
        <f>19</f>
        <v>19</v>
      </c>
    </row>
    <row r="232" spans="1:24">
      <c r="A232" s="60" t="s">
        <v>931</v>
      </c>
      <c r="B232" s="60" t="s">
        <v>750</v>
      </c>
      <c r="C232" s="60" t="s">
        <v>751</v>
      </c>
      <c r="D232" s="60" t="s">
        <v>752</v>
      </c>
      <c r="E232" s="61" t="s">
        <v>46</v>
      </c>
      <c r="F232" s="62" t="s">
        <v>46</v>
      </c>
      <c r="G232" s="63" t="s">
        <v>46</v>
      </c>
      <c r="H232" s="64"/>
      <c r="I232" s="64" t="s">
        <v>47</v>
      </c>
      <c r="J232" s="65">
        <v>10</v>
      </c>
      <c r="K232" s="66">
        <f>1965</f>
        <v>1965</v>
      </c>
      <c r="L232" s="67" t="s">
        <v>857</v>
      </c>
      <c r="M232" s="66">
        <f>2001</f>
        <v>2001</v>
      </c>
      <c r="N232" s="67" t="s">
        <v>875</v>
      </c>
      <c r="O232" s="66">
        <f>1922</f>
        <v>1922</v>
      </c>
      <c r="P232" s="67" t="s">
        <v>874</v>
      </c>
      <c r="Q232" s="66">
        <f>1965</f>
        <v>1965</v>
      </c>
      <c r="R232" s="67" t="s">
        <v>872</v>
      </c>
      <c r="S232" s="68">
        <f>1965.4</f>
        <v>1965.4</v>
      </c>
      <c r="T232" s="65">
        <f>3420</f>
        <v>3420</v>
      </c>
      <c r="U232" s="65" t="str">
        <f>"－"</f>
        <v>－</v>
      </c>
      <c r="V232" s="65">
        <f>6802480</f>
        <v>6802480</v>
      </c>
      <c r="W232" s="65" t="str">
        <f>"－"</f>
        <v>－</v>
      </c>
      <c r="X232" s="69">
        <f>15</f>
        <v>15</v>
      </c>
    </row>
    <row r="233" spans="1:24">
      <c r="A233" s="60" t="s">
        <v>931</v>
      </c>
      <c r="B233" s="60" t="s">
        <v>753</v>
      </c>
      <c r="C233" s="60" t="s">
        <v>754</v>
      </c>
      <c r="D233" s="60" t="s">
        <v>755</v>
      </c>
      <c r="E233" s="61" t="s">
        <v>46</v>
      </c>
      <c r="F233" s="62" t="s">
        <v>46</v>
      </c>
      <c r="G233" s="63" t="s">
        <v>46</v>
      </c>
      <c r="H233" s="64"/>
      <c r="I233" s="64" t="s">
        <v>47</v>
      </c>
      <c r="J233" s="65">
        <v>1</v>
      </c>
      <c r="K233" s="66">
        <f>27990</f>
        <v>27990</v>
      </c>
      <c r="L233" s="67" t="s">
        <v>857</v>
      </c>
      <c r="M233" s="66">
        <f>28460</f>
        <v>28460</v>
      </c>
      <c r="N233" s="67" t="s">
        <v>875</v>
      </c>
      <c r="O233" s="66">
        <f>27140</f>
        <v>27140</v>
      </c>
      <c r="P233" s="67" t="s">
        <v>371</v>
      </c>
      <c r="Q233" s="66">
        <f>27850</f>
        <v>27850</v>
      </c>
      <c r="R233" s="67" t="s">
        <v>872</v>
      </c>
      <c r="S233" s="68">
        <f>27943.33</f>
        <v>27943.33</v>
      </c>
      <c r="T233" s="65">
        <f>127751</f>
        <v>127751</v>
      </c>
      <c r="U233" s="65">
        <f>108000</f>
        <v>108000</v>
      </c>
      <c r="V233" s="65">
        <f>3518882920</f>
        <v>3518882920</v>
      </c>
      <c r="W233" s="65">
        <f>2967036000</f>
        <v>2967036000</v>
      </c>
      <c r="X233" s="69">
        <f>18</f>
        <v>18</v>
      </c>
    </row>
    <row r="234" spans="1:24">
      <c r="A234" s="60" t="s">
        <v>931</v>
      </c>
      <c r="B234" s="60" t="s">
        <v>756</v>
      </c>
      <c r="C234" s="60" t="s">
        <v>757</v>
      </c>
      <c r="D234" s="60" t="s">
        <v>758</v>
      </c>
      <c r="E234" s="61" t="s">
        <v>46</v>
      </c>
      <c r="F234" s="62" t="s">
        <v>46</v>
      </c>
      <c r="G234" s="63" t="s">
        <v>46</v>
      </c>
      <c r="H234" s="64"/>
      <c r="I234" s="64" t="s">
        <v>47</v>
      </c>
      <c r="J234" s="65">
        <v>1</v>
      </c>
      <c r="K234" s="66">
        <f>17540</f>
        <v>17540</v>
      </c>
      <c r="L234" s="67" t="s">
        <v>857</v>
      </c>
      <c r="M234" s="66">
        <f>17900</f>
        <v>17900</v>
      </c>
      <c r="N234" s="67" t="s">
        <v>875</v>
      </c>
      <c r="O234" s="66">
        <f>17330</f>
        <v>17330</v>
      </c>
      <c r="P234" s="67" t="s">
        <v>613</v>
      </c>
      <c r="Q234" s="66">
        <f>17590</f>
        <v>17590</v>
      </c>
      <c r="R234" s="67" t="s">
        <v>872</v>
      </c>
      <c r="S234" s="68">
        <f>17611.33</f>
        <v>17611.330000000002</v>
      </c>
      <c r="T234" s="65">
        <f>29160</f>
        <v>29160</v>
      </c>
      <c r="U234" s="65" t="str">
        <f>"－"</f>
        <v>－</v>
      </c>
      <c r="V234" s="65">
        <f>513489150</f>
        <v>513489150</v>
      </c>
      <c r="W234" s="65" t="str">
        <f>"－"</f>
        <v>－</v>
      </c>
      <c r="X234" s="69">
        <f>15</f>
        <v>15</v>
      </c>
    </row>
    <row r="235" spans="1:24">
      <c r="A235" s="60" t="s">
        <v>931</v>
      </c>
      <c r="B235" s="60" t="s">
        <v>759</v>
      </c>
      <c r="C235" s="60" t="s">
        <v>760</v>
      </c>
      <c r="D235" s="60" t="s">
        <v>761</v>
      </c>
      <c r="E235" s="61" t="s">
        <v>46</v>
      </c>
      <c r="F235" s="62" t="s">
        <v>46</v>
      </c>
      <c r="G235" s="63" t="s">
        <v>46</v>
      </c>
      <c r="H235" s="64"/>
      <c r="I235" s="64" t="s">
        <v>47</v>
      </c>
      <c r="J235" s="65">
        <v>10</v>
      </c>
      <c r="K235" s="66">
        <f>1271</f>
        <v>1271</v>
      </c>
      <c r="L235" s="67" t="s">
        <v>857</v>
      </c>
      <c r="M235" s="66">
        <f>1271</f>
        <v>1271</v>
      </c>
      <c r="N235" s="67" t="s">
        <v>857</v>
      </c>
      <c r="O235" s="66">
        <f>1248</f>
        <v>1248</v>
      </c>
      <c r="P235" s="67" t="s">
        <v>100</v>
      </c>
      <c r="Q235" s="66">
        <f>1256</f>
        <v>1256</v>
      </c>
      <c r="R235" s="67" t="s">
        <v>73</v>
      </c>
      <c r="S235" s="68">
        <f>1256.63</f>
        <v>1256.6300000000001</v>
      </c>
      <c r="T235" s="65">
        <f>56950</f>
        <v>56950</v>
      </c>
      <c r="U235" s="65">
        <f>10</f>
        <v>10</v>
      </c>
      <c r="V235" s="65">
        <f>71588630</f>
        <v>71588630</v>
      </c>
      <c r="W235" s="65">
        <f>12560</f>
        <v>12560</v>
      </c>
      <c r="X235" s="69">
        <f>8</f>
        <v>8</v>
      </c>
    </row>
    <row r="236" spans="1:24">
      <c r="A236" s="60" t="s">
        <v>931</v>
      </c>
      <c r="B236" s="60" t="s">
        <v>762</v>
      </c>
      <c r="C236" s="60" t="s">
        <v>763</v>
      </c>
      <c r="D236" s="60" t="s">
        <v>764</v>
      </c>
      <c r="E236" s="61" t="s">
        <v>46</v>
      </c>
      <c r="F236" s="62" t="s">
        <v>46</v>
      </c>
      <c r="G236" s="63" t="s">
        <v>46</v>
      </c>
      <c r="H236" s="64"/>
      <c r="I236" s="64" t="s">
        <v>47</v>
      </c>
      <c r="J236" s="65">
        <v>10</v>
      </c>
      <c r="K236" s="66">
        <f>1271</f>
        <v>1271</v>
      </c>
      <c r="L236" s="67" t="s">
        <v>857</v>
      </c>
      <c r="M236" s="66">
        <f>1279</f>
        <v>1279</v>
      </c>
      <c r="N236" s="67" t="s">
        <v>84</v>
      </c>
      <c r="O236" s="66">
        <f>1221</f>
        <v>1221</v>
      </c>
      <c r="P236" s="67" t="s">
        <v>176</v>
      </c>
      <c r="Q236" s="66">
        <f>1262</f>
        <v>1262</v>
      </c>
      <c r="R236" s="67" t="s">
        <v>872</v>
      </c>
      <c r="S236" s="68">
        <f>1251.62</f>
        <v>1251.6199999999999</v>
      </c>
      <c r="T236" s="65">
        <f>69230</f>
        <v>69230</v>
      </c>
      <c r="U236" s="65" t="str">
        <f>"－"</f>
        <v>－</v>
      </c>
      <c r="V236" s="65">
        <f>86451930</f>
        <v>86451930</v>
      </c>
      <c r="W236" s="65" t="str">
        <f>"－"</f>
        <v>－</v>
      </c>
      <c r="X236" s="69">
        <f>21</f>
        <v>21</v>
      </c>
    </row>
    <row r="237" spans="1:24">
      <c r="A237" s="60" t="s">
        <v>931</v>
      </c>
      <c r="B237" s="60" t="s">
        <v>765</v>
      </c>
      <c r="C237" s="60" t="s">
        <v>766</v>
      </c>
      <c r="D237" s="60" t="s">
        <v>767</v>
      </c>
      <c r="E237" s="61" t="s">
        <v>46</v>
      </c>
      <c r="F237" s="62" t="s">
        <v>46</v>
      </c>
      <c r="G237" s="63" t="s">
        <v>46</v>
      </c>
      <c r="H237" s="64"/>
      <c r="I237" s="64" t="s">
        <v>47</v>
      </c>
      <c r="J237" s="65">
        <v>1</v>
      </c>
      <c r="K237" s="66">
        <f>1087</f>
        <v>1087</v>
      </c>
      <c r="L237" s="67" t="s">
        <v>857</v>
      </c>
      <c r="M237" s="66">
        <f>1125</f>
        <v>1125</v>
      </c>
      <c r="N237" s="67" t="s">
        <v>92</v>
      </c>
      <c r="O237" s="66">
        <f>1063</f>
        <v>1063</v>
      </c>
      <c r="P237" s="67" t="s">
        <v>371</v>
      </c>
      <c r="Q237" s="66">
        <f>1101</f>
        <v>1101</v>
      </c>
      <c r="R237" s="67" t="s">
        <v>872</v>
      </c>
      <c r="S237" s="68">
        <f>1094.67</f>
        <v>1094.67</v>
      </c>
      <c r="T237" s="65">
        <f>33613</f>
        <v>33613</v>
      </c>
      <c r="U237" s="65" t="str">
        <f>"－"</f>
        <v>－</v>
      </c>
      <c r="V237" s="65">
        <f>36745120</f>
        <v>36745120</v>
      </c>
      <c r="W237" s="65" t="str">
        <f>"－"</f>
        <v>－</v>
      </c>
      <c r="X237" s="69">
        <f>21</f>
        <v>21</v>
      </c>
    </row>
    <row r="238" spans="1:24">
      <c r="A238" s="60" t="s">
        <v>931</v>
      </c>
      <c r="B238" s="60" t="s">
        <v>768</v>
      </c>
      <c r="C238" s="60" t="s">
        <v>769</v>
      </c>
      <c r="D238" s="60" t="s">
        <v>770</v>
      </c>
      <c r="E238" s="61" t="s">
        <v>46</v>
      </c>
      <c r="F238" s="62" t="s">
        <v>46</v>
      </c>
      <c r="G238" s="63" t="s">
        <v>46</v>
      </c>
      <c r="H238" s="64"/>
      <c r="I238" s="64" t="s">
        <v>47</v>
      </c>
      <c r="J238" s="65">
        <v>1</v>
      </c>
      <c r="K238" s="66">
        <f>12970</f>
        <v>12970</v>
      </c>
      <c r="L238" s="67" t="s">
        <v>857</v>
      </c>
      <c r="M238" s="66">
        <f>13480</f>
        <v>13480</v>
      </c>
      <c r="N238" s="67" t="s">
        <v>860</v>
      </c>
      <c r="O238" s="66">
        <f>12700</f>
        <v>12700</v>
      </c>
      <c r="P238" s="67" t="s">
        <v>857</v>
      </c>
      <c r="Q238" s="66">
        <f>13120</f>
        <v>13120</v>
      </c>
      <c r="R238" s="67" t="s">
        <v>872</v>
      </c>
      <c r="S238" s="68">
        <f>13089.05</f>
        <v>13089.05</v>
      </c>
      <c r="T238" s="65">
        <f>1746</f>
        <v>1746</v>
      </c>
      <c r="U238" s="65">
        <f>12</f>
        <v>12</v>
      </c>
      <c r="V238" s="65">
        <f>22828930</f>
        <v>22828930</v>
      </c>
      <c r="W238" s="65">
        <f>158470</f>
        <v>158470</v>
      </c>
      <c r="X238" s="69">
        <f>21</f>
        <v>21</v>
      </c>
    </row>
    <row r="239" spans="1:24">
      <c r="A239" s="60" t="s">
        <v>931</v>
      </c>
      <c r="B239" s="60" t="s">
        <v>771</v>
      </c>
      <c r="C239" s="60" t="s">
        <v>772</v>
      </c>
      <c r="D239" s="60" t="s">
        <v>773</v>
      </c>
      <c r="E239" s="61" t="s">
        <v>46</v>
      </c>
      <c r="F239" s="62" t="s">
        <v>46</v>
      </c>
      <c r="G239" s="63" t="s">
        <v>46</v>
      </c>
      <c r="H239" s="64"/>
      <c r="I239" s="64" t="s">
        <v>47</v>
      </c>
      <c r="J239" s="65">
        <v>1</v>
      </c>
      <c r="K239" s="66">
        <f>2316</f>
        <v>2316</v>
      </c>
      <c r="L239" s="67" t="s">
        <v>857</v>
      </c>
      <c r="M239" s="66">
        <f>2330</f>
        <v>2330</v>
      </c>
      <c r="N239" s="67" t="s">
        <v>77</v>
      </c>
      <c r="O239" s="66">
        <f>2217</f>
        <v>2217</v>
      </c>
      <c r="P239" s="67" t="s">
        <v>176</v>
      </c>
      <c r="Q239" s="66">
        <f>2298</f>
        <v>2298</v>
      </c>
      <c r="R239" s="67" t="s">
        <v>872</v>
      </c>
      <c r="S239" s="68">
        <f>2280.81</f>
        <v>2280.81</v>
      </c>
      <c r="T239" s="65">
        <f>11461</f>
        <v>11461</v>
      </c>
      <c r="U239" s="65">
        <f>8</f>
        <v>8</v>
      </c>
      <c r="V239" s="65">
        <f>26071998</f>
        <v>26071998</v>
      </c>
      <c r="W239" s="65">
        <f>18207</f>
        <v>18207</v>
      </c>
      <c r="X239" s="69">
        <f>21</f>
        <v>21</v>
      </c>
    </row>
    <row r="240" spans="1:24">
      <c r="A240" s="60" t="s">
        <v>931</v>
      </c>
      <c r="B240" s="60" t="s">
        <v>774</v>
      </c>
      <c r="C240" s="60" t="s">
        <v>775</v>
      </c>
      <c r="D240" s="60" t="s">
        <v>776</v>
      </c>
      <c r="E240" s="61" t="s">
        <v>46</v>
      </c>
      <c r="F240" s="62" t="s">
        <v>46</v>
      </c>
      <c r="G240" s="63" t="s">
        <v>46</v>
      </c>
      <c r="H240" s="64"/>
      <c r="I240" s="64" t="s">
        <v>47</v>
      </c>
      <c r="J240" s="65">
        <v>10</v>
      </c>
      <c r="K240" s="66">
        <f>1469</f>
        <v>1469</v>
      </c>
      <c r="L240" s="67" t="s">
        <v>858</v>
      </c>
      <c r="M240" s="66">
        <f>1715</f>
        <v>1715</v>
      </c>
      <c r="N240" s="67" t="s">
        <v>131</v>
      </c>
      <c r="O240" s="66">
        <f>1469</f>
        <v>1469</v>
      </c>
      <c r="P240" s="67" t="s">
        <v>858</v>
      </c>
      <c r="Q240" s="66">
        <f>1610</f>
        <v>1610</v>
      </c>
      <c r="R240" s="67" t="s">
        <v>872</v>
      </c>
      <c r="S240" s="68">
        <f>1588</f>
        <v>1588</v>
      </c>
      <c r="T240" s="65">
        <f>2710</f>
        <v>2710</v>
      </c>
      <c r="U240" s="65" t="str">
        <f>"－"</f>
        <v>－</v>
      </c>
      <c r="V240" s="65">
        <f>4369300</f>
        <v>4369300</v>
      </c>
      <c r="W240" s="65" t="str">
        <f>"－"</f>
        <v>－</v>
      </c>
      <c r="X240" s="69">
        <f>20</f>
        <v>20</v>
      </c>
    </row>
    <row r="241" spans="1:24">
      <c r="A241" s="60" t="s">
        <v>931</v>
      </c>
      <c r="B241" s="60" t="s">
        <v>777</v>
      </c>
      <c r="C241" s="60" t="s">
        <v>932</v>
      </c>
      <c r="D241" s="60" t="s">
        <v>933</v>
      </c>
      <c r="E241" s="61" t="s">
        <v>46</v>
      </c>
      <c r="F241" s="62" t="s">
        <v>46</v>
      </c>
      <c r="G241" s="63" t="s">
        <v>46</v>
      </c>
      <c r="H241" s="64"/>
      <c r="I241" s="64" t="s">
        <v>47</v>
      </c>
      <c r="J241" s="65">
        <v>10</v>
      </c>
      <c r="K241" s="66">
        <f>1024</f>
        <v>1024</v>
      </c>
      <c r="L241" s="67" t="s">
        <v>857</v>
      </c>
      <c r="M241" s="66">
        <f>1024</f>
        <v>1024</v>
      </c>
      <c r="N241" s="67" t="s">
        <v>857</v>
      </c>
      <c r="O241" s="66">
        <f>1012</f>
        <v>1012</v>
      </c>
      <c r="P241" s="67" t="s">
        <v>92</v>
      </c>
      <c r="Q241" s="66">
        <f>1018</f>
        <v>1018</v>
      </c>
      <c r="R241" s="67" t="s">
        <v>872</v>
      </c>
      <c r="S241" s="68">
        <f>1016.7</f>
        <v>1016.7</v>
      </c>
      <c r="T241" s="65">
        <f>1558520</f>
        <v>1558520</v>
      </c>
      <c r="U241" s="65">
        <f>1459740</f>
        <v>1459740</v>
      </c>
      <c r="V241" s="65">
        <f>1583934760</f>
        <v>1583934760</v>
      </c>
      <c r="W241" s="65">
        <f>1483505460</f>
        <v>1483505460</v>
      </c>
      <c r="X241" s="69">
        <f>20</f>
        <v>20</v>
      </c>
    </row>
    <row r="242" spans="1:24">
      <c r="A242" s="60" t="s">
        <v>931</v>
      </c>
      <c r="B242" s="60" t="s">
        <v>780</v>
      </c>
      <c r="C242" s="60" t="s">
        <v>781</v>
      </c>
      <c r="D242" s="60" t="s">
        <v>782</v>
      </c>
      <c r="E242" s="61" t="s">
        <v>46</v>
      </c>
      <c r="F242" s="62" t="s">
        <v>46</v>
      </c>
      <c r="G242" s="63" t="s">
        <v>46</v>
      </c>
      <c r="H242" s="64"/>
      <c r="I242" s="64" t="s">
        <v>47</v>
      </c>
      <c r="J242" s="65">
        <v>10</v>
      </c>
      <c r="K242" s="66">
        <f>2207</f>
        <v>2207</v>
      </c>
      <c r="L242" s="67" t="s">
        <v>857</v>
      </c>
      <c r="M242" s="66">
        <f>2229</f>
        <v>2229</v>
      </c>
      <c r="N242" s="67" t="s">
        <v>84</v>
      </c>
      <c r="O242" s="66">
        <f>2120</f>
        <v>2120</v>
      </c>
      <c r="P242" s="67" t="s">
        <v>240</v>
      </c>
      <c r="Q242" s="66">
        <f>2203</f>
        <v>2203</v>
      </c>
      <c r="R242" s="67" t="s">
        <v>872</v>
      </c>
      <c r="S242" s="68">
        <f>2179.57</f>
        <v>2179.5700000000002</v>
      </c>
      <c r="T242" s="65">
        <f>26310</f>
        <v>26310</v>
      </c>
      <c r="U242" s="65">
        <f>10</f>
        <v>10</v>
      </c>
      <c r="V242" s="65">
        <f>57296530</f>
        <v>57296530</v>
      </c>
      <c r="W242" s="65">
        <f>21790</f>
        <v>21790</v>
      </c>
      <c r="X242" s="69">
        <f>21</f>
        <v>21</v>
      </c>
    </row>
    <row r="243" spans="1:24">
      <c r="A243" s="60" t="s">
        <v>931</v>
      </c>
      <c r="B243" s="60" t="s">
        <v>783</v>
      </c>
      <c r="C243" s="60" t="s">
        <v>784</v>
      </c>
      <c r="D243" s="60" t="s">
        <v>785</v>
      </c>
      <c r="E243" s="61" t="s">
        <v>46</v>
      </c>
      <c r="F243" s="62" t="s">
        <v>46</v>
      </c>
      <c r="G243" s="63" t="s">
        <v>46</v>
      </c>
      <c r="H243" s="64"/>
      <c r="I243" s="64" t="s">
        <v>47</v>
      </c>
      <c r="J243" s="65">
        <v>10</v>
      </c>
      <c r="K243" s="66">
        <f>2202</f>
        <v>2202</v>
      </c>
      <c r="L243" s="67" t="s">
        <v>857</v>
      </c>
      <c r="M243" s="66">
        <f>2228</f>
        <v>2228</v>
      </c>
      <c r="N243" s="67" t="s">
        <v>84</v>
      </c>
      <c r="O243" s="66">
        <f>2117</f>
        <v>2117</v>
      </c>
      <c r="P243" s="67" t="s">
        <v>240</v>
      </c>
      <c r="Q243" s="66">
        <f>2194</f>
        <v>2194</v>
      </c>
      <c r="R243" s="67" t="s">
        <v>872</v>
      </c>
      <c r="S243" s="68">
        <f>2178.81</f>
        <v>2178.81</v>
      </c>
      <c r="T243" s="65">
        <f>831990</f>
        <v>831990</v>
      </c>
      <c r="U243" s="65">
        <f>295000</f>
        <v>295000</v>
      </c>
      <c r="V243" s="65">
        <f>1809719610</f>
        <v>1809719610</v>
      </c>
      <c r="W243" s="65">
        <f>641398400</f>
        <v>641398400</v>
      </c>
      <c r="X243" s="69">
        <f>21</f>
        <v>21</v>
      </c>
    </row>
    <row r="244" spans="1:24">
      <c r="A244" s="60" t="s">
        <v>931</v>
      </c>
      <c r="B244" s="60" t="s">
        <v>786</v>
      </c>
      <c r="C244" s="60" t="s">
        <v>787</v>
      </c>
      <c r="D244" s="60" t="s">
        <v>788</v>
      </c>
      <c r="E244" s="61" t="s">
        <v>46</v>
      </c>
      <c r="F244" s="62" t="s">
        <v>46</v>
      </c>
      <c r="G244" s="63" t="s">
        <v>46</v>
      </c>
      <c r="H244" s="64"/>
      <c r="I244" s="64" t="s">
        <v>47</v>
      </c>
      <c r="J244" s="65">
        <v>10</v>
      </c>
      <c r="K244" s="66">
        <f>1947</f>
        <v>1947</v>
      </c>
      <c r="L244" s="67" t="s">
        <v>860</v>
      </c>
      <c r="M244" s="66">
        <f>1955</f>
        <v>1955</v>
      </c>
      <c r="N244" s="67" t="s">
        <v>873</v>
      </c>
      <c r="O244" s="66">
        <f>1889</f>
        <v>1889</v>
      </c>
      <c r="P244" s="67" t="s">
        <v>371</v>
      </c>
      <c r="Q244" s="66">
        <f>1951</f>
        <v>1951</v>
      </c>
      <c r="R244" s="67" t="s">
        <v>872</v>
      </c>
      <c r="S244" s="68">
        <f>1932.17</f>
        <v>1932.17</v>
      </c>
      <c r="T244" s="65">
        <f>320</f>
        <v>320</v>
      </c>
      <c r="U244" s="65" t="str">
        <f>"－"</f>
        <v>－</v>
      </c>
      <c r="V244" s="65">
        <f>620130</f>
        <v>620130</v>
      </c>
      <c r="W244" s="65" t="str">
        <f>"－"</f>
        <v>－</v>
      </c>
      <c r="X244" s="69">
        <f>12</f>
        <v>12</v>
      </c>
    </row>
    <row r="245" spans="1:24">
      <c r="A245" s="60" t="s">
        <v>931</v>
      </c>
      <c r="B245" s="60" t="s">
        <v>789</v>
      </c>
      <c r="C245" s="60" t="s">
        <v>790</v>
      </c>
      <c r="D245" s="60" t="s">
        <v>791</v>
      </c>
      <c r="E245" s="61" t="s">
        <v>46</v>
      </c>
      <c r="F245" s="62" t="s">
        <v>46</v>
      </c>
      <c r="G245" s="63" t="s">
        <v>46</v>
      </c>
      <c r="H245" s="64"/>
      <c r="I245" s="64" t="s">
        <v>47</v>
      </c>
      <c r="J245" s="65">
        <v>1</v>
      </c>
      <c r="K245" s="66">
        <f>13830</f>
        <v>13830</v>
      </c>
      <c r="L245" s="67" t="s">
        <v>857</v>
      </c>
      <c r="M245" s="66">
        <f>14310</f>
        <v>14310</v>
      </c>
      <c r="N245" s="67" t="s">
        <v>872</v>
      </c>
      <c r="O245" s="66">
        <f>13730</f>
        <v>13730</v>
      </c>
      <c r="P245" s="67" t="s">
        <v>858</v>
      </c>
      <c r="Q245" s="66">
        <f>14300</f>
        <v>14300</v>
      </c>
      <c r="R245" s="67" t="s">
        <v>872</v>
      </c>
      <c r="S245" s="68">
        <f>14005.71</f>
        <v>14005.71</v>
      </c>
      <c r="T245" s="65">
        <f>375012</f>
        <v>375012</v>
      </c>
      <c r="U245" s="65" t="str">
        <f>"－"</f>
        <v>－</v>
      </c>
      <c r="V245" s="65">
        <f>5254939220</f>
        <v>5254939220</v>
      </c>
      <c r="W245" s="65" t="str">
        <f>"－"</f>
        <v>－</v>
      </c>
      <c r="X245" s="69">
        <f>21</f>
        <v>21</v>
      </c>
    </row>
    <row r="246" spans="1:24">
      <c r="A246" s="60" t="s">
        <v>931</v>
      </c>
      <c r="B246" s="60" t="s">
        <v>792</v>
      </c>
      <c r="C246" s="60" t="s">
        <v>793</v>
      </c>
      <c r="D246" s="60" t="s">
        <v>794</v>
      </c>
      <c r="E246" s="61" t="s">
        <v>46</v>
      </c>
      <c r="F246" s="62" t="s">
        <v>46</v>
      </c>
      <c r="G246" s="63" t="s">
        <v>46</v>
      </c>
      <c r="H246" s="64"/>
      <c r="I246" s="64" t="s">
        <v>47</v>
      </c>
      <c r="J246" s="65">
        <v>1</v>
      </c>
      <c r="K246" s="66">
        <f>13080</f>
        <v>13080</v>
      </c>
      <c r="L246" s="67" t="s">
        <v>857</v>
      </c>
      <c r="M246" s="66">
        <f>13400</f>
        <v>13400</v>
      </c>
      <c r="N246" s="67" t="s">
        <v>872</v>
      </c>
      <c r="O246" s="66">
        <f>12930</f>
        <v>12930</v>
      </c>
      <c r="P246" s="67" t="s">
        <v>371</v>
      </c>
      <c r="Q246" s="66">
        <f>13390</f>
        <v>13390</v>
      </c>
      <c r="R246" s="67" t="s">
        <v>872</v>
      </c>
      <c r="S246" s="68">
        <f>13155.71</f>
        <v>13155.71</v>
      </c>
      <c r="T246" s="65">
        <f>198135</f>
        <v>198135</v>
      </c>
      <c r="U246" s="65">
        <f>75002</f>
        <v>75002</v>
      </c>
      <c r="V246" s="65">
        <f>2625701230</f>
        <v>2625701230</v>
      </c>
      <c r="W246" s="65">
        <f>1003162520</f>
        <v>1003162520</v>
      </c>
      <c r="X246" s="69">
        <f>21</f>
        <v>21</v>
      </c>
    </row>
    <row r="247" spans="1:24">
      <c r="A247" s="60" t="s">
        <v>931</v>
      </c>
      <c r="B247" s="60" t="s">
        <v>795</v>
      </c>
      <c r="C247" s="60" t="s">
        <v>796</v>
      </c>
      <c r="D247" s="60" t="s">
        <v>797</v>
      </c>
      <c r="E247" s="61" t="s">
        <v>46</v>
      </c>
      <c r="F247" s="62" t="s">
        <v>46</v>
      </c>
      <c r="G247" s="63" t="s">
        <v>46</v>
      </c>
      <c r="H247" s="64"/>
      <c r="I247" s="64" t="s">
        <v>47</v>
      </c>
      <c r="J247" s="65">
        <v>1</v>
      </c>
      <c r="K247" s="66">
        <f>25400</f>
        <v>25400</v>
      </c>
      <c r="L247" s="67" t="s">
        <v>857</v>
      </c>
      <c r="M247" s="66">
        <f>26200</f>
        <v>26200</v>
      </c>
      <c r="N247" s="67" t="s">
        <v>100</v>
      </c>
      <c r="O247" s="66">
        <f>25000</f>
        <v>25000</v>
      </c>
      <c r="P247" s="67" t="s">
        <v>371</v>
      </c>
      <c r="Q247" s="66">
        <f>26000</f>
        <v>26000</v>
      </c>
      <c r="R247" s="67" t="s">
        <v>872</v>
      </c>
      <c r="S247" s="68">
        <f>25580</f>
        <v>25580</v>
      </c>
      <c r="T247" s="65">
        <f>122</f>
        <v>122</v>
      </c>
      <c r="U247" s="65">
        <f>1</f>
        <v>1</v>
      </c>
      <c r="V247" s="65">
        <f>3118020</f>
        <v>3118020</v>
      </c>
      <c r="W247" s="65">
        <f>25540</f>
        <v>25540</v>
      </c>
      <c r="X247" s="69">
        <f>12</f>
        <v>12</v>
      </c>
    </row>
    <row r="248" spans="1:24">
      <c r="A248" s="60" t="s">
        <v>931</v>
      </c>
      <c r="B248" s="60" t="s">
        <v>798</v>
      </c>
      <c r="C248" s="60" t="s">
        <v>799</v>
      </c>
      <c r="D248" s="60" t="s">
        <v>800</v>
      </c>
      <c r="E248" s="61" t="s">
        <v>46</v>
      </c>
      <c r="F248" s="62" t="s">
        <v>46</v>
      </c>
      <c r="G248" s="63" t="s">
        <v>46</v>
      </c>
      <c r="H248" s="64"/>
      <c r="I248" s="64" t="s">
        <v>47</v>
      </c>
      <c r="J248" s="65">
        <v>1</v>
      </c>
      <c r="K248" s="66">
        <f>2726</f>
        <v>2726</v>
      </c>
      <c r="L248" s="67" t="s">
        <v>857</v>
      </c>
      <c r="M248" s="66">
        <f>2732</f>
        <v>2732</v>
      </c>
      <c r="N248" s="67" t="s">
        <v>48</v>
      </c>
      <c r="O248" s="66">
        <f>2721</f>
        <v>2721</v>
      </c>
      <c r="P248" s="67" t="s">
        <v>240</v>
      </c>
      <c r="Q248" s="66">
        <f>2725</f>
        <v>2725</v>
      </c>
      <c r="R248" s="67" t="s">
        <v>872</v>
      </c>
      <c r="S248" s="68">
        <f>2726.48</f>
        <v>2726.48</v>
      </c>
      <c r="T248" s="65">
        <f>1163251</f>
        <v>1163251</v>
      </c>
      <c r="U248" s="65">
        <f>807925</f>
        <v>807925</v>
      </c>
      <c r="V248" s="65">
        <f>3173593175</f>
        <v>3173593175</v>
      </c>
      <c r="W248" s="65">
        <f>2205014249</f>
        <v>2205014249</v>
      </c>
      <c r="X248" s="69">
        <f>21</f>
        <v>21</v>
      </c>
    </row>
    <row r="249" spans="1:24">
      <c r="A249" s="60" t="s">
        <v>931</v>
      </c>
      <c r="B249" s="60" t="s">
        <v>801</v>
      </c>
      <c r="C249" s="60" t="s">
        <v>802</v>
      </c>
      <c r="D249" s="60" t="s">
        <v>803</v>
      </c>
      <c r="E249" s="61" t="s">
        <v>46</v>
      </c>
      <c r="F249" s="62" t="s">
        <v>46</v>
      </c>
      <c r="G249" s="63" t="s">
        <v>46</v>
      </c>
      <c r="H249" s="64"/>
      <c r="I249" s="64" t="s">
        <v>47</v>
      </c>
      <c r="J249" s="65">
        <v>10</v>
      </c>
      <c r="K249" s="66">
        <f>3025</f>
        <v>3025</v>
      </c>
      <c r="L249" s="67" t="s">
        <v>857</v>
      </c>
      <c r="M249" s="66">
        <f>3070</f>
        <v>3070</v>
      </c>
      <c r="N249" s="67" t="s">
        <v>855</v>
      </c>
      <c r="O249" s="66">
        <f>3000</f>
        <v>3000</v>
      </c>
      <c r="P249" s="67" t="s">
        <v>371</v>
      </c>
      <c r="Q249" s="66">
        <f>3070</f>
        <v>3070</v>
      </c>
      <c r="R249" s="67" t="s">
        <v>872</v>
      </c>
      <c r="S249" s="68">
        <f>3039.05</f>
        <v>3039.05</v>
      </c>
      <c r="T249" s="65">
        <f>6842710</f>
        <v>6842710</v>
      </c>
      <c r="U249" s="65">
        <f>3417900</f>
        <v>3417900</v>
      </c>
      <c r="V249" s="65">
        <f>20781389414</f>
        <v>20781389414</v>
      </c>
      <c r="W249" s="65">
        <f>10380380964</f>
        <v>10380380964</v>
      </c>
      <c r="X249" s="69">
        <f>21</f>
        <v>21</v>
      </c>
    </row>
    <row r="250" spans="1:24">
      <c r="A250" s="60" t="s">
        <v>931</v>
      </c>
      <c r="B250" s="60" t="s">
        <v>804</v>
      </c>
      <c r="C250" s="60" t="s">
        <v>805</v>
      </c>
      <c r="D250" s="60" t="s">
        <v>806</v>
      </c>
      <c r="E250" s="61" t="s">
        <v>46</v>
      </c>
      <c r="F250" s="62" t="s">
        <v>46</v>
      </c>
      <c r="G250" s="63" t="s">
        <v>46</v>
      </c>
      <c r="H250" s="64"/>
      <c r="I250" s="64" t="s">
        <v>47</v>
      </c>
      <c r="J250" s="65">
        <v>1</v>
      </c>
      <c r="K250" s="66">
        <f>2871</f>
        <v>2871</v>
      </c>
      <c r="L250" s="67" t="s">
        <v>857</v>
      </c>
      <c r="M250" s="66">
        <f>2950</f>
        <v>2950</v>
      </c>
      <c r="N250" s="67" t="s">
        <v>872</v>
      </c>
      <c r="O250" s="66">
        <f>2846</f>
        <v>2846</v>
      </c>
      <c r="P250" s="67" t="s">
        <v>613</v>
      </c>
      <c r="Q250" s="66">
        <f>2950</f>
        <v>2950</v>
      </c>
      <c r="R250" s="67" t="s">
        <v>872</v>
      </c>
      <c r="S250" s="68">
        <f>2890.14</f>
        <v>2890.14</v>
      </c>
      <c r="T250" s="65">
        <f>4159161</f>
        <v>4159161</v>
      </c>
      <c r="U250" s="65">
        <f>934431</f>
        <v>934431</v>
      </c>
      <c r="V250" s="65">
        <f>11989617343</f>
        <v>11989617343</v>
      </c>
      <c r="W250" s="65">
        <f>2699787379</f>
        <v>2699787379</v>
      </c>
      <c r="X250" s="69">
        <f>21</f>
        <v>21</v>
      </c>
    </row>
    <row r="251" spans="1:24">
      <c r="A251" s="60" t="s">
        <v>931</v>
      </c>
      <c r="B251" s="60" t="s">
        <v>807</v>
      </c>
      <c r="C251" s="60" t="s">
        <v>808</v>
      </c>
      <c r="D251" s="60" t="s">
        <v>809</v>
      </c>
      <c r="E251" s="61" t="s">
        <v>46</v>
      </c>
      <c r="F251" s="62" t="s">
        <v>46</v>
      </c>
      <c r="G251" s="63" t="s">
        <v>46</v>
      </c>
      <c r="H251" s="64"/>
      <c r="I251" s="64" t="s">
        <v>47</v>
      </c>
      <c r="J251" s="65">
        <v>1</v>
      </c>
      <c r="K251" s="66">
        <f>1850</f>
        <v>1850</v>
      </c>
      <c r="L251" s="67" t="s">
        <v>857</v>
      </c>
      <c r="M251" s="66">
        <f>1896</f>
        <v>1896</v>
      </c>
      <c r="N251" s="67" t="s">
        <v>872</v>
      </c>
      <c r="O251" s="66">
        <f>1838</f>
        <v>1838</v>
      </c>
      <c r="P251" s="67" t="s">
        <v>84</v>
      </c>
      <c r="Q251" s="66">
        <f>1893</f>
        <v>1893</v>
      </c>
      <c r="R251" s="67" t="s">
        <v>872</v>
      </c>
      <c r="S251" s="68">
        <f>1863.14</f>
        <v>1863.14</v>
      </c>
      <c r="T251" s="65">
        <f>546226</f>
        <v>546226</v>
      </c>
      <c r="U251" s="65">
        <f>190005</f>
        <v>190005</v>
      </c>
      <c r="V251" s="65">
        <f>1015231119</f>
        <v>1015231119</v>
      </c>
      <c r="W251" s="65">
        <f>350789193</f>
        <v>350789193</v>
      </c>
      <c r="X251" s="69">
        <f>21</f>
        <v>21</v>
      </c>
    </row>
    <row r="252" spans="1:24">
      <c r="A252" s="60" t="s">
        <v>931</v>
      </c>
      <c r="B252" s="60" t="s">
        <v>810</v>
      </c>
      <c r="C252" s="60" t="s">
        <v>811</v>
      </c>
      <c r="D252" s="60" t="s">
        <v>812</v>
      </c>
      <c r="E252" s="61" t="s">
        <v>46</v>
      </c>
      <c r="F252" s="62" t="s">
        <v>46</v>
      </c>
      <c r="G252" s="63" t="s">
        <v>46</v>
      </c>
      <c r="H252" s="64"/>
      <c r="I252" s="64" t="s">
        <v>47</v>
      </c>
      <c r="J252" s="65">
        <v>1</v>
      </c>
      <c r="K252" s="66">
        <f>1225</f>
        <v>1225</v>
      </c>
      <c r="L252" s="67" t="s">
        <v>857</v>
      </c>
      <c r="M252" s="66">
        <f>1282</f>
        <v>1282</v>
      </c>
      <c r="N252" s="67" t="s">
        <v>872</v>
      </c>
      <c r="O252" s="66">
        <f>1203</f>
        <v>1203</v>
      </c>
      <c r="P252" s="67" t="s">
        <v>240</v>
      </c>
      <c r="Q252" s="66">
        <f>1271</f>
        <v>1271</v>
      </c>
      <c r="R252" s="67" t="s">
        <v>872</v>
      </c>
      <c r="S252" s="68">
        <f>1243.1</f>
        <v>1243.0999999999999</v>
      </c>
      <c r="T252" s="65">
        <f>359048</f>
        <v>359048</v>
      </c>
      <c r="U252" s="65">
        <f>200000</f>
        <v>200000</v>
      </c>
      <c r="V252" s="65">
        <f>445693264</f>
        <v>445693264</v>
      </c>
      <c r="W252" s="65">
        <f>247946000</f>
        <v>247946000</v>
      </c>
      <c r="X252" s="69">
        <f>21</f>
        <v>21</v>
      </c>
    </row>
    <row r="253" spans="1:24">
      <c r="A253" s="60" t="s">
        <v>931</v>
      </c>
      <c r="B253" s="60" t="s">
        <v>813</v>
      </c>
      <c r="C253" s="60" t="s">
        <v>814</v>
      </c>
      <c r="D253" s="60" t="s">
        <v>815</v>
      </c>
      <c r="E253" s="61" t="s">
        <v>46</v>
      </c>
      <c r="F253" s="62" t="s">
        <v>46</v>
      </c>
      <c r="G253" s="63" t="s">
        <v>46</v>
      </c>
      <c r="H253" s="64"/>
      <c r="I253" s="64" t="s">
        <v>47</v>
      </c>
      <c r="J253" s="65">
        <v>10</v>
      </c>
      <c r="K253" s="66">
        <f>1218</f>
        <v>1218</v>
      </c>
      <c r="L253" s="67" t="s">
        <v>857</v>
      </c>
      <c r="M253" s="66">
        <f>1253</f>
        <v>1253</v>
      </c>
      <c r="N253" s="67" t="s">
        <v>240</v>
      </c>
      <c r="O253" s="66">
        <f>1171</f>
        <v>1171</v>
      </c>
      <c r="P253" s="67" t="s">
        <v>240</v>
      </c>
      <c r="Q253" s="66">
        <f>1213</f>
        <v>1213</v>
      </c>
      <c r="R253" s="67" t="s">
        <v>872</v>
      </c>
      <c r="S253" s="68">
        <f>1203.3</f>
        <v>1203.3</v>
      </c>
      <c r="T253" s="65">
        <f>251430</f>
        <v>251430</v>
      </c>
      <c r="U253" s="65">
        <f>8490</f>
        <v>8490</v>
      </c>
      <c r="V253" s="65">
        <f>298658621</f>
        <v>298658621</v>
      </c>
      <c r="W253" s="65">
        <f>9991881</f>
        <v>9991881</v>
      </c>
      <c r="X253" s="69">
        <f>20</f>
        <v>20</v>
      </c>
    </row>
    <row r="254" spans="1:24">
      <c r="A254" s="60" t="s">
        <v>931</v>
      </c>
      <c r="B254" s="60" t="s">
        <v>816</v>
      </c>
      <c r="C254" s="60" t="s">
        <v>817</v>
      </c>
      <c r="D254" s="60" t="s">
        <v>818</v>
      </c>
      <c r="E254" s="61" t="s">
        <v>46</v>
      </c>
      <c r="F254" s="62" t="s">
        <v>46</v>
      </c>
      <c r="G254" s="63" t="s">
        <v>46</v>
      </c>
      <c r="H254" s="64"/>
      <c r="I254" s="64" t="s">
        <v>47</v>
      </c>
      <c r="J254" s="65">
        <v>10</v>
      </c>
      <c r="K254" s="66">
        <f>255</f>
        <v>255</v>
      </c>
      <c r="L254" s="67" t="s">
        <v>857</v>
      </c>
      <c r="M254" s="66">
        <f>278</f>
        <v>278</v>
      </c>
      <c r="N254" s="67" t="s">
        <v>875</v>
      </c>
      <c r="O254" s="66">
        <f>239</f>
        <v>239</v>
      </c>
      <c r="P254" s="67" t="s">
        <v>874</v>
      </c>
      <c r="Q254" s="66">
        <f>252</f>
        <v>252</v>
      </c>
      <c r="R254" s="67" t="s">
        <v>872</v>
      </c>
      <c r="S254" s="68">
        <f>254.62</f>
        <v>254.62</v>
      </c>
      <c r="T254" s="65">
        <f>32440</f>
        <v>32440</v>
      </c>
      <c r="U254" s="65" t="str">
        <f>"－"</f>
        <v>－</v>
      </c>
      <c r="V254" s="65">
        <f>8349540</f>
        <v>8349540</v>
      </c>
      <c r="W254" s="65" t="str">
        <f>"－"</f>
        <v>－</v>
      </c>
      <c r="X254" s="69">
        <f>21</f>
        <v>21</v>
      </c>
    </row>
    <row r="255" spans="1:24">
      <c r="A255" s="60" t="s">
        <v>931</v>
      </c>
      <c r="B255" s="60" t="s">
        <v>819</v>
      </c>
      <c r="C255" s="60" t="s">
        <v>820</v>
      </c>
      <c r="D255" s="60" t="s">
        <v>821</v>
      </c>
      <c r="E255" s="61" t="s">
        <v>46</v>
      </c>
      <c r="F255" s="62" t="s">
        <v>46</v>
      </c>
      <c r="G255" s="63" t="s">
        <v>46</v>
      </c>
      <c r="H255" s="64"/>
      <c r="I255" s="64" t="s">
        <v>47</v>
      </c>
      <c r="J255" s="65">
        <v>10</v>
      </c>
      <c r="K255" s="66">
        <f>2833</f>
        <v>2833</v>
      </c>
      <c r="L255" s="67" t="s">
        <v>857</v>
      </c>
      <c r="M255" s="66">
        <f>2963</f>
        <v>2963</v>
      </c>
      <c r="N255" s="67" t="s">
        <v>872</v>
      </c>
      <c r="O255" s="66">
        <f>2809</f>
        <v>2809</v>
      </c>
      <c r="P255" s="67" t="s">
        <v>613</v>
      </c>
      <c r="Q255" s="66">
        <f>2959</f>
        <v>2959</v>
      </c>
      <c r="R255" s="67" t="s">
        <v>872</v>
      </c>
      <c r="S255" s="68">
        <f>2864.86</f>
        <v>2864.86</v>
      </c>
      <c r="T255" s="65">
        <f>801050</f>
        <v>801050</v>
      </c>
      <c r="U255" s="65" t="str">
        <f>"－"</f>
        <v>－</v>
      </c>
      <c r="V255" s="65">
        <f>2295917130</f>
        <v>2295917130</v>
      </c>
      <c r="W255" s="65" t="str">
        <f>"－"</f>
        <v>－</v>
      </c>
      <c r="X255" s="69">
        <f>21</f>
        <v>21</v>
      </c>
    </row>
    <row r="256" spans="1:24">
      <c r="A256" s="60" t="s">
        <v>931</v>
      </c>
      <c r="B256" s="60" t="s">
        <v>822</v>
      </c>
      <c r="C256" s="60" t="s">
        <v>823</v>
      </c>
      <c r="D256" s="60" t="s">
        <v>824</v>
      </c>
      <c r="E256" s="61" t="s">
        <v>46</v>
      </c>
      <c r="F256" s="62" t="s">
        <v>46</v>
      </c>
      <c r="G256" s="63" t="s">
        <v>46</v>
      </c>
      <c r="H256" s="64"/>
      <c r="I256" s="64" t="s">
        <v>47</v>
      </c>
      <c r="J256" s="65">
        <v>10</v>
      </c>
      <c r="K256" s="66">
        <f>2697</f>
        <v>2697</v>
      </c>
      <c r="L256" s="67" t="s">
        <v>857</v>
      </c>
      <c r="M256" s="66">
        <f>2815</f>
        <v>2815</v>
      </c>
      <c r="N256" s="67" t="s">
        <v>872</v>
      </c>
      <c r="O256" s="66">
        <f>2662</f>
        <v>2662</v>
      </c>
      <c r="P256" s="67" t="s">
        <v>613</v>
      </c>
      <c r="Q256" s="66">
        <f>2815</f>
        <v>2815</v>
      </c>
      <c r="R256" s="67" t="s">
        <v>872</v>
      </c>
      <c r="S256" s="68">
        <f>2722.95</f>
        <v>2722.95</v>
      </c>
      <c r="T256" s="65">
        <f>6058320</f>
        <v>6058320</v>
      </c>
      <c r="U256" s="65">
        <f>2469100</f>
        <v>2469100</v>
      </c>
      <c r="V256" s="65">
        <f>16511102272</f>
        <v>16511102272</v>
      </c>
      <c r="W256" s="65">
        <f>6716131292</f>
        <v>6716131292</v>
      </c>
      <c r="X256" s="69">
        <f>21</f>
        <v>21</v>
      </c>
    </row>
    <row r="257" spans="1:24">
      <c r="A257" s="60" t="s">
        <v>931</v>
      </c>
      <c r="B257" s="60" t="s">
        <v>825</v>
      </c>
      <c r="C257" s="60" t="s">
        <v>826</v>
      </c>
      <c r="D257" s="60" t="s">
        <v>827</v>
      </c>
      <c r="E257" s="61" t="s">
        <v>46</v>
      </c>
      <c r="F257" s="62" t="s">
        <v>46</v>
      </c>
      <c r="G257" s="63" t="s">
        <v>46</v>
      </c>
      <c r="H257" s="64"/>
      <c r="I257" s="64" t="s">
        <v>47</v>
      </c>
      <c r="J257" s="65">
        <v>1</v>
      </c>
      <c r="K257" s="66">
        <f>2586</f>
        <v>2586</v>
      </c>
      <c r="L257" s="67" t="s">
        <v>857</v>
      </c>
      <c r="M257" s="66">
        <f>2608</f>
        <v>2608</v>
      </c>
      <c r="N257" s="67" t="s">
        <v>875</v>
      </c>
      <c r="O257" s="66">
        <f>2572</f>
        <v>2572</v>
      </c>
      <c r="P257" s="67" t="s">
        <v>48</v>
      </c>
      <c r="Q257" s="66">
        <f>2590</f>
        <v>2590</v>
      </c>
      <c r="R257" s="67" t="s">
        <v>872</v>
      </c>
      <c r="S257" s="68">
        <f>2589.14</f>
        <v>2589.14</v>
      </c>
      <c r="T257" s="65">
        <f>390079</f>
        <v>390079</v>
      </c>
      <c r="U257" s="65">
        <f>200000</f>
        <v>200000</v>
      </c>
      <c r="V257" s="65">
        <f>1008523427</f>
        <v>1008523427</v>
      </c>
      <c r="W257" s="65">
        <f>515800000</f>
        <v>515800000</v>
      </c>
      <c r="X257" s="69">
        <f>21</f>
        <v>21</v>
      </c>
    </row>
    <row r="258" spans="1:24">
      <c r="A258" s="60" t="s">
        <v>931</v>
      </c>
      <c r="B258" s="60" t="s">
        <v>828</v>
      </c>
      <c r="C258" s="60" t="s">
        <v>829</v>
      </c>
      <c r="D258" s="60" t="s">
        <v>830</v>
      </c>
      <c r="E258" s="61" t="s">
        <v>46</v>
      </c>
      <c r="F258" s="62" t="s">
        <v>46</v>
      </c>
      <c r="G258" s="63" t="s">
        <v>46</v>
      </c>
      <c r="H258" s="64"/>
      <c r="I258" s="64" t="s">
        <v>47</v>
      </c>
      <c r="J258" s="65">
        <v>1</v>
      </c>
      <c r="K258" s="66">
        <f>2290</f>
        <v>2290</v>
      </c>
      <c r="L258" s="67" t="s">
        <v>857</v>
      </c>
      <c r="M258" s="66">
        <f>2320</f>
        <v>2320</v>
      </c>
      <c r="N258" s="67" t="s">
        <v>858</v>
      </c>
      <c r="O258" s="66">
        <f>2239</f>
        <v>2239</v>
      </c>
      <c r="P258" s="67" t="s">
        <v>875</v>
      </c>
      <c r="Q258" s="66">
        <f>2293</f>
        <v>2293</v>
      </c>
      <c r="R258" s="67" t="s">
        <v>872</v>
      </c>
      <c r="S258" s="68">
        <f>2286.24</f>
        <v>2286.2399999999998</v>
      </c>
      <c r="T258" s="65">
        <f>235746</f>
        <v>235746</v>
      </c>
      <c r="U258" s="65" t="str">
        <f>"－"</f>
        <v>－</v>
      </c>
      <c r="V258" s="65">
        <f>539084507</f>
        <v>539084507</v>
      </c>
      <c r="W258" s="65" t="str">
        <f>"－"</f>
        <v>－</v>
      </c>
      <c r="X258" s="69">
        <f>21</f>
        <v>21</v>
      </c>
    </row>
    <row r="259" spans="1:24">
      <c r="A259" s="60" t="s">
        <v>931</v>
      </c>
      <c r="B259" s="60" t="s">
        <v>831</v>
      </c>
      <c r="C259" s="60" t="s">
        <v>832</v>
      </c>
      <c r="D259" s="60" t="s">
        <v>833</v>
      </c>
      <c r="E259" s="61" t="s">
        <v>46</v>
      </c>
      <c r="F259" s="62" t="s">
        <v>46</v>
      </c>
      <c r="G259" s="63" t="s">
        <v>46</v>
      </c>
      <c r="H259" s="64"/>
      <c r="I259" s="64" t="s">
        <v>47</v>
      </c>
      <c r="J259" s="65">
        <v>1</v>
      </c>
      <c r="K259" s="66">
        <f>2525</f>
        <v>2525</v>
      </c>
      <c r="L259" s="67" t="s">
        <v>857</v>
      </c>
      <c r="M259" s="66">
        <f>2575</f>
        <v>2575</v>
      </c>
      <c r="N259" s="67" t="s">
        <v>73</v>
      </c>
      <c r="O259" s="66">
        <f>2512</f>
        <v>2512</v>
      </c>
      <c r="P259" s="67" t="s">
        <v>856</v>
      </c>
      <c r="Q259" s="66">
        <f>2556</f>
        <v>2556</v>
      </c>
      <c r="R259" s="67" t="s">
        <v>872</v>
      </c>
      <c r="S259" s="68">
        <f>2526</f>
        <v>2526</v>
      </c>
      <c r="T259" s="65">
        <f>42450</f>
        <v>42450</v>
      </c>
      <c r="U259" s="65">
        <f>39501</f>
        <v>39501</v>
      </c>
      <c r="V259" s="65">
        <f>107802516</f>
        <v>107802516</v>
      </c>
      <c r="W259" s="65">
        <f>100349114</f>
        <v>100349114</v>
      </c>
      <c r="X259" s="69">
        <f>21</f>
        <v>21</v>
      </c>
    </row>
    <row r="260" spans="1:24">
      <c r="A260" s="60" t="s">
        <v>931</v>
      </c>
      <c r="B260" s="60" t="s">
        <v>834</v>
      </c>
      <c r="C260" s="60" t="s">
        <v>835</v>
      </c>
      <c r="D260" s="60" t="s">
        <v>836</v>
      </c>
      <c r="E260" s="61" t="s">
        <v>46</v>
      </c>
      <c r="F260" s="62" t="s">
        <v>46</v>
      </c>
      <c r="G260" s="63" t="s">
        <v>46</v>
      </c>
      <c r="H260" s="64"/>
      <c r="I260" s="64" t="s">
        <v>47</v>
      </c>
      <c r="J260" s="65">
        <v>1</v>
      </c>
      <c r="K260" s="66">
        <f>2545</f>
        <v>2545</v>
      </c>
      <c r="L260" s="67" t="s">
        <v>857</v>
      </c>
      <c r="M260" s="66">
        <f>2561</f>
        <v>2561</v>
      </c>
      <c r="N260" s="67" t="s">
        <v>48</v>
      </c>
      <c r="O260" s="66">
        <f>2524</f>
        <v>2524</v>
      </c>
      <c r="P260" s="67" t="s">
        <v>371</v>
      </c>
      <c r="Q260" s="66">
        <f>2540</f>
        <v>2540</v>
      </c>
      <c r="R260" s="67" t="s">
        <v>872</v>
      </c>
      <c r="S260" s="68">
        <f>2540.14</f>
        <v>2540.14</v>
      </c>
      <c r="T260" s="65">
        <f>583</f>
        <v>583</v>
      </c>
      <c r="U260" s="65" t="str">
        <f>"－"</f>
        <v>－</v>
      </c>
      <c r="V260" s="65">
        <f>1479653</f>
        <v>1479653</v>
      </c>
      <c r="W260" s="65" t="str">
        <f>"－"</f>
        <v>－</v>
      </c>
      <c r="X260" s="69">
        <f>21</f>
        <v>21</v>
      </c>
    </row>
    <row r="261" spans="1:24">
      <c r="A261" s="60" t="s">
        <v>931</v>
      </c>
      <c r="B261" s="60" t="s">
        <v>837</v>
      </c>
      <c r="C261" s="60" t="s">
        <v>838</v>
      </c>
      <c r="D261" s="60" t="s">
        <v>839</v>
      </c>
      <c r="E261" s="61" t="s">
        <v>46</v>
      </c>
      <c r="F261" s="62" t="s">
        <v>46</v>
      </c>
      <c r="G261" s="63" t="s">
        <v>46</v>
      </c>
      <c r="H261" s="64"/>
      <c r="I261" s="64" t="s">
        <v>47</v>
      </c>
      <c r="J261" s="65">
        <v>1</v>
      </c>
      <c r="K261" s="66">
        <f>2757</f>
        <v>2757</v>
      </c>
      <c r="L261" s="67" t="s">
        <v>857</v>
      </c>
      <c r="M261" s="66">
        <f>2829</f>
        <v>2829</v>
      </c>
      <c r="N261" s="67" t="s">
        <v>131</v>
      </c>
      <c r="O261" s="66">
        <f>2699</f>
        <v>2699</v>
      </c>
      <c r="P261" s="67" t="s">
        <v>371</v>
      </c>
      <c r="Q261" s="66">
        <f>2819</f>
        <v>2819</v>
      </c>
      <c r="R261" s="67" t="s">
        <v>872</v>
      </c>
      <c r="S261" s="68">
        <f>2772.62</f>
        <v>2772.62</v>
      </c>
      <c r="T261" s="65">
        <f>57942</f>
        <v>57942</v>
      </c>
      <c r="U261" s="65">
        <f>30000</f>
        <v>30000</v>
      </c>
      <c r="V261" s="65">
        <f>160945551</f>
        <v>160945551</v>
      </c>
      <c r="W261" s="65">
        <f>83574000</f>
        <v>83574000</v>
      </c>
      <c r="X261" s="69">
        <f>21</f>
        <v>21</v>
      </c>
    </row>
    <row r="262" spans="1:24">
      <c r="A262" s="60" t="s">
        <v>931</v>
      </c>
      <c r="B262" s="60" t="s">
        <v>840</v>
      </c>
      <c r="C262" s="60" t="s">
        <v>841</v>
      </c>
      <c r="D262" s="60" t="s">
        <v>842</v>
      </c>
      <c r="E262" s="61" t="s">
        <v>46</v>
      </c>
      <c r="F262" s="62" t="s">
        <v>46</v>
      </c>
      <c r="G262" s="63" t="s">
        <v>46</v>
      </c>
      <c r="H262" s="64"/>
      <c r="I262" s="64" t="s">
        <v>47</v>
      </c>
      <c r="J262" s="65">
        <v>1</v>
      </c>
      <c r="K262" s="66">
        <f>1922</f>
        <v>1922</v>
      </c>
      <c r="L262" s="67" t="s">
        <v>857</v>
      </c>
      <c r="M262" s="66">
        <f>1972</f>
        <v>1972</v>
      </c>
      <c r="N262" s="67" t="s">
        <v>131</v>
      </c>
      <c r="O262" s="66">
        <f>1880</f>
        <v>1880</v>
      </c>
      <c r="P262" s="67" t="s">
        <v>371</v>
      </c>
      <c r="Q262" s="66">
        <f>1961</f>
        <v>1961</v>
      </c>
      <c r="R262" s="67" t="s">
        <v>872</v>
      </c>
      <c r="S262" s="68">
        <f>1933.57</f>
        <v>1933.57</v>
      </c>
      <c r="T262" s="65">
        <f>270304</f>
        <v>270304</v>
      </c>
      <c r="U262" s="65">
        <f>80000</f>
        <v>80000</v>
      </c>
      <c r="V262" s="65">
        <f>521803620</f>
        <v>521803620</v>
      </c>
      <c r="W262" s="65">
        <f>154128000</f>
        <v>154128000</v>
      </c>
      <c r="X262" s="69">
        <f>21</f>
        <v>21</v>
      </c>
    </row>
    <row r="263" spans="1:24">
      <c r="A263" s="60" t="s">
        <v>931</v>
      </c>
      <c r="B263" s="60" t="s">
        <v>843</v>
      </c>
      <c r="C263" s="60" t="s">
        <v>844</v>
      </c>
      <c r="D263" s="60" t="s">
        <v>845</v>
      </c>
      <c r="E263" s="61" t="s">
        <v>46</v>
      </c>
      <c r="F263" s="62" t="s">
        <v>46</v>
      </c>
      <c r="G263" s="63" t="s">
        <v>46</v>
      </c>
      <c r="H263" s="64"/>
      <c r="I263" s="64" t="s">
        <v>47</v>
      </c>
      <c r="J263" s="65">
        <v>1</v>
      </c>
      <c r="K263" s="66">
        <f>1986</f>
        <v>1986</v>
      </c>
      <c r="L263" s="67" t="s">
        <v>857</v>
      </c>
      <c r="M263" s="66">
        <f>2067</f>
        <v>2067</v>
      </c>
      <c r="N263" s="67" t="s">
        <v>872</v>
      </c>
      <c r="O263" s="66">
        <f>1956</f>
        <v>1956</v>
      </c>
      <c r="P263" s="67" t="s">
        <v>100</v>
      </c>
      <c r="Q263" s="66">
        <f>2064</f>
        <v>2064</v>
      </c>
      <c r="R263" s="67" t="s">
        <v>872</v>
      </c>
      <c r="S263" s="68">
        <f>2001.9</f>
        <v>2001.9</v>
      </c>
      <c r="T263" s="65">
        <f>139684</f>
        <v>139684</v>
      </c>
      <c r="U263" s="65">
        <f>6</f>
        <v>6</v>
      </c>
      <c r="V263" s="65">
        <f>280030898</f>
        <v>280030898</v>
      </c>
      <c r="W263" s="65">
        <f>12040</f>
        <v>12040</v>
      </c>
      <c r="X263" s="69">
        <f>21</f>
        <v>21</v>
      </c>
    </row>
    <row r="264" spans="1:24">
      <c r="A264" s="60" t="s">
        <v>931</v>
      </c>
      <c r="B264" s="60" t="s">
        <v>849</v>
      </c>
      <c r="C264" s="60" t="s">
        <v>850</v>
      </c>
      <c r="D264" s="60" t="s">
        <v>851</v>
      </c>
      <c r="E264" s="61" t="s">
        <v>46</v>
      </c>
      <c r="F264" s="62" t="s">
        <v>46</v>
      </c>
      <c r="G264" s="63" t="s">
        <v>46</v>
      </c>
      <c r="H264" s="64"/>
      <c r="I264" s="64" t="s">
        <v>47</v>
      </c>
      <c r="J264" s="65">
        <v>1</v>
      </c>
      <c r="K264" s="66">
        <f>2152</f>
        <v>2152</v>
      </c>
      <c r="L264" s="67" t="s">
        <v>857</v>
      </c>
      <c r="M264" s="66">
        <f>2267</f>
        <v>2267</v>
      </c>
      <c r="N264" s="67" t="s">
        <v>872</v>
      </c>
      <c r="O264" s="66">
        <f>2096</f>
        <v>2096</v>
      </c>
      <c r="P264" s="67" t="s">
        <v>100</v>
      </c>
      <c r="Q264" s="66">
        <f>2267</f>
        <v>2267</v>
      </c>
      <c r="R264" s="67" t="s">
        <v>872</v>
      </c>
      <c r="S264" s="68">
        <f>2183.33</f>
        <v>2183.33</v>
      </c>
      <c r="T264" s="65">
        <f>144939</f>
        <v>144939</v>
      </c>
      <c r="U264" s="65" t="str">
        <f>"－"</f>
        <v>－</v>
      </c>
      <c r="V264" s="65">
        <f>317422339</f>
        <v>317422339</v>
      </c>
      <c r="W264" s="65" t="str">
        <f>"－"</f>
        <v>－</v>
      </c>
      <c r="X264" s="69">
        <f>21</f>
        <v>21</v>
      </c>
    </row>
    <row r="265" spans="1:24">
      <c r="A265" s="60" t="s">
        <v>931</v>
      </c>
      <c r="B265" s="60" t="s">
        <v>899</v>
      </c>
      <c r="C265" s="60" t="s">
        <v>900</v>
      </c>
      <c r="D265" s="60" t="s">
        <v>901</v>
      </c>
      <c r="E265" s="61" t="s">
        <v>46</v>
      </c>
      <c r="F265" s="62" t="s">
        <v>46</v>
      </c>
      <c r="G265" s="63" t="s">
        <v>46</v>
      </c>
      <c r="H265" s="64"/>
      <c r="I265" s="64" t="s">
        <v>47</v>
      </c>
      <c r="J265" s="65">
        <v>1</v>
      </c>
      <c r="K265" s="66">
        <f>2749</f>
        <v>2749</v>
      </c>
      <c r="L265" s="67" t="s">
        <v>857</v>
      </c>
      <c r="M265" s="66">
        <f>2780</f>
        <v>2780</v>
      </c>
      <c r="N265" s="67" t="s">
        <v>77</v>
      </c>
      <c r="O265" s="66">
        <f>2451</f>
        <v>2451</v>
      </c>
      <c r="P265" s="67" t="s">
        <v>872</v>
      </c>
      <c r="Q265" s="66">
        <f>2460</f>
        <v>2460</v>
      </c>
      <c r="R265" s="67" t="s">
        <v>872</v>
      </c>
      <c r="S265" s="68">
        <f>2638.57</f>
        <v>2638.57</v>
      </c>
      <c r="T265" s="65">
        <f>50289</f>
        <v>50289</v>
      </c>
      <c r="U265" s="65" t="str">
        <f>"－"</f>
        <v>－</v>
      </c>
      <c r="V265" s="65">
        <f>131701189</f>
        <v>131701189</v>
      </c>
      <c r="W265" s="65" t="str">
        <f>"－"</f>
        <v>－</v>
      </c>
      <c r="X265" s="69">
        <f>21</f>
        <v>21</v>
      </c>
    </row>
    <row r="266" spans="1:24">
      <c r="A266" s="60" t="s">
        <v>931</v>
      </c>
      <c r="B266" s="60" t="s">
        <v>903</v>
      </c>
      <c r="C266" s="60" t="s">
        <v>904</v>
      </c>
      <c r="D266" s="60" t="s">
        <v>905</v>
      </c>
      <c r="E266" s="61" t="s">
        <v>46</v>
      </c>
      <c r="F266" s="62" t="s">
        <v>46</v>
      </c>
      <c r="G266" s="63" t="s">
        <v>46</v>
      </c>
      <c r="H266" s="64"/>
      <c r="I266" s="64" t="s">
        <v>47</v>
      </c>
      <c r="J266" s="65">
        <v>1</v>
      </c>
      <c r="K266" s="66">
        <f>2667</f>
        <v>2667</v>
      </c>
      <c r="L266" s="67" t="s">
        <v>857</v>
      </c>
      <c r="M266" s="66">
        <f>2790</f>
        <v>2790</v>
      </c>
      <c r="N266" s="67" t="s">
        <v>875</v>
      </c>
      <c r="O266" s="66">
        <f>2556</f>
        <v>2556</v>
      </c>
      <c r="P266" s="67" t="s">
        <v>872</v>
      </c>
      <c r="Q266" s="66">
        <f>2599</f>
        <v>2599</v>
      </c>
      <c r="R266" s="67" t="s">
        <v>872</v>
      </c>
      <c r="S266" s="68">
        <f>2681.24</f>
        <v>2681.24</v>
      </c>
      <c r="T266" s="65">
        <f>21566</f>
        <v>21566</v>
      </c>
      <c r="U266" s="65" t="str">
        <f>"－"</f>
        <v>－</v>
      </c>
      <c r="V266" s="65">
        <f>57473894</f>
        <v>57473894</v>
      </c>
      <c r="W266" s="65" t="str">
        <f>"－"</f>
        <v>－</v>
      </c>
      <c r="X266" s="69">
        <f>21</f>
        <v>21</v>
      </c>
    </row>
    <row r="267" spans="1:24">
      <c r="A267" s="60" t="s">
        <v>931</v>
      </c>
      <c r="B267" s="60" t="s">
        <v>861</v>
      </c>
      <c r="C267" s="60" t="s">
        <v>862</v>
      </c>
      <c r="D267" s="60" t="s">
        <v>863</v>
      </c>
      <c r="E267" s="61" t="s">
        <v>46</v>
      </c>
      <c r="F267" s="62" t="s">
        <v>46</v>
      </c>
      <c r="G267" s="63" t="s">
        <v>46</v>
      </c>
      <c r="H267" s="64"/>
      <c r="I267" s="64" t="s">
        <v>47</v>
      </c>
      <c r="J267" s="65">
        <v>1</v>
      </c>
      <c r="K267" s="66">
        <f>11520</f>
        <v>11520</v>
      </c>
      <c r="L267" s="67" t="s">
        <v>857</v>
      </c>
      <c r="M267" s="66">
        <f>11760</f>
        <v>11760</v>
      </c>
      <c r="N267" s="67" t="s">
        <v>872</v>
      </c>
      <c r="O267" s="66">
        <f>11330</f>
        <v>11330</v>
      </c>
      <c r="P267" s="67" t="s">
        <v>858</v>
      </c>
      <c r="Q267" s="66">
        <f>11740</f>
        <v>11740</v>
      </c>
      <c r="R267" s="67" t="s">
        <v>872</v>
      </c>
      <c r="S267" s="68">
        <f>11487.62</f>
        <v>11487.62</v>
      </c>
      <c r="T267" s="65">
        <f>284327</f>
        <v>284327</v>
      </c>
      <c r="U267" s="65">
        <f>122200</f>
        <v>122200</v>
      </c>
      <c r="V267" s="65">
        <f>3260229288</f>
        <v>3260229288</v>
      </c>
      <c r="W267" s="65">
        <f>1396750628</f>
        <v>1396750628</v>
      </c>
      <c r="X267" s="69">
        <f>21</f>
        <v>21</v>
      </c>
    </row>
    <row r="268" spans="1:24">
      <c r="A268" s="60" t="s">
        <v>931</v>
      </c>
      <c r="B268" s="60" t="s">
        <v>865</v>
      </c>
      <c r="C268" s="60" t="s">
        <v>866</v>
      </c>
      <c r="D268" s="60" t="s">
        <v>867</v>
      </c>
      <c r="E268" s="61" t="s">
        <v>46</v>
      </c>
      <c r="F268" s="62" t="s">
        <v>46</v>
      </c>
      <c r="G268" s="63" t="s">
        <v>46</v>
      </c>
      <c r="H268" s="64"/>
      <c r="I268" s="64" t="s">
        <v>47</v>
      </c>
      <c r="J268" s="65">
        <v>1</v>
      </c>
      <c r="K268" s="66">
        <f>11730</f>
        <v>11730</v>
      </c>
      <c r="L268" s="67" t="s">
        <v>857</v>
      </c>
      <c r="M268" s="66">
        <f>12380</f>
        <v>12380</v>
      </c>
      <c r="N268" s="67" t="s">
        <v>872</v>
      </c>
      <c r="O268" s="66">
        <f>11700</f>
        <v>11700</v>
      </c>
      <c r="P268" s="67" t="s">
        <v>857</v>
      </c>
      <c r="Q268" s="66">
        <f>12370</f>
        <v>12370</v>
      </c>
      <c r="R268" s="67" t="s">
        <v>872</v>
      </c>
      <c r="S268" s="68">
        <f>11966.19</f>
        <v>11966.19</v>
      </c>
      <c r="T268" s="65">
        <f>501729</f>
        <v>501729</v>
      </c>
      <c r="U268" s="65">
        <f>171000</f>
        <v>171000</v>
      </c>
      <c r="V268" s="65">
        <f>6030786240</f>
        <v>6030786240</v>
      </c>
      <c r="W268" s="65">
        <f>2068474140</f>
        <v>2068474140</v>
      </c>
      <c r="X268" s="69">
        <f>21</f>
        <v>21</v>
      </c>
    </row>
    <row r="269" spans="1:24">
      <c r="A269" s="60" t="s">
        <v>931</v>
      </c>
      <c r="B269" s="60" t="s">
        <v>868</v>
      </c>
      <c r="C269" s="60" t="s">
        <v>869</v>
      </c>
      <c r="D269" s="60" t="s">
        <v>870</v>
      </c>
      <c r="E269" s="61" t="s">
        <v>46</v>
      </c>
      <c r="F269" s="62" t="s">
        <v>46</v>
      </c>
      <c r="G269" s="63" t="s">
        <v>46</v>
      </c>
      <c r="H269" s="64"/>
      <c r="I269" s="64" t="s">
        <v>47</v>
      </c>
      <c r="J269" s="65">
        <v>1</v>
      </c>
      <c r="K269" s="66">
        <f>11300</f>
        <v>11300</v>
      </c>
      <c r="L269" s="67" t="s">
        <v>857</v>
      </c>
      <c r="M269" s="66">
        <f>11860</f>
        <v>11860</v>
      </c>
      <c r="N269" s="67" t="s">
        <v>872</v>
      </c>
      <c r="O269" s="66">
        <f>11210</f>
        <v>11210</v>
      </c>
      <c r="P269" s="67" t="s">
        <v>613</v>
      </c>
      <c r="Q269" s="66">
        <f>11860</f>
        <v>11860</v>
      </c>
      <c r="R269" s="67" t="s">
        <v>872</v>
      </c>
      <c r="S269" s="68">
        <f>11469.05</f>
        <v>11469.05</v>
      </c>
      <c r="T269" s="65">
        <f>135679</f>
        <v>135679</v>
      </c>
      <c r="U269" s="65">
        <f>20346</f>
        <v>20346</v>
      </c>
      <c r="V269" s="65">
        <f>1557163766</f>
        <v>1557163766</v>
      </c>
      <c r="W269" s="65">
        <f>232141756</f>
        <v>232141756</v>
      </c>
      <c r="X269" s="69">
        <f>21</f>
        <v>21</v>
      </c>
    </row>
    <row r="270" spans="1:24">
      <c r="A270" s="60" t="s">
        <v>931</v>
      </c>
      <c r="B270" s="60" t="s">
        <v>879</v>
      </c>
      <c r="C270" s="60" t="s">
        <v>880</v>
      </c>
      <c r="D270" s="60" t="s">
        <v>881</v>
      </c>
      <c r="E270" s="61" t="s">
        <v>46</v>
      </c>
      <c r="F270" s="62" t="s">
        <v>46</v>
      </c>
      <c r="G270" s="63" t="s">
        <v>46</v>
      </c>
      <c r="H270" s="64"/>
      <c r="I270" s="64" t="s">
        <v>47</v>
      </c>
      <c r="J270" s="65">
        <v>10</v>
      </c>
      <c r="K270" s="66">
        <f>2239</f>
        <v>2239</v>
      </c>
      <c r="L270" s="67" t="s">
        <v>857</v>
      </c>
      <c r="M270" s="66">
        <f>2311</f>
        <v>2311</v>
      </c>
      <c r="N270" s="67" t="s">
        <v>872</v>
      </c>
      <c r="O270" s="66">
        <f>2217</f>
        <v>2217</v>
      </c>
      <c r="P270" s="67" t="s">
        <v>858</v>
      </c>
      <c r="Q270" s="66">
        <f>2311</f>
        <v>2311</v>
      </c>
      <c r="R270" s="67" t="s">
        <v>872</v>
      </c>
      <c r="S270" s="68">
        <f>2262</f>
        <v>2262</v>
      </c>
      <c r="T270" s="65">
        <f>433680</f>
        <v>433680</v>
      </c>
      <c r="U270" s="65" t="str">
        <f>"－"</f>
        <v>－</v>
      </c>
      <c r="V270" s="65">
        <f>975487800</f>
        <v>975487800</v>
      </c>
      <c r="W270" s="65" t="str">
        <f>"－"</f>
        <v>－</v>
      </c>
      <c r="X270" s="69">
        <f>21</f>
        <v>21</v>
      </c>
    </row>
    <row r="271" spans="1:24">
      <c r="A271" s="60" t="s">
        <v>931</v>
      </c>
      <c r="B271" s="60" t="s">
        <v>883</v>
      </c>
      <c r="C271" s="60" t="s">
        <v>884</v>
      </c>
      <c r="D271" s="60" t="s">
        <v>885</v>
      </c>
      <c r="E271" s="61" t="s">
        <v>46</v>
      </c>
      <c r="F271" s="62" t="s">
        <v>46</v>
      </c>
      <c r="G271" s="63" t="s">
        <v>46</v>
      </c>
      <c r="H271" s="64"/>
      <c r="I271" s="64" t="s">
        <v>47</v>
      </c>
      <c r="J271" s="65">
        <v>10</v>
      </c>
      <c r="K271" s="66">
        <f>2227</f>
        <v>2227</v>
      </c>
      <c r="L271" s="67" t="s">
        <v>857</v>
      </c>
      <c r="M271" s="66">
        <f>2302</f>
        <v>2302</v>
      </c>
      <c r="N271" s="67" t="s">
        <v>872</v>
      </c>
      <c r="O271" s="66">
        <f>2220</f>
        <v>2220</v>
      </c>
      <c r="P271" s="67" t="s">
        <v>858</v>
      </c>
      <c r="Q271" s="66">
        <f>2302</f>
        <v>2302</v>
      </c>
      <c r="R271" s="67" t="s">
        <v>872</v>
      </c>
      <c r="S271" s="68">
        <f>2252.29</f>
        <v>2252.29</v>
      </c>
      <c r="T271" s="65">
        <f>633570</f>
        <v>633570</v>
      </c>
      <c r="U271" s="65" t="str">
        <f>"－"</f>
        <v>－</v>
      </c>
      <c r="V271" s="65">
        <f>1418543400</f>
        <v>1418543400</v>
      </c>
      <c r="W271" s="65" t="str">
        <f>"－"</f>
        <v>－</v>
      </c>
      <c r="X271" s="69">
        <f>21</f>
        <v>21</v>
      </c>
    </row>
    <row r="272" spans="1:24">
      <c r="A272" s="60" t="s">
        <v>931</v>
      </c>
      <c r="B272" s="60" t="s">
        <v>886</v>
      </c>
      <c r="C272" s="60" t="s">
        <v>887</v>
      </c>
      <c r="D272" s="60" t="s">
        <v>888</v>
      </c>
      <c r="E272" s="61" t="s">
        <v>46</v>
      </c>
      <c r="F272" s="62" t="s">
        <v>46</v>
      </c>
      <c r="G272" s="63" t="s">
        <v>46</v>
      </c>
      <c r="H272" s="64"/>
      <c r="I272" s="64" t="s">
        <v>47</v>
      </c>
      <c r="J272" s="65">
        <v>10</v>
      </c>
      <c r="K272" s="66">
        <f>2245</f>
        <v>2245</v>
      </c>
      <c r="L272" s="67" t="s">
        <v>857</v>
      </c>
      <c r="M272" s="66">
        <f>2318</f>
        <v>2318</v>
      </c>
      <c r="N272" s="67" t="s">
        <v>872</v>
      </c>
      <c r="O272" s="66">
        <f>2229</f>
        <v>2229</v>
      </c>
      <c r="P272" s="67" t="s">
        <v>858</v>
      </c>
      <c r="Q272" s="66">
        <f>2318</f>
        <v>2318</v>
      </c>
      <c r="R272" s="67" t="s">
        <v>872</v>
      </c>
      <c r="S272" s="68">
        <f>2269.48</f>
        <v>2269.48</v>
      </c>
      <c r="T272" s="65">
        <f>46420</f>
        <v>46420</v>
      </c>
      <c r="U272" s="65" t="str">
        <f>"－"</f>
        <v>－</v>
      </c>
      <c r="V272" s="65">
        <f>105286200</f>
        <v>105286200</v>
      </c>
      <c r="W272" s="65" t="str">
        <f>"－"</f>
        <v>－</v>
      </c>
      <c r="X272" s="69">
        <f>21</f>
        <v>21</v>
      </c>
    </row>
    <row r="273" spans="1:24">
      <c r="A273" s="60" t="s">
        <v>931</v>
      </c>
      <c r="B273" s="60" t="s">
        <v>889</v>
      </c>
      <c r="C273" s="60" t="s">
        <v>890</v>
      </c>
      <c r="D273" s="60" t="s">
        <v>891</v>
      </c>
      <c r="E273" s="61" t="s">
        <v>46</v>
      </c>
      <c r="F273" s="62" t="s">
        <v>46</v>
      </c>
      <c r="G273" s="63" t="s">
        <v>46</v>
      </c>
      <c r="H273" s="64"/>
      <c r="I273" s="64" t="s">
        <v>47</v>
      </c>
      <c r="J273" s="65">
        <v>1</v>
      </c>
      <c r="K273" s="66">
        <f>2661</f>
        <v>2661</v>
      </c>
      <c r="L273" s="67" t="s">
        <v>857</v>
      </c>
      <c r="M273" s="66">
        <f>2773</f>
        <v>2773</v>
      </c>
      <c r="N273" s="67" t="s">
        <v>872</v>
      </c>
      <c r="O273" s="66">
        <f>2648</f>
        <v>2648</v>
      </c>
      <c r="P273" s="67" t="s">
        <v>857</v>
      </c>
      <c r="Q273" s="66">
        <f>2769</f>
        <v>2769</v>
      </c>
      <c r="R273" s="67" t="s">
        <v>872</v>
      </c>
      <c r="S273" s="68">
        <f>2696.29</f>
        <v>2696.29</v>
      </c>
      <c r="T273" s="65">
        <f>146625</f>
        <v>146625</v>
      </c>
      <c r="U273" s="65" t="str">
        <f>"－"</f>
        <v>－</v>
      </c>
      <c r="V273" s="65">
        <f>398373667</f>
        <v>398373667</v>
      </c>
      <c r="W273" s="65" t="str">
        <f>"－"</f>
        <v>－</v>
      </c>
      <c r="X273" s="69">
        <f>21</f>
        <v>21</v>
      </c>
    </row>
    <row r="274" spans="1:24">
      <c r="A274" s="60" t="s">
        <v>931</v>
      </c>
      <c r="B274" s="60" t="s">
        <v>892</v>
      </c>
      <c r="C274" s="60" t="s">
        <v>893</v>
      </c>
      <c r="D274" s="60" t="s">
        <v>894</v>
      </c>
      <c r="E274" s="61" t="s">
        <v>46</v>
      </c>
      <c r="F274" s="62" t="s">
        <v>46</v>
      </c>
      <c r="G274" s="63" t="s">
        <v>46</v>
      </c>
      <c r="H274" s="64"/>
      <c r="I274" s="64" t="s">
        <v>47</v>
      </c>
      <c r="J274" s="65">
        <v>1</v>
      </c>
      <c r="K274" s="66">
        <f>1708</f>
        <v>1708</v>
      </c>
      <c r="L274" s="67" t="s">
        <v>857</v>
      </c>
      <c r="M274" s="66">
        <f>1767</f>
        <v>1767</v>
      </c>
      <c r="N274" s="67" t="s">
        <v>872</v>
      </c>
      <c r="O274" s="66">
        <f>1672</f>
        <v>1672</v>
      </c>
      <c r="P274" s="67" t="s">
        <v>371</v>
      </c>
      <c r="Q274" s="66">
        <f>1764</f>
        <v>1764</v>
      </c>
      <c r="R274" s="67" t="s">
        <v>872</v>
      </c>
      <c r="S274" s="68">
        <f>1725.38</f>
        <v>1725.38</v>
      </c>
      <c r="T274" s="65">
        <f>130036</f>
        <v>130036</v>
      </c>
      <c r="U274" s="65">
        <f>2</f>
        <v>2</v>
      </c>
      <c r="V274" s="65">
        <f>225727957</f>
        <v>225727957</v>
      </c>
      <c r="W274" s="65">
        <f>3468</f>
        <v>3468</v>
      </c>
      <c r="X274" s="69">
        <f>21</f>
        <v>21</v>
      </c>
    </row>
    <row r="275" spans="1:24">
      <c r="A275" s="60" t="s">
        <v>931</v>
      </c>
      <c r="B275" s="60" t="s">
        <v>910</v>
      </c>
      <c r="C275" s="60" t="s">
        <v>911</v>
      </c>
      <c r="D275" s="60" t="s">
        <v>912</v>
      </c>
      <c r="E275" s="61" t="s">
        <v>46</v>
      </c>
      <c r="F275" s="62" t="s">
        <v>46</v>
      </c>
      <c r="G275" s="63" t="s">
        <v>46</v>
      </c>
      <c r="H275" s="64"/>
      <c r="I275" s="64" t="s">
        <v>47</v>
      </c>
      <c r="J275" s="65">
        <v>1</v>
      </c>
      <c r="K275" s="66">
        <f>2256</f>
        <v>2256</v>
      </c>
      <c r="L275" s="67" t="s">
        <v>857</v>
      </c>
      <c r="M275" s="66">
        <f>2329</f>
        <v>2329</v>
      </c>
      <c r="N275" s="67" t="s">
        <v>872</v>
      </c>
      <c r="O275" s="66">
        <f>2185</f>
        <v>2185</v>
      </c>
      <c r="P275" s="67" t="s">
        <v>371</v>
      </c>
      <c r="Q275" s="66">
        <f>2329</f>
        <v>2329</v>
      </c>
      <c r="R275" s="67" t="s">
        <v>872</v>
      </c>
      <c r="S275" s="68">
        <f>2263.9</f>
        <v>2263.9</v>
      </c>
      <c r="T275" s="65">
        <f>43492</f>
        <v>43492</v>
      </c>
      <c r="U275" s="65">
        <f>4250</f>
        <v>4250</v>
      </c>
      <c r="V275" s="65">
        <f>98657365</f>
        <v>98657365</v>
      </c>
      <c r="W275" s="65">
        <f>9694020</f>
        <v>9694020</v>
      </c>
      <c r="X275" s="69">
        <f>21</f>
        <v>21</v>
      </c>
    </row>
    <row r="276" spans="1:24">
      <c r="A276" s="60" t="s">
        <v>931</v>
      </c>
      <c r="B276" s="60" t="s">
        <v>914</v>
      </c>
      <c r="C276" s="60" t="s">
        <v>915</v>
      </c>
      <c r="D276" s="60" t="s">
        <v>916</v>
      </c>
      <c r="E276" s="61" t="s">
        <v>46</v>
      </c>
      <c r="F276" s="62" t="s">
        <v>46</v>
      </c>
      <c r="G276" s="63" t="s">
        <v>46</v>
      </c>
      <c r="H276" s="64"/>
      <c r="I276" s="64" t="s">
        <v>47</v>
      </c>
      <c r="J276" s="65">
        <v>1</v>
      </c>
      <c r="K276" s="66">
        <f>1828</f>
        <v>1828</v>
      </c>
      <c r="L276" s="67" t="s">
        <v>857</v>
      </c>
      <c r="M276" s="66">
        <f>1900</f>
        <v>1900</v>
      </c>
      <c r="N276" s="67" t="s">
        <v>872</v>
      </c>
      <c r="O276" s="66">
        <f>1807</f>
        <v>1807</v>
      </c>
      <c r="P276" s="67" t="s">
        <v>854</v>
      </c>
      <c r="Q276" s="66">
        <f>1900</f>
        <v>1900</v>
      </c>
      <c r="R276" s="67" t="s">
        <v>872</v>
      </c>
      <c r="S276" s="68">
        <f>1846.9</f>
        <v>1846.9</v>
      </c>
      <c r="T276" s="65">
        <f>35146</f>
        <v>35146</v>
      </c>
      <c r="U276" s="65" t="str">
        <f>"－"</f>
        <v>－</v>
      </c>
      <c r="V276" s="65">
        <f>64363258</f>
        <v>64363258</v>
      </c>
      <c r="W276" s="65" t="str">
        <f>"－"</f>
        <v>－</v>
      </c>
      <c r="X276" s="69">
        <f>21</f>
        <v>21</v>
      </c>
    </row>
    <row r="277" spans="1:24">
      <c r="A277" s="60" t="s">
        <v>931</v>
      </c>
      <c r="B277" s="60" t="s">
        <v>917</v>
      </c>
      <c r="C277" s="60" t="s">
        <v>918</v>
      </c>
      <c r="D277" s="60" t="s">
        <v>919</v>
      </c>
      <c r="E277" s="61" t="s">
        <v>46</v>
      </c>
      <c r="F277" s="62" t="s">
        <v>46</v>
      </c>
      <c r="G277" s="63" t="s">
        <v>46</v>
      </c>
      <c r="H277" s="64"/>
      <c r="I277" s="64" t="s">
        <v>47</v>
      </c>
      <c r="J277" s="65">
        <v>1</v>
      </c>
      <c r="K277" s="66">
        <f>2409</f>
        <v>2409</v>
      </c>
      <c r="L277" s="67" t="s">
        <v>857</v>
      </c>
      <c r="M277" s="66">
        <f>2440</f>
        <v>2440</v>
      </c>
      <c r="N277" s="67" t="s">
        <v>240</v>
      </c>
      <c r="O277" s="66">
        <f>2310</f>
        <v>2310</v>
      </c>
      <c r="P277" s="67" t="s">
        <v>371</v>
      </c>
      <c r="Q277" s="66">
        <f>2439</f>
        <v>2439</v>
      </c>
      <c r="R277" s="67" t="s">
        <v>872</v>
      </c>
      <c r="S277" s="68">
        <f>2381.05</f>
        <v>2381.0500000000002</v>
      </c>
      <c r="T277" s="65">
        <f>176057</f>
        <v>176057</v>
      </c>
      <c r="U277" s="65">
        <f>151</f>
        <v>151</v>
      </c>
      <c r="V277" s="65">
        <f>418657083</f>
        <v>418657083</v>
      </c>
      <c r="W277" s="65">
        <f>352695</f>
        <v>352695</v>
      </c>
      <c r="X277" s="69">
        <f>21</f>
        <v>21</v>
      </c>
    </row>
    <row r="278" spans="1:24">
      <c r="A278" s="60" t="s">
        <v>931</v>
      </c>
      <c r="B278" s="60" t="s">
        <v>920</v>
      </c>
      <c r="C278" s="60" t="s">
        <v>921</v>
      </c>
      <c r="D278" s="60" t="s">
        <v>922</v>
      </c>
      <c r="E278" s="61" t="s">
        <v>46</v>
      </c>
      <c r="F278" s="62" t="s">
        <v>46</v>
      </c>
      <c r="G278" s="63" t="s">
        <v>46</v>
      </c>
      <c r="H278" s="64"/>
      <c r="I278" s="64" t="s">
        <v>47</v>
      </c>
      <c r="J278" s="65">
        <v>1</v>
      </c>
      <c r="K278" s="66">
        <f>1934</f>
        <v>1934</v>
      </c>
      <c r="L278" s="67" t="s">
        <v>857</v>
      </c>
      <c r="M278" s="66">
        <f>1974</f>
        <v>1974</v>
      </c>
      <c r="N278" s="67" t="s">
        <v>92</v>
      </c>
      <c r="O278" s="66">
        <f>1870</f>
        <v>1870</v>
      </c>
      <c r="P278" s="67" t="s">
        <v>371</v>
      </c>
      <c r="Q278" s="66">
        <f>1972</f>
        <v>1972</v>
      </c>
      <c r="R278" s="67" t="s">
        <v>872</v>
      </c>
      <c r="S278" s="68">
        <f>1936.43</f>
        <v>1936.43</v>
      </c>
      <c r="T278" s="65">
        <f>157084</f>
        <v>157084</v>
      </c>
      <c r="U278" s="65" t="str">
        <f>"－"</f>
        <v>－</v>
      </c>
      <c r="V278" s="65">
        <f>307933556</f>
        <v>307933556</v>
      </c>
      <c r="W278" s="65" t="str">
        <f>"－"</f>
        <v>－</v>
      </c>
      <c r="X278" s="69">
        <f>21</f>
        <v>21</v>
      </c>
    </row>
    <row r="279" spans="1:24">
      <c r="A279" s="60" t="s">
        <v>931</v>
      </c>
      <c r="B279" s="60" t="s">
        <v>923</v>
      </c>
      <c r="C279" s="60" t="s">
        <v>924</v>
      </c>
      <c r="D279" s="60" t="s">
        <v>925</v>
      </c>
      <c r="E279" s="61" t="s">
        <v>46</v>
      </c>
      <c r="F279" s="62" t="s">
        <v>46</v>
      </c>
      <c r="G279" s="63" t="s">
        <v>46</v>
      </c>
      <c r="H279" s="64"/>
      <c r="I279" s="64" t="s">
        <v>47</v>
      </c>
      <c r="J279" s="65">
        <v>1</v>
      </c>
      <c r="K279" s="66">
        <f>25410</f>
        <v>25410</v>
      </c>
      <c r="L279" s="67" t="s">
        <v>857</v>
      </c>
      <c r="M279" s="66">
        <f>25830</f>
        <v>25830</v>
      </c>
      <c r="N279" s="67" t="s">
        <v>872</v>
      </c>
      <c r="O279" s="66">
        <f>24860</f>
        <v>24860</v>
      </c>
      <c r="P279" s="67" t="s">
        <v>371</v>
      </c>
      <c r="Q279" s="66">
        <f>25830</f>
        <v>25830</v>
      </c>
      <c r="R279" s="67" t="s">
        <v>872</v>
      </c>
      <c r="S279" s="68">
        <f>25415</f>
        <v>25415</v>
      </c>
      <c r="T279" s="65">
        <f>77</f>
        <v>77</v>
      </c>
      <c r="U279" s="65" t="str">
        <f>"－"</f>
        <v>－</v>
      </c>
      <c r="V279" s="65">
        <f>1947620</f>
        <v>1947620</v>
      </c>
      <c r="W279" s="65" t="str">
        <f>"－"</f>
        <v>－</v>
      </c>
      <c r="X279" s="69">
        <f>10</f>
        <v>10</v>
      </c>
    </row>
    <row r="280" spans="1:24">
      <c r="A280" s="60" t="s">
        <v>931</v>
      </c>
      <c r="B280" s="60" t="s">
        <v>927</v>
      </c>
      <c r="C280" s="60" t="s">
        <v>928</v>
      </c>
      <c r="D280" s="60" t="s">
        <v>929</v>
      </c>
      <c r="E280" s="61" t="s">
        <v>46</v>
      </c>
      <c r="F280" s="62" t="s">
        <v>46</v>
      </c>
      <c r="G280" s="63" t="s">
        <v>46</v>
      </c>
      <c r="H280" s="64"/>
      <c r="I280" s="64" t="s">
        <v>47</v>
      </c>
      <c r="J280" s="65">
        <v>1</v>
      </c>
      <c r="K280" s="66">
        <f>1960</f>
        <v>1960</v>
      </c>
      <c r="L280" s="67" t="s">
        <v>857</v>
      </c>
      <c r="M280" s="66">
        <f>2016</f>
        <v>2016</v>
      </c>
      <c r="N280" s="67" t="s">
        <v>872</v>
      </c>
      <c r="O280" s="66">
        <f>1925</f>
        <v>1925</v>
      </c>
      <c r="P280" s="67" t="s">
        <v>371</v>
      </c>
      <c r="Q280" s="66">
        <f>2016</f>
        <v>2016</v>
      </c>
      <c r="R280" s="67" t="s">
        <v>872</v>
      </c>
      <c r="S280" s="68">
        <f>1975.29</f>
        <v>1975.29</v>
      </c>
      <c r="T280" s="65">
        <f>9575</f>
        <v>9575</v>
      </c>
      <c r="U280" s="65" t="str">
        <f>"－"</f>
        <v>－</v>
      </c>
      <c r="V280" s="65">
        <f>18937863</f>
        <v>18937863</v>
      </c>
      <c r="W280" s="65" t="str">
        <f>"－"</f>
        <v>－</v>
      </c>
      <c r="X280" s="69">
        <f>21</f>
        <v>21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2F738-146F-4D34-BB00-7727B7B81E38}">
  <sheetPr>
    <pageSetUpPr fitToPage="1"/>
  </sheetPr>
  <dimension ref="A1:X280"/>
  <sheetViews>
    <sheetView showGridLines="0" view="pageBreakPreview" zoomScaleNormal="70" zoomScaleSheetLayoutView="100" workbookViewId="0">
      <pane ySplit="6" topLeftCell="A7" activePane="bottomLeft" state="frozen"/>
      <selection pane="bottomLeft"/>
    </sheetView>
  </sheetViews>
  <sheetFormatPr defaultColWidth="9" defaultRowHeight="13.2"/>
  <cols>
    <col min="1" max="1" width="13.109375" style="1" bestFit="1" customWidth="1"/>
    <col min="2" max="2" width="10.77734375" style="1" bestFit="1" customWidth="1"/>
    <col min="3" max="4" width="27.6640625" style="1" customWidth="1"/>
    <col min="5" max="5" width="13.77734375" style="1" bestFit="1" customWidth="1"/>
    <col min="6" max="6" width="20.77734375" style="1" bestFit="1" customWidth="1"/>
    <col min="7" max="7" width="11.21875" style="1" customWidth="1"/>
    <col min="8" max="8" width="8.77734375" style="1" bestFit="1" customWidth="1"/>
    <col min="9" max="9" width="11.77734375" style="1" bestFit="1" customWidth="1"/>
    <col min="10" max="10" width="12.6640625" style="1" bestFit="1" customWidth="1"/>
    <col min="11" max="11" width="16.21875" style="1" customWidth="1"/>
    <col min="12" max="12" width="5.6640625" style="1" bestFit="1" customWidth="1"/>
    <col min="13" max="13" width="16.21875" style="1" customWidth="1"/>
    <col min="14" max="14" width="5.6640625" style="1" bestFit="1" customWidth="1"/>
    <col min="15" max="15" width="16.21875" style="1" customWidth="1"/>
    <col min="16" max="16" width="5.6640625" style="1" bestFit="1" customWidth="1"/>
    <col min="17" max="17" width="16.21875" style="1" customWidth="1"/>
    <col min="18" max="18" width="5.6640625" style="1" bestFit="1" customWidth="1"/>
    <col min="19" max="19" width="23.88671875" style="1" bestFit="1" customWidth="1"/>
    <col min="20" max="20" width="16.21875" style="1" customWidth="1"/>
    <col min="21" max="21" width="24.109375" style="1" customWidth="1"/>
    <col min="22" max="22" width="19.88671875" style="1" bestFit="1" customWidth="1"/>
    <col min="23" max="23" width="25" style="1" bestFit="1" customWidth="1"/>
    <col min="24" max="24" width="13.109375" style="1" bestFit="1" customWidth="1"/>
    <col min="25" max="16384" width="9" style="1"/>
  </cols>
  <sheetData>
    <row r="1" spans="1:24" ht="13.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70" t="s">
        <v>22</v>
      </c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4" ht="99" customHeight="1">
      <c r="A2" s="76" t="s">
        <v>23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2"/>
      <c r="O2" s="72"/>
      <c r="P2" s="72"/>
      <c r="Q2" s="72"/>
      <c r="R2" s="72"/>
      <c r="S2" s="72"/>
      <c r="T2" s="72"/>
      <c r="U2" s="72"/>
      <c r="V2" s="72"/>
      <c r="W2" s="72"/>
      <c r="X2" s="73"/>
    </row>
    <row r="3" spans="1:24" ht="39" customHeight="1">
      <c r="A3" s="78" t="s">
        <v>24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</row>
    <row r="4" spans="1:24" s="2" customFormat="1" ht="13.5" customHeight="1">
      <c r="A4" s="40" t="s">
        <v>25</v>
      </c>
      <c r="B4" s="40" t="s">
        <v>0</v>
      </c>
      <c r="C4" s="40"/>
      <c r="D4" s="40"/>
      <c r="E4" s="41"/>
      <c r="F4" s="42"/>
      <c r="G4" s="43" t="s">
        <v>2</v>
      </c>
      <c r="H4" s="40" t="s">
        <v>26</v>
      </c>
      <c r="I4" s="40" t="s">
        <v>3</v>
      </c>
      <c r="J4" s="40" t="s">
        <v>4</v>
      </c>
      <c r="K4" s="44" t="s">
        <v>5</v>
      </c>
      <c r="L4" s="43" t="s">
        <v>2</v>
      </c>
      <c r="M4" s="44" t="s">
        <v>6</v>
      </c>
      <c r="N4" s="43" t="s">
        <v>2</v>
      </c>
      <c r="O4" s="44" t="s">
        <v>7</v>
      </c>
      <c r="P4" s="43" t="s">
        <v>2</v>
      </c>
      <c r="Q4" s="44" t="s">
        <v>8</v>
      </c>
      <c r="R4" s="43" t="s">
        <v>2</v>
      </c>
      <c r="S4" s="40" t="s">
        <v>9</v>
      </c>
      <c r="T4" s="40" t="s">
        <v>10</v>
      </c>
      <c r="U4" s="45" t="s">
        <v>11</v>
      </c>
      <c r="V4" s="40" t="s">
        <v>12</v>
      </c>
      <c r="W4" s="40" t="s">
        <v>13</v>
      </c>
      <c r="X4" s="40" t="s">
        <v>14</v>
      </c>
    </row>
    <row r="5" spans="1:24">
      <c r="A5" s="46" t="s">
        <v>27</v>
      </c>
      <c r="B5" s="46" t="s">
        <v>28</v>
      </c>
      <c r="C5" s="46" t="s">
        <v>29</v>
      </c>
      <c r="D5" s="46" t="s">
        <v>1</v>
      </c>
      <c r="E5" s="47" t="s">
        <v>30</v>
      </c>
      <c r="F5" s="48" t="s">
        <v>31</v>
      </c>
      <c r="G5" s="49" t="s">
        <v>32</v>
      </c>
      <c r="H5" s="50" t="s">
        <v>33</v>
      </c>
      <c r="I5" s="50" t="s">
        <v>15</v>
      </c>
      <c r="J5" s="50" t="s">
        <v>34</v>
      </c>
      <c r="K5" s="51" t="s">
        <v>16</v>
      </c>
      <c r="L5" s="49" t="s">
        <v>32</v>
      </c>
      <c r="M5" s="51" t="s">
        <v>35</v>
      </c>
      <c r="N5" s="49" t="s">
        <v>32</v>
      </c>
      <c r="O5" s="51" t="s">
        <v>17</v>
      </c>
      <c r="P5" s="49" t="s">
        <v>32</v>
      </c>
      <c r="Q5" s="51" t="s">
        <v>18</v>
      </c>
      <c r="R5" s="49" t="s">
        <v>32</v>
      </c>
      <c r="S5" s="52" t="s">
        <v>36</v>
      </c>
      <c r="T5" s="52" t="s">
        <v>19</v>
      </c>
      <c r="U5" s="46" t="s">
        <v>37</v>
      </c>
      <c r="V5" s="52" t="s">
        <v>20</v>
      </c>
      <c r="W5" s="52" t="s">
        <v>38</v>
      </c>
      <c r="X5" s="52" t="s">
        <v>39</v>
      </c>
    </row>
    <row r="6" spans="1:24">
      <c r="A6" s="53"/>
      <c r="B6" s="53"/>
      <c r="C6" s="53"/>
      <c r="D6" s="53"/>
      <c r="E6" s="54"/>
      <c r="F6" s="55"/>
      <c r="G6" s="56"/>
      <c r="H6" s="57"/>
      <c r="I6" s="57"/>
      <c r="J6" s="57" t="s">
        <v>40</v>
      </c>
      <c r="K6" s="58" t="s">
        <v>41</v>
      </c>
      <c r="L6" s="59"/>
      <c r="M6" s="58" t="s">
        <v>41</v>
      </c>
      <c r="N6" s="59"/>
      <c r="O6" s="58" t="s">
        <v>41</v>
      </c>
      <c r="P6" s="59"/>
      <c r="Q6" s="58" t="s">
        <v>41</v>
      </c>
      <c r="R6" s="59"/>
      <c r="S6" s="58" t="s">
        <v>41</v>
      </c>
      <c r="T6" s="57" t="s">
        <v>21</v>
      </c>
      <c r="U6" s="57" t="s">
        <v>21</v>
      </c>
      <c r="V6" s="58" t="s">
        <v>41</v>
      </c>
      <c r="W6" s="58" t="s">
        <v>41</v>
      </c>
      <c r="X6" s="57"/>
    </row>
    <row r="7" spans="1:24" s="28" customFormat="1" ht="13.5" customHeight="1">
      <c r="A7" s="60" t="s">
        <v>926</v>
      </c>
      <c r="B7" s="60" t="s">
        <v>43</v>
      </c>
      <c r="C7" s="60" t="s">
        <v>44</v>
      </c>
      <c r="D7" s="60" t="s">
        <v>45</v>
      </c>
      <c r="E7" s="61" t="s">
        <v>46</v>
      </c>
      <c r="F7" s="62" t="s">
        <v>46</v>
      </c>
      <c r="G7" s="63" t="s">
        <v>46</v>
      </c>
      <c r="H7" s="64"/>
      <c r="I7" s="64" t="s">
        <v>47</v>
      </c>
      <c r="J7" s="65">
        <v>10</v>
      </c>
      <c r="K7" s="66">
        <f>2072</f>
        <v>2072</v>
      </c>
      <c r="L7" s="67" t="s">
        <v>853</v>
      </c>
      <c r="M7" s="66">
        <f>2085</f>
        <v>2085</v>
      </c>
      <c r="N7" s="67" t="s">
        <v>77</v>
      </c>
      <c r="O7" s="66">
        <f>1964</f>
        <v>1964</v>
      </c>
      <c r="P7" s="67" t="s">
        <v>859</v>
      </c>
      <c r="Q7" s="66">
        <f>1984</f>
        <v>1984</v>
      </c>
      <c r="R7" s="67" t="s">
        <v>873</v>
      </c>
      <c r="S7" s="68">
        <f>2025.1</f>
        <v>2025.1</v>
      </c>
      <c r="T7" s="65">
        <f>8760290</f>
        <v>8760290</v>
      </c>
      <c r="U7" s="65">
        <f>4309450</f>
        <v>4309450</v>
      </c>
      <c r="V7" s="65">
        <f>17851291381</f>
        <v>17851291381</v>
      </c>
      <c r="W7" s="65">
        <f>8825538771</f>
        <v>8825538771</v>
      </c>
      <c r="X7" s="69">
        <f>20</f>
        <v>20</v>
      </c>
    </row>
    <row r="8" spans="1:24">
      <c r="A8" s="60" t="s">
        <v>926</v>
      </c>
      <c r="B8" s="60" t="s">
        <v>51</v>
      </c>
      <c r="C8" s="60" t="s">
        <v>52</v>
      </c>
      <c r="D8" s="60" t="s">
        <v>53</v>
      </c>
      <c r="E8" s="61" t="s">
        <v>46</v>
      </c>
      <c r="F8" s="62" t="s">
        <v>46</v>
      </c>
      <c r="G8" s="63" t="s">
        <v>46</v>
      </c>
      <c r="H8" s="64"/>
      <c r="I8" s="64" t="s">
        <v>47</v>
      </c>
      <c r="J8" s="65">
        <v>10</v>
      </c>
      <c r="K8" s="66">
        <f>2047</f>
        <v>2047</v>
      </c>
      <c r="L8" s="67" t="s">
        <v>853</v>
      </c>
      <c r="M8" s="66">
        <f>2061</f>
        <v>2061</v>
      </c>
      <c r="N8" s="67" t="s">
        <v>77</v>
      </c>
      <c r="O8" s="66">
        <f>1943</f>
        <v>1943</v>
      </c>
      <c r="P8" s="67" t="s">
        <v>859</v>
      </c>
      <c r="Q8" s="66">
        <f>1962</f>
        <v>1962</v>
      </c>
      <c r="R8" s="67" t="s">
        <v>873</v>
      </c>
      <c r="S8" s="68">
        <f>2003.35</f>
        <v>2003.35</v>
      </c>
      <c r="T8" s="65">
        <f>69523650</f>
        <v>69523650</v>
      </c>
      <c r="U8" s="65">
        <f>23256040</f>
        <v>23256040</v>
      </c>
      <c r="V8" s="65">
        <f>138490640952</f>
        <v>138490640952</v>
      </c>
      <c r="W8" s="65">
        <f>46008840582</f>
        <v>46008840582</v>
      </c>
      <c r="X8" s="69">
        <f>20</f>
        <v>20</v>
      </c>
    </row>
    <row r="9" spans="1:24">
      <c r="A9" s="60" t="s">
        <v>926</v>
      </c>
      <c r="B9" s="60" t="s">
        <v>54</v>
      </c>
      <c r="C9" s="60" t="s">
        <v>55</v>
      </c>
      <c r="D9" s="60" t="s">
        <v>56</v>
      </c>
      <c r="E9" s="61" t="s">
        <v>46</v>
      </c>
      <c r="F9" s="62" t="s">
        <v>46</v>
      </c>
      <c r="G9" s="63" t="s">
        <v>46</v>
      </c>
      <c r="H9" s="64"/>
      <c r="I9" s="64" t="s">
        <v>47</v>
      </c>
      <c r="J9" s="65">
        <v>100</v>
      </c>
      <c r="K9" s="66">
        <f>2026</f>
        <v>2026</v>
      </c>
      <c r="L9" s="67" t="s">
        <v>853</v>
      </c>
      <c r="M9" s="66">
        <f>2038</f>
        <v>2038</v>
      </c>
      <c r="N9" s="67" t="s">
        <v>77</v>
      </c>
      <c r="O9" s="66">
        <f>1920</f>
        <v>1920</v>
      </c>
      <c r="P9" s="67" t="s">
        <v>859</v>
      </c>
      <c r="Q9" s="66">
        <f>1940</f>
        <v>1940</v>
      </c>
      <c r="R9" s="67" t="s">
        <v>873</v>
      </c>
      <c r="S9" s="68">
        <f>1979.3</f>
        <v>1979.3</v>
      </c>
      <c r="T9" s="65">
        <f>10104200</f>
        <v>10104200</v>
      </c>
      <c r="U9" s="65">
        <f>3799100</f>
        <v>3799100</v>
      </c>
      <c r="V9" s="65">
        <f>20097214740</f>
        <v>20097214740</v>
      </c>
      <c r="W9" s="65">
        <f>7583846240</f>
        <v>7583846240</v>
      </c>
      <c r="X9" s="69">
        <f>20</f>
        <v>20</v>
      </c>
    </row>
    <row r="10" spans="1:24">
      <c r="A10" s="60" t="s">
        <v>926</v>
      </c>
      <c r="B10" s="60" t="s">
        <v>57</v>
      </c>
      <c r="C10" s="60" t="s">
        <v>58</v>
      </c>
      <c r="D10" s="60" t="s">
        <v>59</v>
      </c>
      <c r="E10" s="61" t="s">
        <v>46</v>
      </c>
      <c r="F10" s="62" t="s">
        <v>46</v>
      </c>
      <c r="G10" s="63" t="s">
        <v>46</v>
      </c>
      <c r="H10" s="64"/>
      <c r="I10" s="64" t="s">
        <v>47</v>
      </c>
      <c r="J10" s="65">
        <v>1</v>
      </c>
      <c r="K10" s="66">
        <f>45250</f>
        <v>45250</v>
      </c>
      <c r="L10" s="67" t="s">
        <v>853</v>
      </c>
      <c r="M10" s="66">
        <f>45500</f>
        <v>45500</v>
      </c>
      <c r="N10" s="67" t="s">
        <v>853</v>
      </c>
      <c r="O10" s="66">
        <f>39500</f>
        <v>39500</v>
      </c>
      <c r="P10" s="67" t="s">
        <v>88</v>
      </c>
      <c r="Q10" s="66">
        <f>40250</f>
        <v>40250</v>
      </c>
      <c r="R10" s="67" t="s">
        <v>873</v>
      </c>
      <c r="S10" s="68">
        <f>43120</f>
        <v>43120</v>
      </c>
      <c r="T10" s="65">
        <f>10678</f>
        <v>10678</v>
      </c>
      <c r="U10" s="65">
        <f>12</f>
        <v>12</v>
      </c>
      <c r="V10" s="65">
        <f>453970950</f>
        <v>453970950</v>
      </c>
      <c r="W10" s="65">
        <f>520750</f>
        <v>520750</v>
      </c>
      <c r="X10" s="69">
        <f>20</f>
        <v>20</v>
      </c>
    </row>
    <row r="11" spans="1:24">
      <c r="A11" s="60" t="s">
        <v>926</v>
      </c>
      <c r="B11" s="60" t="s">
        <v>60</v>
      </c>
      <c r="C11" s="60" t="s">
        <v>61</v>
      </c>
      <c r="D11" s="60" t="s">
        <v>62</v>
      </c>
      <c r="E11" s="61" t="s">
        <v>46</v>
      </c>
      <c r="F11" s="62" t="s">
        <v>46</v>
      </c>
      <c r="G11" s="63" t="s">
        <v>46</v>
      </c>
      <c r="H11" s="64"/>
      <c r="I11" s="64" t="s">
        <v>47</v>
      </c>
      <c r="J11" s="65">
        <v>10</v>
      </c>
      <c r="K11" s="66">
        <f>920</f>
        <v>920</v>
      </c>
      <c r="L11" s="67" t="s">
        <v>853</v>
      </c>
      <c r="M11" s="66">
        <f>934</f>
        <v>934</v>
      </c>
      <c r="N11" s="67" t="s">
        <v>92</v>
      </c>
      <c r="O11" s="66">
        <f>878</f>
        <v>878</v>
      </c>
      <c r="P11" s="67" t="s">
        <v>371</v>
      </c>
      <c r="Q11" s="66">
        <f>892</f>
        <v>892</v>
      </c>
      <c r="R11" s="67" t="s">
        <v>873</v>
      </c>
      <c r="S11" s="68">
        <f>906.7</f>
        <v>906.7</v>
      </c>
      <c r="T11" s="65">
        <f>186310</f>
        <v>186310</v>
      </c>
      <c r="U11" s="65">
        <f>20</f>
        <v>20</v>
      </c>
      <c r="V11" s="65">
        <f>169927170</f>
        <v>169927170</v>
      </c>
      <c r="W11" s="65">
        <f>17750</f>
        <v>17750</v>
      </c>
      <c r="X11" s="69">
        <f>20</f>
        <v>20</v>
      </c>
    </row>
    <row r="12" spans="1:24">
      <c r="A12" s="60" t="s">
        <v>926</v>
      </c>
      <c r="B12" s="60" t="s">
        <v>63</v>
      </c>
      <c r="C12" s="60" t="s">
        <v>64</v>
      </c>
      <c r="D12" s="60" t="s">
        <v>65</v>
      </c>
      <c r="E12" s="61" t="s">
        <v>46</v>
      </c>
      <c r="F12" s="62" t="s">
        <v>46</v>
      </c>
      <c r="G12" s="63" t="s">
        <v>46</v>
      </c>
      <c r="H12" s="64"/>
      <c r="I12" s="64" t="s">
        <v>47</v>
      </c>
      <c r="J12" s="65">
        <v>1</v>
      </c>
      <c r="K12" s="66">
        <f>21720</f>
        <v>21720</v>
      </c>
      <c r="L12" s="67" t="s">
        <v>853</v>
      </c>
      <c r="M12" s="66">
        <f>21990</f>
        <v>21990</v>
      </c>
      <c r="N12" s="67" t="s">
        <v>84</v>
      </c>
      <c r="O12" s="66">
        <f>20700</f>
        <v>20700</v>
      </c>
      <c r="P12" s="67" t="s">
        <v>371</v>
      </c>
      <c r="Q12" s="66">
        <f>21030</f>
        <v>21030</v>
      </c>
      <c r="R12" s="67" t="s">
        <v>873</v>
      </c>
      <c r="S12" s="68">
        <f>21467</f>
        <v>21467</v>
      </c>
      <c r="T12" s="65">
        <f>1383</f>
        <v>1383</v>
      </c>
      <c r="U12" s="65">
        <f>6</f>
        <v>6</v>
      </c>
      <c r="V12" s="65">
        <f>29548500</f>
        <v>29548500</v>
      </c>
      <c r="W12" s="65">
        <f>127680</f>
        <v>127680</v>
      </c>
      <c r="X12" s="69">
        <f>20</f>
        <v>20</v>
      </c>
    </row>
    <row r="13" spans="1:24">
      <c r="A13" s="60" t="s">
        <v>926</v>
      </c>
      <c r="B13" s="60" t="s">
        <v>66</v>
      </c>
      <c r="C13" s="60" t="s">
        <v>67</v>
      </c>
      <c r="D13" s="60" t="s">
        <v>68</v>
      </c>
      <c r="E13" s="61" t="s">
        <v>46</v>
      </c>
      <c r="F13" s="62" t="s">
        <v>46</v>
      </c>
      <c r="G13" s="63" t="s">
        <v>46</v>
      </c>
      <c r="H13" s="64"/>
      <c r="I13" s="64" t="s">
        <v>47</v>
      </c>
      <c r="J13" s="65">
        <v>10</v>
      </c>
      <c r="K13" s="66">
        <f>4390</f>
        <v>4390</v>
      </c>
      <c r="L13" s="67" t="s">
        <v>84</v>
      </c>
      <c r="M13" s="66">
        <f>4390</f>
        <v>4390</v>
      </c>
      <c r="N13" s="67" t="s">
        <v>84</v>
      </c>
      <c r="O13" s="66">
        <f>4025</f>
        <v>4025</v>
      </c>
      <c r="P13" s="67" t="s">
        <v>873</v>
      </c>
      <c r="Q13" s="66">
        <f>4025</f>
        <v>4025</v>
      </c>
      <c r="R13" s="67" t="s">
        <v>873</v>
      </c>
      <c r="S13" s="68">
        <f>4169.69</f>
        <v>4169.6899999999996</v>
      </c>
      <c r="T13" s="65">
        <f>4800</f>
        <v>4800</v>
      </c>
      <c r="U13" s="65">
        <f>40</f>
        <v>40</v>
      </c>
      <c r="V13" s="65">
        <f>19908950</f>
        <v>19908950</v>
      </c>
      <c r="W13" s="65">
        <f>167700</f>
        <v>167700</v>
      </c>
      <c r="X13" s="69">
        <f>16</f>
        <v>16</v>
      </c>
    </row>
    <row r="14" spans="1:24">
      <c r="A14" s="60" t="s">
        <v>926</v>
      </c>
      <c r="B14" s="60" t="s">
        <v>70</v>
      </c>
      <c r="C14" s="60" t="s">
        <v>71</v>
      </c>
      <c r="D14" s="60" t="s">
        <v>72</v>
      </c>
      <c r="E14" s="61" t="s">
        <v>46</v>
      </c>
      <c r="F14" s="62" t="s">
        <v>46</v>
      </c>
      <c r="G14" s="63" t="s">
        <v>46</v>
      </c>
      <c r="H14" s="64"/>
      <c r="I14" s="64" t="s">
        <v>47</v>
      </c>
      <c r="J14" s="65">
        <v>1000</v>
      </c>
      <c r="K14" s="66">
        <f>389</f>
        <v>389</v>
      </c>
      <c r="L14" s="67" t="s">
        <v>853</v>
      </c>
      <c r="M14" s="66">
        <f>389</f>
        <v>389</v>
      </c>
      <c r="N14" s="67" t="s">
        <v>853</v>
      </c>
      <c r="O14" s="66">
        <f>364</f>
        <v>364</v>
      </c>
      <c r="P14" s="67" t="s">
        <v>859</v>
      </c>
      <c r="Q14" s="66">
        <f>369</f>
        <v>369</v>
      </c>
      <c r="R14" s="67" t="s">
        <v>873</v>
      </c>
      <c r="S14" s="68">
        <f>375.26</f>
        <v>375.26</v>
      </c>
      <c r="T14" s="65">
        <f>108000</f>
        <v>108000</v>
      </c>
      <c r="U14" s="65">
        <f>2000</f>
        <v>2000</v>
      </c>
      <c r="V14" s="65">
        <f>40548000</f>
        <v>40548000</v>
      </c>
      <c r="W14" s="65">
        <f>738000</f>
        <v>738000</v>
      </c>
      <c r="X14" s="69">
        <f>19</f>
        <v>19</v>
      </c>
    </row>
    <row r="15" spans="1:24">
      <c r="A15" s="60" t="s">
        <v>926</v>
      </c>
      <c r="B15" s="60" t="s">
        <v>74</v>
      </c>
      <c r="C15" s="60" t="s">
        <v>75</v>
      </c>
      <c r="D15" s="60" t="s">
        <v>76</v>
      </c>
      <c r="E15" s="61" t="s">
        <v>46</v>
      </c>
      <c r="F15" s="62" t="s">
        <v>46</v>
      </c>
      <c r="G15" s="63" t="s">
        <v>46</v>
      </c>
      <c r="H15" s="64"/>
      <c r="I15" s="64" t="s">
        <v>47</v>
      </c>
      <c r="J15" s="65">
        <v>1</v>
      </c>
      <c r="K15" s="66">
        <f>29880</f>
        <v>29880</v>
      </c>
      <c r="L15" s="67" t="s">
        <v>853</v>
      </c>
      <c r="M15" s="66">
        <f>29890</f>
        <v>29890</v>
      </c>
      <c r="N15" s="67" t="s">
        <v>857</v>
      </c>
      <c r="O15" s="66">
        <f>27900</f>
        <v>27900</v>
      </c>
      <c r="P15" s="67" t="s">
        <v>873</v>
      </c>
      <c r="Q15" s="66">
        <f>27920</f>
        <v>27920</v>
      </c>
      <c r="R15" s="67" t="s">
        <v>873</v>
      </c>
      <c r="S15" s="68">
        <f>28888.5</f>
        <v>28888.5</v>
      </c>
      <c r="T15" s="65">
        <f>1269151</f>
        <v>1269151</v>
      </c>
      <c r="U15" s="65">
        <f>76932</f>
        <v>76932</v>
      </c>
      <c r="V15" s="65">
        <f>36468798640</f>
        <v>36468798640</v>
      </c>
      <c r="W15" s="65">
        <f>2226377060</f>
        <v>2226377060</v>
      </c>
      <c r="X15" s="69">
        <f>20</f>
        <v>20</v>
      </c>
    </row>
    <row r="16" spans="1:24">
      <c r="A16" s="60" t="s">
        <v>926</v>
      </c>
      <c r="B16" s="60" t="s">
        <v>78</v>
      </c>
      <c r="C16" s="60" t="s">
        <v>79</v>
      </c>
      <c r="D16" s="60" t="s">
        <v>80</v>
      </c>
      <c r="E16" s="61" t="s">
        <v>46</v>
      </c>
      <c r="F16" s="62" t="s">
        <v>46</v>
      </c>
      <c r="G16" s="63" t="s">
        <v>46</v>
      </c>
      <c r="H16" s="64"/>
      <c r="I16" s="64" t="s">
        <v>47</v>
      </c>
      <c r="J16" s="65">
        <v>1</v>
      </c>
      <c r="K16" s="66">
        <f>29950</f>
        <v>29950</v>
      </c>
      <c r="L16" s="67" t="s">
        <v>853</v>
      </c>
      <c r="M16" s="66">
        <f>29960</f>
        <v>29960</v>
      </c>
      <c r="N16" s="67" t="s">
        <v>853</v>
      </c>
      <c r="O16" s="66">
        <f>27960</f>
        <v>27960</v>
      </c>
      <c r="P16" s="67" t="s">
        <v>873</v>
      </c>
      <c r="Q16" s="66">
        <f>27990</f>
        <v>27990</v>
      </c>
      <c r="R16" s="67" t="s">
        <v>873</v>
      </c>
      <c r="S16" s="68">
        <f>28898</f>
        <v>28898</v>
      </c>
      <c r="T16" s="65">
        <f>7640911</f>
        <v>7640911</v>
      </c>
      <c r="U16" s="65">
        <f>356249</f>
        <v>356249</v>
      </c>
      <c r="V16" s="65">
        <f>221165006876</f>
        <v>221165006876</v>
      </c>
      <c r="W16" s="65">
        <f>10373344026</f>
        <v>10373344026</v>
      </c>
      <c r="X16" s="69">
        <f>20</f>
        <v>20</v>
      </c>
    </row>
    <row r="17" spans="1:24">
      <c r="A17" s="60" t="s">
        <v>926</v>
      </c>
      <c r="B17" s="60" t="s">
        <v>81</v>
      </c>
      <c r="C17" s="60" t="s">
        <v>82</v>
      </c>
      <c r="D17" s="60" t="s">
        <v>83</v>
      </c>
      <c r="E17" s="61" t="s">
        <v>46</v>
      </c>
      <c r="F17" s="62" t="s">
        <v>46</v>
      </c>
      <c r="G17" s="63" t="s">
        <v>46</v>
      </c>
      <c r="H17" s="64"/>
      <c r="I17" s="64" t="s">
        <v>47</v>
      </c>
      <c r="J17" s="65">
        <v>10</v>
      </c>
      <c r="K17" s="66">
        <f>8450</f>
        <v>8450</v>
      </c>
      <c r="L17" s="67" t="s">
        <v>853</v>
      </c>
      <c r="M17" s="66">
        <f>8550</f>
        <v>8550</v>
      </c>
      <c r="N17" s="67" t="s">
        <v>853</v>
      </c>
      <c r="O17" s="66">
        <f>7660</f>
        <v>7660</v>
      </c>
      <c r="P17" s="67" t="s">
        <v>88</v>
      </c>
      <c r="Q17" s="66">
        <f>7810</f>
        <v>7810</v>
      </c>
      <c r="R17" s="67" t="s">
        <v>873</v>
      </c>
      <c r="S17" s="68">
        <f>8262</f>
        <v>8262</v>
      </c>
      <c r="T17" s="65">
        <f>22870</f>
        <v>22870</v>
      </c>
      <c r="U17" s="65">
        <f>70</f>
        <v>70</v>
      </c>
      <c r="V17" s="65">
        <f>187752500</f>
        <v>187752500</v>
      </c>
      <c r="W17" s="65">
        <f>580600</f>
        <v>580600</v>
      </c>
      <c r="X17" s="69">
        <f>20</f>
        <v>20</v>
      </c>
    </row>
    <row r="18" spans="1:24">
      <c r="A18" s="60" t="s">
        <v>926</v>
      </c>
      <c r="B18" s="60" t="s">
        <v>85</v>
      </c>
      <c r="C18" s="60" t="s">
        <v>86</v>
      </c>
      <c r="D18" s="60" t="s">
        <v>87</v>
      </c>
      <c r="E18" s="61" t="s">
        <v>46</v>
      </c>
      <c r="F18" s="62" t="s">
        <v>46</v>
      </c>
      <c r="G18" s="63" t="s">
        <v>46</v>
      </c>
      <c r="H18" s="64"/>
      <c r="I18" s="64" t="s">
        <v>47</v>
      </c>
      <c r="J18" s="65">
        <v>100</v>
      </c>
      <c r="K18" s="66">
        <f>512</f>
        <v>512</v>
      </c>
      <c r="L18" s="67" t="s">
        <v>853</v>
      </c>
      <c r="M18" s="66">
        <f>522</f>
        <v>522</v>
      </c>
      <c r="N18" s="67" t="s">
        <v>172</v>
      </c>
      <c r="O18" s="66">
        <f>476</f>
        <v>476</v>
      </c>
      <c r="P18" s="67" t="s">
        <v>172</v>
      </c>
      <c r="Q18" s="66">
        <f>490</f>
        <v>490</v>
      </c>
      <c r="R18" s="67" t="s">
        <v>873</v>
      </c>
      <c r="S18" s="68">
        <f>497.35</f>
        <v>497.35</v>
      </c>
      <c r="T18" s="65">
        <f>324700</f>
        <v>324700</v>
      </c>
      <c r="U18" s="65">
        <f>700</f>
        <v>700</v>
      </c>
      <c r="V18" s="65">
        <f>161455400</f>
        <v>161455400</v>
      </c>
      <c r="W18" s="65">
        <f>349500</f>
        <v>349500</v>
      </c>
      <c r="X18" s="69">
        <f>20</f>
        <v>20</v>
      </c>
    </row>
    <row r="19" spans="1:24">
      <c r="A19" s="60" t="s">
        <v>926</v>
      </c>
      <c r="B19" s="60" t="s">
        <v>89</v>
      </c>
      <c r="C19" s="60" t="s">
        <v>90</v>
      </c>
      <c r="D19" s="60" t="s">
        <v>91</v>
      </c>
      <c r="E19" s="61" t="s">
        <v>46</v>
      </c>
      <c r="F19" s="62" t="s">
        <v>46</v>
      </c>
      <c r="G19" s="63" t="s">
        <v>46</v>
      </c>
      <c r="H19" s="64"/>
      <c r="I19" s="64" t="s">
        <v>47</v>
      </c>
      <c r="J19" s="65">
        <v>100</v>
      </c>
      <c r="K19" s="66">
        <f>163</f>
        <v>163</v>
      </c>
      <c r="L19" s="67" t="s">
        <v>853</v>
      </c>
      <c r="M19" s="66">
        <f>171</f>
        <v>171</v>
      </c>
      <c r="N19" s="67" t="s">
        <v>77</v>
      </c>
      <c r="O19" s="66">
        <f>151</f>
        <v>151</v>
      </c>
      <c r="P19" s="67" t="s">
        <v>268</v>
      </c>
      <c r="Q19" s="66">
        <f>158</f>
        <v>158</v>
      </c>
      <c r="R19" s="67" t="s">
        <v>873</v>
      </c>
      <c r="S19" s="68">
        <f>160.75</f>
        <v>160.75</v>
      </c>
      <c r="T19" s="65">
        <f>389000</f>
        <v>389000</v>
      </c>
      <c r="U19" s="65">
        <f>300</f>
        <v>300</v>
      </c>
      <c r="V19" s="65">
        <f>62557300</f>
        <v>62557300</v>
      </c>
      <c r="W19" s="65">
        <f>50400</f>
        <v>50400</v>
      </c>
      <c r="X19" s="69">
        <f>20</f>
        <v>20</v>
      </c>
    </row>
    <row r="20" spans="1:24">
      <c r="A20" s="60" t="s">
        <v>926</v>
      </c>
      <c r="B20" s="60" t="s">
        <v>93</v>
      </c>
      <c r="C20" s="60" t="s">
        <v>94</v>
      </c>
      <c r="D20" s="60" t="s">
        <v>95</v>
      </c>
      <c r="E20" s="61" t="s">
        <v>46</v>
      </c>
      <c r="F20" s="62" t="s">
        <v>46</v>
      </c>
      <c r="G20" s="63" t="s">
        <v>46</v>
      </c>
      <c r="H20" s="64"/>
      <c r="I20" s="64" t="s">
        <v>47</v>
      </c>
      <c r="J20" s="65">
        <v>100</v>
      </c>
      <c r="K20" s="66">
        <f>205</f>
        <v>205</v>
      </c>
      <c r="L20" s="67" t="s">
        <v>853</v>
      </c>
      <c r="M20" s="66">
        <f>206</f>
        <v>206</v>
      </c>
      <c r="N20" s="67" t="s">
        <v>853</v>
      </c>
      <c r="O20" s="66">
        <f>190</f>
        <v>190</v>
      </c>
      <c r="P20" s="67" t="s">
        <v>371</v>
      </c>
      <c r="Q20" s="66">
        <f>194</f>
        <v>194</v>
      </c>
      <c r="R20" s="67" t="s">
        <v>873</v>
      </c>
      <c r="S20" s="68">
        <f>198.05</f>
        <v>198.05</v>
      </c>
      <c r="T20" s="65">
        <f>188300</f>
        <v>188300</v>
      </c>
      <c r="U20" s="65">
        <f>1000</f>
        <v>1000</v>
      </c>
      <c r="V20" s="65">
        <f>37151700</f>
        <v>37151700</v>
      </c>
      <c r="W20" s="65">
        <f>198000</f>
        <v>198000</v>
      </c>
      <c r="X20" s="69">
        <f>20</f>
        <v>20</v>
      </c>
    </row>
    <row r="21" spans="1:24">
      <c r="A21" s="60" t="s">
        <v>926</v>
      </c>
      <c r="B21" s="60" t="s">
        <v>97</v>
      </c>
      <c r="C21" s="60" t="s">
        <v>98</v>
      </c>
      <c r="D21" s="60" t="s">
        <v>99</v>
      </c>
      <c r="E21" s="61" t="s">
        <v>46</v>
      </c>
      <c r="F21" s="62" t="s">
        <v>46</v>
      </c>
      <c r="G21" s="63" t="s">
        <v>46</v>
      </c>
      <c r="H21" s="64"/>
      <c r="I21" s="64" t="s">
        <v>47</v>
      </c>
      <c r="J21" s="65">
        <v>1</v>
      </c>
      <c r="K21" s="66">
        <f>18390</f>
        <v>18390</v>
      </c>
      <c r="L21" s="67" t="s">
        <v>853</v>
      </c>
      <c r="M21" s="66">
        <f>18830</f>
        <v>18830</v>
      </c>
      <c r="N21" s="67" t="s">
        <v>854</v>
      </c>
      <c r="O21" s="66">
        <f>18360</f>
        <v>18360</v>
      </c>
      <c r="P21" s="67" t="s">
        <v>853</v>
      </c>
      <c r="Q21" s="66">
        <f>18730</f>
        <v>18730</v>
      </c>
      <c r="R21" s="67" t="s">
        <v>873</v>
      </c>
      <c r="S21" s="68">
        <f>18634</f>
        <v>18634</v>
      </c>
      <c r="T21" s="65">
        <f>158618</f>
        <v>158618</v>
      </c>
      <c r="U21" s="65">
        <f>8</f>
        <v>8</v>
      </c>
      <c r="V21" s="65">
        <f>2954942150</f>
        <v>2954942150</v>
      </c>
      <c r="W21" s="65">
        <f>152000</f>
        <v>152000</v>
      </c>
      <c r="X21" s="69">
        <f>20</f>
        <v>20</v>
      </c>
    </row>
    <row r="22" spans="1:24">
      <c r="A22" s="60" t="s">
        <v>926</v>
      </c>
      <c r="B22" s="60" t="s">
        <v>101</v>
      </c>
      <c r="C22" s="60" t="s">
        <v>102</v>
      </c>
      <c r="D22" s="60" t="s">
        <v>103</v>
      </c>
      <c r="E22" s="61" t="s">
        <v>46</v>
      </c>
      <c r="F22" s="62" t="s">
        <v>46</v>
      </c>
      <c r="G22" s="63" t="s">
        <v>46</v>
      </c>
      <c r="H22" s="64"/>
      <c r="I22" s="64" t="s">
        <v>47</v>
      </c>
      <c r="J22" s="65">
        <v>1</v>
      </c>
      <c r="K22" s="66">
        <f>3920</f>
        <v>3920</v>
      </c>
      <c r="L22" s="67" t="s">
        <v>853</v>
      </c>
      <c r="M22" s="66">
        <f>4060</f>
        <v>4060</v>
      </c>
      <c r="N22" s="67" t="s">
        <v>77</v>
      </c>
      <c r="O22" s="66">
        <f>3740</f>
        <v>3740</v>
      </c>
      <c r="P22" s="67" t="s">
        <v>371</v>
      </c>
      <c r="Q22" s="66">
        <f>4030</f>
        <v>4030</v>
      </c>
      <c r="R22" s="67" t="s">
        <v>873</v>
      </c>
      <c r="S22" s="68">
        <f>3967</f>
        <v>3967</v>
      </c>
      <c r="T22" s="65">
        <f>6231</f>
        <v>6231</v>
      </c>
      <c r="U22" s="65">
        <f>8</f>
        <v>8</v>
      </c>
      <c r="V22" s="65">
        <f>24484875</f>
        <v>24484875</v>
      </c>
      <c r="W22" s="65">
        <f>31790</f>
        <v>31790</v>
      </c>
      <c r="X22" s="69">
        <f>20</f>
        <v>20</v>
      </c>
    </row>
    <row r="23" spans="1:24">
      <c r="A23" s="60" t="s">
        <v>926</v>
      </c>
      <c r="B23" s="60" t="s">
        <v>104</v>
      </c>
      <c r="C23" s="60" t="s">
        <v>105</v>
      </c>
      <c r="D23" s="60" t="s">
        <v>106</v>
      </c>
      <c r="E23" s="61" t="s">
        <v>46</v>
      </c>
      <c r="F23" s="62" t="s">
        <v>46</v>
      </c>
      <c r="G23" s="63" t="s">
        <v>46</v>
      </c>
      <c r="H23" s="64"/>
      <c r="I23" s="64" t="s">
        <v>47</v>
      </c>
      <c r="J23" s="65">
        <v>10</v>
      </c>
      <c r="K23" s="66">
        <f>4985</f>
        <v>4985</v>
      </c>
      <c r="L23" s="67" t="s">
        <v>853</v>
      </c>
      <c r="M23" s="66">
        <f>5120</f>
        <v>5120</v>
      </c>
      <c r="N23" s="67" t="s">
        <v>854</v>
      </c>
      <c r="O23" s="66">
        <f>4985</f>
        <v>4985</v>
      </c>
      <c r="P23" s="67" t="s">
        <v>853</v>
      </c>
      <c r="Q23" s="66">
        <f>5080</f>
        <v>5080</v>
      </c>
      <c r="R23" s="67" t="s">
        <v>873</v>
      </c>
      <c r="S23" s="68">
        <f>5055.5</f>
        <v>5055.5</v>
      </c>
      <c r="T23" s="65">
        <f>213190</f>
        <v>213190</v>
      </c>
      <c r="U23" s="65" t="str">
        <f>"－"</f>
        <v>－</v>
      </c>
      <c r="V23" s="65">
        <f>1077678950</f>
        <v>1077678950</v>
      </c>
      <c r="W23" s="65" t="str">
        <f>"－"</f>
        <v>－</v>
      </c>
      <c r="X23" s="69">
        <f>20</f>
        <v>20</v>
      </c>
    </row>
    <row r="24" spans="1:24">
      <c r="A24" s="60" t="s">
        <v>926</v>
      </c>
      <c r="B24" s="60" t="s">
        <v>107</v>
      </c>
      <c r="C24" s="60" t="s">
        <v>108</v>
      </c>
      <c r="D24" s="60" t="s">
        <v>109</v>
      </c>
      <c r="E24" s="61" t="s">
        <v>46</v>
      </c>
      <c r="F24" s="62" t="s">
        <v>46</v>
      </c>
      <c r="G24" s="63" t="s">
        <v>46</v>
      </c>
      <c r="H24" s="64"/>
      <c r="I24" s="64" t="s">
        <v>47</v>
      </c>
      <c r="J24" s="65">
        <v>1</v>
      </c>
      <c r="K24" s="66">
        <f>29930</f>
        <v>29930</v>
      </c>
      <c r="L24" s="67" t="s">
        <v>853</v>
      </c>
      <c r="M24" s="66">
        <f>29940</f>
        <v>29940</v>
      </c>
      <c r="N24" s="67" t="s">
        <v>92</v>
      </c>
      <c r="O24" s="66">
        <f>28300</f>
        <v>28300</v>
      </c>
      <c r="P24" s="67" t="s">
        <v>873</v>
      </c>
      <c r="Q24" s="66">
        <f>28320</f>
        <v>28320</v>
      </c>
      <c r="R24" s="67" t="s">
        <v>873</v>
      </c>
      <c r="S24" s="68">
        <f>29170</f>
        <v>29170</v>
      </c>
      <c r="T24" s="65">
        <f>1457203</f>
        <v>1457203</v>
      </c>
      <c r="U24" s="65">
        <f>650760</f>
        <v>650760</v>
      </c>
      <c r="V24" s="65">
        <f>41945933590</f>
        <v>41945933590</v>
      </c>
      <c r="W24" s="65">
        <f>18616963410</f>
        <v>18616963410</v>
      </c>
      <c r="X24" s="69">
        <f>20</f>
        <v>20</v>
      </c>
    </row>
    <row r="25" spans="1:24">
      <c r="A25" s="60" t="s">
        <v>926</v>
      </c>
      <c r="B25" s="60" t="s">
        <v>110</v>
      </c>
      <c r="C25" s="60" t="s">
        <v>111</v>
      </c>
      <c r="D25" s="60" t="s">
        <v>112</v>
      </c>
      <c r="E25" s="61" t="s">
        <v>46</v>
      </c>
      <c r="F25" s="62" t="s">
        <v>46</v>
      </c>
      <c r="G25" s="63" t="s">
        <v>46</v>
      </c>
      <c r="H25" s="64"/>
      <c r="I25" s="64" t="s">
        <v>47</v>
      </c>
      <c r="J25" s="65">
        <v>10</v>
      </c>
      <c r="K25" s="66">
        <f>29980</f>
        <v>29980</v>
      </c>
      <c r="L25" s="67" t="s">
        <v>853</v>
      </c>
      <c r="M25" s="66">
        <f>30000</f>
        <v>30000</v>
      </c>
      <c r="N25" s="67" t="s">
        <v>853</v>
      </c>
      <c r="O25" s="66">
        <f>28010</f>
        <v>28010</v>
      </c>
      <c r="P25" s="67" t="s">
        <v>873</v>
      </c>
      <c r="Q25" s="66">
        <f>28010</f>
        <v>28010</v>
      </c>
      <c r="R25" s="67" t="s">
        <v>873</v>
      </c>
      <c r="S25" s="68">
        <f>28960.5</f>
        <v>28960.5</v>
      </c>
      <c r="T25" s="65">
        <f>1645360</f>
        <v>1645360</v>
      </c>
      <c r="U25" s="65">
        <f>575210</f>
        <v>575210</v>
      </c>
      <c r="V25" s="65">
        <f>47534932745</f>
        <v>47534932745</v>
      </c>
      <c r="W25" s="65">
        <f>16691552145</f>
        <v>16691552145</v>
      </c>
      <c r="X25" s="69">
        <f>20</f>
        <v>20</v>
      </c>
    </row>
    <row r="26" spans="1:24">
      <c r="A26" s="60" t="s">
        <v>926</v>
      </c>
      <c r="B26" s="60" t="s">
        <v>113</v>
      </c>
      <c r="C26" s="60" t="s">
        <v>114</v>
      </c>
      <c r="D26" s="60" t="s">
        <v>115</v>
      </c>
      <c r="E26" s="61" t="s">
        <v>46</v>
      </c>
      <c r="F26" s="62" t="s">
        <v>46</v>
      </c>
      <c r="G26" s="63" t="s">
        <v>46</v>
      </c>
      <c r="H26" s="64"/>
      <c r="I26" s="64" t="s">
        <v>47</v>
      </c>
      <c r="J26" s="65">
        <v>10</v>
      </c>
      <c r="K26" s="66">
        <f>2311</f>
        <v>2311</v>
      </c>
      <c r="L26" s="67" t="s">
        <v>853</v>
      </c>
      <c r="M26" s="66">
        <f>2360</f>
        <v>2360</v>
      </c>
      <c r="N26" s="67" t="s">
        <v>92</v>
      </c>
      <c r="O26" s="66">
        <f>2285</f>
        <v>2285</v>
      </c>
      <c r="P26" s="67" t="s">
        <v>371</v>
      </c>
      <c r="Q26" s="66">
        <f>2328</f>
        <v>2328</v>
      </c>
      <c r="R26" s="67" t="s">
        <v>873</v>
      </c>
      <c r="S26" s="68">
        <f>2326.8</f>
        <v>2326.8000000000002</v>
      </c>
      <c r="T26" s="65">
        <f>6869020</f>
        <v>6869020</v>
      </c>
      <c r="U26" s="65">
        <f>279360</f>
        <v>279360</v>
      </c>
      <c r="V26" s="65">
        <f>15935462687</f>
        <v>15935462687</v>
      </c>
      <c r="W26" s="65">
        <f>647786317</f>
        <v>647786317</v>
      </c>
      <c r="X26" s="69">
        <f>20</f>
        <v>20</v>
      </c>
    </row>
    <row r="27" spans="1:24">
      <c r="A27" s="60" t="s">
        <v>926</v>
      </c>
      <c r="B27" s="60" t="s">
        <v>116</v>
      </c>
      <c r="C27" s="60" t="s">
        <v>117</v>
      </c>
      <c r="D27" s="60" t="s">
        <v>118</v>
      </c>
      <c r="E27" s="61" t="s">
        <v>46</v>
      </c>
      <c r="F27" s="62" t="s">
        <v>46</v>
      </c>
      <c r="G27" s="63" t="s">
        <v>46</v>
      </c>
      <c r="H27" s="64" t="s">
        <v>540</v>
      </c>
      <c r="I27" s="64" t="s">
        <v>47</v>
      </c>
      <c r="J27" s="65">
        <v>10</v>
      </c>
      <c r="K27" s="66">
        <f>892</f>
        <v>892</v>
      </c>
      <c r="L27" s="67" t="s">
        <v>853</v>
      </c>
      <c r="M27" s="66">
        <f>909</f>
        <v>909</v>
      </c>
      <c r="N27" s="67" t="s">
        <v>92</v>
      </c>
      <c r="O27" s="66">
        <f>855</f>
        <v>855</v>
      </c>
      <c r="P27" s="67" t="s">
        <v>371</v>
      </c>
      <c r="Q27" s="66">
        <f>867</f>
        <v>867</v>
      </c>
      <c r="R27" s="67" t="s">
        <v>873</v>
      </c>
      <c r="S27" s="68">
        <f>882.25</f>
        <v>882.25</v>
      </c>
      <c r="T27" s="65">
        <f>15280</f>
        <v>15280</v>
      </c>
      <c r="U27" s="65">
        <f>100</f>
        <v>100</v>
      </c>
      <c r="V27" s="65">
        <f>13562850</f>
        <v>13562850</v>
      </c>
      <c r="W27" s="65">
        <f>87810</f>
        <v>87810</v>
      </c>
      <c r="X27" s="69">
        <f>20</f>
        <v>20</v>
      </c>
    </row>
    <row r="28" spans="1:24">
      <c r="A28" s="60" t="s">
        <v>926</v>
      </c>
      <c r="B28" s="60" t="s">
        <v>119</v>
      </c>
      <c r="C28" s="60" t="s">
        <v>120</v>
      </c>
      <c r="D28" s="60" t="s">
        <v>121</v>
      </c>
      <c r="E28" s="61" t="s">
        <v>46</v>
      </c>
      <c r="F28" s="62" t="s">
        <v>46</v>
      </c>
      <c r="G28" s="63" t="s">
        <v>46</v>
      </c>
      <c r="H28" s="64"/>
      <c r="I28" s="64" t="s">
        <v>47</v>
      </c>
      <c r="J28" s="65">
        <v>100</v>
      </c>
      <c r="K28" s="66">
        <f>2183</f>
        <v>2183</v>
      </c>
      <c r="L28" s="67" t="s">
        <v>853</v>
      </c>
      <c r="M28" s="66">
        <f>2222</f>
        <v>2222</v>
      </c>
      <c r="N28" s="67" t="s">
        <v>77</v>
      </c>
      <c r="O28" s="66">
        <f>2150</f>
        <v>2150</v>
      </c>
      <c r="P28" s="67" t="s">
        <v>371</v>
      </c>
      <c r="Q28" s="66">
        <f>2185</f>
        <v>2185</v>
      </c>
      <c r="R28" s="67" t="s">
        <v>873</v>
      </c>
      <c r="S28" s="68">
        <f>2188.75</f>
        <v>2188.75</v>
      </c>
      <c r="T28" s="65">
        <f>1964900</f>
        <v>1964900</v>
      </c>
      <c r="U28" s="65">
        <f>157700</f>
        <v>157700</v>
      </c>
      <c r="V28" s="65">
        <f>4307478708</f>
        <v>4307478708</v>
      </c>
      <c r="W28" s="65">
        <f>345834508</f>
        <v>345834508</v>
      </c>
      <c r="X28" s="69">
        <f>20</f>
        <v>20</v>
      </c>
    </row>
    <row r="29" spans="1:24">
      <c r="A29" s="60" t="s">
        <v>926</v>
      </c>
      <c r="B29" s="60" t="s">
        <v>122</v>
      </c>
      <c r="C29" s="60" t="s">
        <v>123</v>
      </c>
      <c r="D29" s="60" t="s">
        <v>124</v>
      </c>
      <c r="E29" s="61" t="s">
        <v>46</v>
      </c>
      <c r="F29" s="62" t="s">
        <v>46</v>
      </c>
      <c r="G29" s="63" t="s">
        <v>46</v>
      </c>
      <c r="H29" s="64"/>
      <c r="I29" s="64" t="s">
        <v>47</v>
      </c>
      <c r="J29" s="65">
        <v>1</v>
      </c>
      <c r="K29" s="66">
        <f>29910</f>
        <v>29910</v>
      </c>
      <c r="L29" s="67" t="s">
        <v>853</v>
      </c>
      <c r="M29" s="66">
        <f>29930</f>
        <v>29930</v>
      </c>
      <c r="N29" s="67" t="s">
        <v>857</v>
      </c>
      <c r="O29" s="66">
        <f>28100</f>
        <v>28100</v>
      </c>
      <c r="P29" s="67" t="s">
        <v>873</v>
      </c>
      <c r="Q29" s="66">
        <f>28120</f>
        <v>28120</v>
      </c>
      <c r="R29" s="67" t="s">
        <v>873</v>
      </c>
      <c r="S29" s="68">
        <f>29068</f>
        <v>29068</v>
      </c>
      <c r="T29" s="65">
        <f>844191</f>
        <v>844191</v>
      </c>
      <c r="U29" s="65">
        <f>167105</f>
        <v>167105</v>
      </c>
      <c r="V29" s="65">
        <f>24451914967</f>
        <v>24451914967</v>
      </c>
      <c r="W29" s="65">
        <f>4866620697</f>
        <v>4866620697</v>
      </c>
      <c r="X29" s="69">
        <f>20</f>
        <v>20</v>
      </c>
    </row>
    <row r="30" spans="1:24">
      <c r="A30" s="60" t="s">
        <v>926</v>
      </c>
      <c r="B30" s="60" t="s">
        <v>125</v>
      </c>
      <c r="C30" s="60" t="s">
        <v>126</v>
      </c>
      <c r="D30" s="60" t="s">
        <v>127</v>
      </c>
      <c r="E30" s="61" t="s">
        <v>46</v>
      </c>
      <c r="F30" s="62" t="s">
        <v>46</v>
      </c>
      <c r="G30" s="63" t="s">
        <v>46</v>
      </c>
      <c r="H30" s="64"/>
      <c r="I30" s="64" t="s">
        <v>47</v>
      </c>
      <c r="J30" s="65">
        <v>10</v>
      </c>
      <c r="K30" s="66">
        <f>2033</f>
        <v>2033</v>
      </c>
      <c r="L30" s="67" t="s">
        <v>853</v>
      </c>
      <c r="M30" s="66">
        <f>2058</f>
        <v>2058</v>
      </c>
      <c r="N30" s="67" t="s">
        <v>92</v>
      </c>
      <c r="O30" s="66">
        <f>1943</f>
        <v>1943</v>
      </c>
      <c r="P30" s="67" t="s">
        <v>371</v>
      </c>
      <c r="Q30" s="66">
        <f>1963</f>
        <v>1963</v>
      </c>
      <c r="R30" s="67" t="s">
        <v>873</v>
      </c>
      <c r="S30" s="68">
        <f>2004.45</f>
        <v>2004.45</v>
      </c>
      <c r="T30" s="65">
        <f>3616010</f>
        <v>3616010</v>
      </c>
      <c r="U30" s="65">
        <f>71050</f>
        <v>71050</v>
      </c>
      <c r="V30" s="65">
        <f>7203346925</f>
        <v>7203346925</v>
      </c>
      <c r="W30" s="65">
        <f>140536745</f>
        <v>140536745</v>
      </c>
      <c r="X30" s="69">
        <f>20</f>
        <v>20</v>
      </c>
    </row>
    <row r="31" spans="1:24">
      <c r="A31" s="60" t="s">
        <v>926</v>
      </c>
      <c r="B31" s="60" t="s">
        <v>128</v>
      </c>
      <c r="C31" s="60" t="s">
        <v>129</v>
      </c>
      <c r="D31" s="60" t="s">
        <v>130</v>
      </c>
      <c r="E31" s="61" t="s">
        <v>46</v>
      </c>
      <c r="F31" s="62" t="s">
        <v>46</v>
      </c>
      <c r="G31" s="63" t="s">
        <v>46</v>
      </c>
      <c r="H31" s="64"/>
      <c r="I31" s="64" t="s">
        <v>47</v>
      </c>
      <c r="J31" s="65">
        <v>1</v>
      </c>
      <c r="K31" s="66">
        <f>13540</f>
        <v>13540</v>
      </c>
      <c r="L31" s="67" t="s">
        <v>853</v>
      </c>
      <c r="M31" s="66">
        <f>13640</f>
        <v>13640</v>
      </c>
      <c r="N31" s="67" t="s">
        <v>84</v>
      </c>
      <c r="O31" s="66">
        <f>13230</f>
        <v>13230</v>
      </c>
      <c r="P31" s="67" t="s">
        <v>371</v>
      </c>
      <c r="Q31" s="66">
        <f>13360</f>
        <v>13360</v>
      </c>
      <c r="R31" s="67" t="s">
        <v>50</v>
      </c>
      <c r="S31" s="68">
        <f>13424.74</f>
        <v>13424.74</v>
      </c>
      <c r="T31" s="65">
        <f>8233</f>
        <v>8233</v>
      </c>
      <c r="U31" s="65">
        <f>7506</f>
        <v>7506</v>
      </c>
      <c r="V31" s="65">
        <f>111447000</f>
        <v>111447000</v>
      </c>
      <c r="W31" s="65">
        <f>101709390</f>
        <v>101709390</v>
      </c>
      <c r="X31" s="69">
        <f>19</f>
        <v>19</v>
      </c>
    </row>
    <row r="32" spans="1:24">
      <c r="A32" s="60" t="s">
        <v>926</v>
      </c>
      <c r="B32" s="60" t="s">
        <v>133</v>
      </c>
      <c r="C32" s="60" t="s">
        <v>134</v>
      </c>
      <c r="D32" s="60" t="s">
        <v>135</v>
      </c>
      <c r="E32" s="61" t="s">
        <v>46</v>
      </c>
      <c r="F32" s="62" t="s">
        <v>46</v>
      </c>
      <c r="G32" s="63" t="s">
        <v>46</v>
      </c>
      <c r="H32" s="64"/>
      <c r="I32" s="64" t="s">
        <v>47</v>
      </c>
      <c r="J32" s="65">
        <v>10</v>
      </c>
      <c r="K32" s="66">
        <f>1145</f>
        <v>1145</v>
      </c>
      <c r="L32" s="67" t="s">
        <v>853</v>
      </c>
      <c r="M32" s="66">
        <f>1226</f>
        <v>1226</v>
      </c>
      <c r="N32" s="67" t="s">
        <v>859</v>
      </c>
      <c r="O32" s="66">
        <f>1113</f>
        <v>1113</v>
      </c>
      <c r="P32" s="67" t="s">
        <v>92</v>
      </c>
      <c r="Q32" s="66">
        <f>1196</f>
        <v>1196</v>
      </c>
      <c r="R32" s="67" t="s">
        <v>873</v>
      </c>
      <c r="S32" s="68">
        <f>1161.8</f>
        <v>1161.8</v>
      </c>
      <c r="T32" s="65">
        <f>8815770</f>
        <v>8815770</v>
      </c>
      <c r="U32" s="65">
        <f>29480</f>
        <v>29480</v>
      </c>
      <c r="V32" s="65">
        <f>10273791680</f>
        <v>10273791680</v>
      </c>
      <c r="W32" s="65">
        <f>33727810</f>
        <v>33727810</v>
      </c>
      <c r="X32" s="69">
        <f>20</f>
        <v>20</v>
      </c>
    </row>
    <row r="33" spans="1:24">
      <c r="A33" s="60" t="s">
        <v>926</v>
      </c>
      <c r="B33" s="60" t="s">
        <v>136</v>
      </c>
      <c r="C33" s="60" t="s">
        <v>137</v>
      </c>
      <c r="D33" s="60" t="s">
        <v>138</v>
      </c>
      <c r="E33" s="61" t="s">
        <v>46</v>
      </c>
      <c r="F33" s="62" t="s">
        <v>46</v>
      </c>
      <c r="G33" s="63" t="s">
        <v>46</v>
      </c>
      <c r="H33" s="64"/>
      <c r="I33" s="64" t="s">
        <v>47</v>
      </c>
      <c r="J33" s="65">
        <v>1</v>
      </c>
      <c r="K33" s="66">
        <f>413</f>
        <v>413</v>
      </c>
      <c r="L33" s="67" t="s">
        <v>853</v>
      </c>
      <c r="M33" s="66">
        <f>460</f>
        <v>460</v>
      </c>
      <c r="N33" s="67" t="s">
        <v>371</v>
      </c>
      <c r="O33" s="66">
        <f>412</f>
        <v>412</v>
      </c>
      <c r="P33" s="67" t="s">
        <v>92</v>
      </c>
      <c r="Q33" s="66">
        <f>460</f>
        <v>460</v>
      </c>
      <c r="R33" s="67" t="s">
        <v>873</v>
      </c>
      <c r="S33" s="68">
        <f>434.15</f>
        <v>434.15</v>
      </c>
      <c r="T33" s="65">
        <f>1071469508</f>
        <v>1071469508</v>
      </c>
      <c r="U33" s="65">
        <f>1832305</f>
        <v>1832305</v>
      </c>
      <c r="V33" s="65">
        <f>467857669262</f>
        <v>467857669262</v>
      </c>
      <c r="W33" s="65">
        <f>792381732</f>
        <v>792381732</v>
      </c>
      <c r="X33" s="69">
        <f>20</f>
        <v>20</v>
      </c>
    </row>
    <row r="34" spans="1:24">
      <c r="A34" s="60" t="s">
        <v>926</v>
      </c>
      <c r="B34" s="60" t="s">
        <v>139</v>
      </c>
      <c r="C34" s="60" t="s">
        <v>140</v>
      </c>
      <c r="D34" s="60" t="s">
        <v>141</v>
      </c>
      <c r="E34" s="61" t="s">
        <v>46</v>
      </c>
      <c r="F34" s="62" t="s">
        <v>46</v>
      </c>
      <c r="G34" s="63" t="s">
        <v>46</v>
      </c>
      <c r="H34" s="64"/>
      <c r="I34" s="64" t="s">
        <v>47</v>
      </c>
      <c r="J34" s="65">
        <v>1</v>
      </c>
      <c r="K34" s="66">
        <f>29360</f>
        <v>29360</v>
      </c>
      <c r="L34" s="67" t="s">
        <v>853</v>
      </c>
      <c r="M34" s="66">
        <f>29390</f>
        <v>29390</v>
      </c>
      <c r="N34" s="67" t="s">
        <v>857</v>
      </c>
      <c r="O34" s="66">
        <f>26120</f>
        <v>26120</v>
      </c>
      <c r="P34" s="67" t="s">
        <v>873</v>
      </c>
      <c r="Q34" s="66">
        <f>26160</f>
        <v>26160</v>
      </c>
      <c r="R34" s="67" t="s">
        <v>873</v>
      </c>
      <c r="S34" s="68">
        <f>27839</f>
        <v>27839</v>
      </c>
      <c r="T34" s="65">
        <f>510687</f>
        <v>510687</v>
      </c>
      <c r="U34" s="65">
        <f>8</f>
        <v>8</v>
      </c>
      <c r="V34" s="65">
        <f>14015783430</f>
        <v>14015783430</v>
      </c>
      <c r="W34" s="65">
        <f>227070</f>
        <v>227070</v>
      </c>
      <c r="X34" s="69">
        <f>20</f>
        <v>20</v>
      </c>
    </row>
    <row r="35" spans="1:24">
      <c r="A35" s="60" t="s">
        <v>926</v>
      </c>
      <c r="B35" s="60" t="s">
        <v>142</v>
      </c>
      <c r="C35" s="60" t="s">
        <v>143</v>
      </c>
      <c r="D35" s="60" t="s">
        <v>144</v>
      </c>
      <c r="E35" s="61" t="s">
        <v>46</v>
      </c>
      <c r="F35" s="62" t="s">
        <v>46</v>
      </c>
      <c r="G35" s="63" t="s">
        <v>46</v>
      </c>
      <c r="H35" s="64"/>
      <c r="I35" s="64" t="s">
        <v>47</v>
      </c>
      <c r="J35" s="65">
        <v>10</v>
      </c>
      <c r="K35" s="66">
        <f>1012</f>
        <v>1012</v>
      </c>
      <c r="L35" s="67" t="s">
        <v>853</v>
      </c>
      <c r="M35" s="66">
        <f>1124</f>
        <v>1124</v>
      </c>
      <c r="N35" s="67" t="s">
        <v>873</v>
      </c>
      <c r="O35" s="66">
        <f>1007</f>
        <v>1007</v>
      </c>
      <c r="P35" s="67" t="s">
        <v>92</v>
      </c>
      <c r="Q35" s="66">
        <f>1122</f>
        <v>1122</v>
      </c>
      <c r="R35" s="67" t="s">
        <v>873</v>
      </c>
      <c r="S35" s="68">
        <f>1061.6</f>
        <v>1061.5999999999999</v>
      </c>
      <c r="T35" s="65">
        <f>265138370</f>
        <v>265138370</v>
      </c>
      <c r="U35" s="65">
        <f>609550</f>
        <v>609550</v>
      </c>
      <c r="V35" s="65">
        <f>283201987270</f>
        <v>283201987270</v>
      </c>
      <c r="W35" s="65">
        <f>671619740</f>
        <v>671619740</v>
      </c>
      <c r="X35" s="69">
        <f>20</f>
        <v>20</v>
      </c>
    </row>
    <row r="36" spans="1:24">
      <c r="A36" s="60" t="s">
        <v>926</v>
      </c>
      <c r="B36" s="60" t="s">
        <v>145</v>
      </c>
      <c r="C36" s="60" t="s">
        <v>146</v>
      </c>
      <c r="D36" s="60" t="s">
        <v>147</v>
      </c>
      <c r="E36" s="61" t="s">
        <v>46</v>
      </c>
      <c r="F36" s="62" t="s">
        <v>46</v>
      </c>
      <c r="G36" s="63" t="s">
        <v>46</v>
      </c>
      <c r="H36" s="64"/>
      <c r="I36" s="64" t="s">
        <v>47</v>
      </c>
      <c r="J36" s="65">
        <v>1</v>
      </c>
      <c r="K36" s="66">
        <f>18000</f>
        <v>18000</v>
      </c>
      <c r="L36" s="67" t="s">
        <v>853</v>
      </c>
      <c r="M36" s="66">
        <f>18220</f>
        <v>18220</v>
      </c>
      <c r="N36" s="67" t="s">
        <v>92</v>
      </c>
      <c r="O36" s="66">
        <f>17400</f>
        <v>17400</v>
      </c>
      <c r="P36" s="67" t="s">
        <v>859</v>
      </c>
      <c r="Q36" s="66">
        <f>17540</f>
        <v>17540</v>
      </c>
      <c r="R36" s="67" t="s">
        <v>873</v>
      </c>
      <c r="S36" s="68">
        <f>17842</f>
        <v>17842</v>
      </c>
      <c r="T36" s="65">
        <f>15691</f>
        <v>15691</v>
      </c>
      <c r="U36" s="65">
        <f>3808</f>
        <v>3808</v>
      </c>
      <c r="V36" s="65">
        <f>277118664</f>
        <v>277118664</v>
      </c>
      <c r="W36" s="65">
        <f>66535004</f>
        <v>66535004</v>
      </c>
      <c r="X36" s="69">
        <f>20</f>
        <v>20</v>
      </c>
    </row>
    <row r="37" spans="1:24">
      <c r="A37" s="60" t="s">
        <v>926</v>
      </c>
      <c r="B37" s="60" t="s">
        <v>148</v>
      </c>
      <c r="C37" s="60" t="s">
        <v>149</v>
      </c>
      <c r="D37" s="60" t="s">
        <v>150</v>
      </c>
      <c r="E37" s="61" t="s">
        <v>46</v>
      </c>
      <c r="F37" s="62" t="s">
        <v>46</v>
      </c>
      <c r="G37" s="63" t="s">
        <v>46</v>
      </c>
      <c r="H37" s="64"/>
      <c r="I37" s="64" t="s">
        <v>47</v>
      </c>
      <c r="J37" s="65">
        <v>1</v>
      </c>
      <c r="K37" s="66">
        <f>24300</f>
        <v>24300</v>
      </c>
      <c r="L37" s="67" t="s">
        <v>853</v>
      </c>
      <c r="M37" s="66">
        <f>24330</f>
        <v>24330</v>
      </c>
      <c r="N37" s="67" t="s">
        <v>92</v>
      </c>
      <c r="O37" s="66">
        <f>21710</f>
        <v>21710</v>
      </c>
      <c r="P37" s="67" t="s">
        <v>873</v>
      </c>
      <c r="Q37" s="66">
        <f>21750</f>
        <v>21750</v>
      </c>
      <c r="R37" s="67" t="s">
        <v>873</v>
      </c>
      <c r="S37" s="68">
        <f>23103.5</f>
        <v>23103.5</v>
      </c>
      <c r="T37" s="65">
        <f>1072394</f>
        <v>1072394</v>
      </c>
      <c r="U37" s="65">
        <f>2</f>
        <v>2</v>
      </c>
      <c r="V37" s="65">
        <f>24490118270</f>
        <v>24490118270</v>
      </c>
      <c r="W37" s="65">
        <f>45500</f>
        <v>45500</v>
      </c>
      <c r="X37" s="69">
        <f>20</f>
        <v>20</v>
      </c>
    </row>
    <row r="38" spans="1:24">
      <c r="A38" s="60" t="s">
        <v>926</v>
      </c>
      <c r="B38" s="60" t="s">
        <v>151</v>
      </c>
      <c r="C38" s="60" t="s">
        <v>152</v>
      </c>
      <c r="D38" s="60" t="s">
        <v>153</v>
      </c>
      <c r="E38" s="61" t="s">
        <v>46</v>
      </c>
      <c r="F38" s="62" t="s">
        <v>46</v>
      </c>
      <c r="G38" s="63" t="s">
        <v>46</v>
      </c>
      <c r="H38" s="64"/>
      <c r="I38" s="64" t="s">
        <v>47</v>
      </c>
      <c r="J38" s="65">
        <v>1</v>
      </c>
      <c r="K38" s="66">
        <f>1082</f>
        <v>1082</v>
      </c>
      <c r="L38" s="67" t="s">
        <v>853</v>
      </c>
      <c r="M38" s="66">
        <f>1201</f>
        <v>1201</v>
      </c>
      <c r="N38" s="67" t="s">
        <v>873</v>
      </c>
      <c r="O38" s="66">
        <f>1077</f>
        <v>1077</v>
      </c>
      <c r="P38" s="67" t="s">
        <v>92</v>
      </c>
      <c r="Q38" s="66">
        <f>1199</f>
        <v>1199</v>
      </c>
      <c r="R38" s="67" t="s">
        <v>873</v>
      </c>
      <c r="S38" s="68">
        <f>1135.05</f>
        <v>1135.05</v>
      </c>
      <c r="T38" s="65">
        <f>8629772</f>
        <v>8629772</v>
      </c>
      <c r="U38" s="65">
        <f>300</f>
        <v>300</v>
      </c>
      <c r="V38" s="65">
        <f>9868060658</f>
        <v>9868060658</v>
      </c>
      <c r="W38" s="65">
        <f>338290</f>
        <v>338290</v>
      </c>
      <c r="X38" s="69">
        <f>20</f>
        <v>20</v>
      </c>
    </row>
    <row r="39" spans="1:24">
      <c r="A39" s="60" t="s">
        <v>926</v>
      </c>
      <c r="B39" s="60" t="s">
        <v>154</v>
      </c>
      <c r="C39" s="60" t="s">
        <v>155</v>
      </c>
      <c r="D39" s="60" t="s">
        <v>156</v>
      </c>
      <c r="E39" s="61" t="s">
        <v>46</v>
      </c>
      <c r="F39" s="62" t="s">
        <v>46</v>
      </c>
      <c r="G39" s="63" t="s">
        <v>46</v>
      </c>
      <c r="H39" s="64"/>
      <c r="I39" s="64" t="s">
        <v>47</v>
      </c>
      <c r="J39" s="65">
        <v>1</v>
      </c>
      <c r="K39" s="66">
        <f>18590</f>
        <v>18590</v>
      </c>
      <c r="L39" s="67" t="s">
        <v>853</v>
      </c>
      <c r="M39" s="66">
        <f>19080</f>
        <v>19080</v>
      </c>
      <c r="N39" s="67" t="s">
        <v>92</v>
      </c>
      <c r="O39" s="66">
        <f>17290</f>
        <v>17290</v>
      </c>
      <c r="P39" s="67" t="s">
        <v>859</v>
      </c>
      <c r="Q39" s="66">
        <f>17680</f>
        <v>17680</v>
      </c>
      <c r="R39" s="67" t="s">
        <v>873</v>
      </c>
      <c r="S39" s="68">
        <f>18272</f>
        <v>18272</v>
      </c>
      <c r="T39" s="65">
        <f>267261</f>
        <v>267261</v>
      </c>
      <c r="U39" s="65">
        <f>210</f>
        <v>210</v>
      </c>
      <c r="V39" s="65">
        <f>4859974430</f>
        <v>4859974430</v>
      </c>
      <c r="W39" s="65">
        <f>3800400</f>
        <v>3800400</v>
      </c>
      <c r="X39" s="69">
        <f>20</f>
        <v>20</v>
      </c>
    </row>
    <row r="40" spans="1:24">
      <c r="A40" s="60" t="s">
        <v>926</v>
      </c>
      <c r="B40" s="60" t="s">
        <v>157</v>
      </c>
      <c r="C40" s="60" t="s">
        <v>158</v>
      </c>
      <c r="D40" s="60" t="s">
        <v>159</v>
      </c>
      <c r="E40" s="61" t="s">
        <v>46</v>
      </c>
      <c r="F40" s="62" t="s">
        <v>46</v>
      </c>
      <c r="G40" s="63" t="s">
        <v>46</v>
      </c>
      <c r="H40" s="64"/>
      <c r="I40" s="64" t="s">
        <v>47</v>
      </c>
      <c r="J40" s="65">
        <v>1</v>
      </c>
      <c r="K40" s="66">
        <f>1662</f>
        <v>1662</v>
      </c>
      <c r="L40" s="67" t="s">
        <v>853</v>
      </c>
      <c r="M40" s="66">
        <f>1777</f>
        <v>1777</v>
      </c>
      <c r="N40" s="67" t="s">
        <v>859</v>
      </c>
      <c r="O40" s="66">
        <f>1612</f>
        <v>1612</v>
      </c>
      <c r="P40" s="67" t="s">
        <v>92</v>
      </c>
      <c r="Q40" s="66">
        <f>1732</f>
        <v>1732</v>
      </c>
      <c r="R40" s="67" t="s">
        <v>873</v>
      </c>
      <c r="S40" s="68">
        <f>1682.65</f>
        <v>1682.65</v>
      </c>
      <c r="T40" s="65">
        <f>2116776</f>
        <v>2116776</v>
      </c>
      <c r="U40" s="65">
        <f>2360</f>
        <v>2360</v>
      </c>
      <c r="V40" s="65">
        <f>3582808888</f>
        <v>3582808888</v>
      </c>
      <c r="W40" s="65">
        <f>3982600</f>
        <v>3982600</v>
      </c>
      <c r="X40" s="69">
        <f>20</f>
        <v>20</v>
      </c>
    </row>
    <row r="41" spans="1:24">
      <c r="A41" s="60" t="s">
        <v>926</v>
      </c>
      <c r="B41" s="60" t="s">
        <v>160</v>
      </c>
      <c r="C41" s="60" t="s">
        <v>161</v>
      </c>
      <c r="D41" s="60" t="s">
        <v>162</v>
      </c>
      <c r="E41" s="61" t="s">
        <v>46</v>
      </c>
      <c r="F41" s="62" t="s">
        <v>46</v>
      </c>
      <c r="G41" s="63" t="s">
        <v>46</v>
      </c>
      <c r="H41" s="64"/>
      <c r="I41" s="64" t="s">
        <v>47</v>
      </c>
      <c r="J41" s="65">
        <v>1</v>
      </c>
      <c r="K41" s="66">
        <f>29070</f>
        <v>29070</v>
      </c>
      <c r="L41" s="67" t="s">
        <v>853</v>
      </c>
      <c r="M41" s="66">
        <f>29070</f>
        <v>29070</v>
      </c>
      <c r="N41" s="67" t="s">
        <v>853</v>
      </c>
      <c r="O41" s="66">
        <f>27230</f>
        <v>27230</v>
      </c>
      <c r="P41" s="67" t="s">
        <v>873</v>
      </c>
      <c r="Q41" s="66">
        <f>27260</f>
        <v>27260</v>
      </c>
      <c r="R41" s="67" t="s">
        <v>873</v>
      </c>
      <c r="S41" s="68">
        <f>28132.5</f>
        <v>28132.5</v>
      </c>
      <c r="T41" s="65">
        <f>162900</f>
        <v>162900</v>
      </c>
      <c r="U41" s="65">
        <f>48593</f>
        <v>48593</v>
      </c>
      <c r="V41" s="65">
        <f>4527144658</f>
        <v>4527144658</v>
      </c>
      <c r="W41" s="65">
        <f>1344443488</f>
        <v>1344443488</v>
      </c>
      <c r="X41" s="69">
        <f>20</f>
        <v>20</v>
      </c>
    </row>
    <row r="42" spans="1:24">
      <c r="A42" s="60" t="s">
        <v>926</v>
      </c>
      <c r="B42" s="60" t="s">
        <v>163</v>
      </c>
      <c r="C42" s="60" t="s">
        <v>164</v>
      </c>
      <c r="D42" s="60" t="s">
        <v>165</v>
      </c>
      <c r="E42" s="61" t="s">
        <v>46</v>
      </c>
      <c r="F42" s="62" t="s">
        <v>46</v>
      </c>
      <c r="G42" s="63" t="s">
        <v>46</v>
      </c>
      <c r="H42" s="64"/>
      <c r="I42" s="64" t="s">
        <v>47</v>
      </c>
      <c r="J42" s="65">
        <v>1</v>
      </c>
      <c r="K42" s="66">
        <f>5560</f>
        <v>5560</v>
      </c>
      <c r="L42" s="67" t="s">
        <v>853</v>
      </c>
      <c r="M42" s="66">
        <f>5610</f>
        <v>5610</v>
      </c>
      <c r="N42" s="67" t="s">
        <v>857</v>
      </c>
      <c r="O42" s="66">
        <f>5180</f>
        <v>5180</v>
      </c>
      <c r="P42" s="67" t="s">
        <v>371</v>
      </c>
      <c r="Q42" s="66">
        <f>5440</f>
        <v>5440</v>
      </c>
      <c r="R42" s="67" t="s">
        <v>873</v>
      </c>
      <c r="S42" s="68">
        <f>5432.5</f>
        <v>5432.5</v>
      </c>
      <c r="T42" s="65">
        <f>10898</f>
        <v>10898</v>
      </c>
      <c r="U42" s="65">
        <f>9</f>
        <v>9</v>
      </c>
      <c r="V42" s="65">
        <f>58768590</f>
        <v>58768590</v>
      </c>
      <c r="W42" s="65">
        <f>48940</f>
        <v>48940</v>
      </c>
      <c r="X42" s="69">
        <f>20</f>
        <v>20</v>
      </c>
    </row>
    <row r="43" spans="1:24">
      <c r="A43" s="60" t="s">
        <v>926</v>
      </c>
      <c r="B43" s="60" t="s">
        <v>166</v>
      </c>
      <c r="C43" s="60" t="s">
        <v>167</v>
      </c>
      <c r="D43" s="60" t="s">
        <v>168</v>
      </c>
      <c r="E43" s="61" t="s">
        <v>46</v>
      </c>
      <c r="F43" s="62" t="s">
        <v>46</v>
      </c>
      <c r="G43" s="63" t="s">
        <v>46</v>
      </c>
      <c r="H43" s="64"/>
      <c r="I43" s="64" t="s">
        <v>47</v>
      </c>
      <c r="J43" s="65">
        <v>1</v>
      </c>
      <c r="K43" s="66">
        <f>9930</f>
        <v>9930</v>
      </c>
      <c r="L43" s="67" t="s">
        <v>853</v>
      </c>
      <c r="M43" s="66">
        <f>10030</f>
        <v>10030</v>
      </c>
      <c r="N43" s="67" t="s">
        <v>857</v>
      </c>
      <c r="O43" s="66">
        <f>9530</f>
        <v>9530</v>
      </c>
      <c r="P43" s="67" t="s">
        <v>371</v>
      </c>
      <c r="Q43" s="66">
        <f>9890</f>
        <v>9890</v>
      </c>
      <c r="R43" s="67" t="s">
        <v>873</v>
      </c>
      <c r="S43" s="68">
        <f>9845</f>
        <v>9845</v>
      </c>
      <c r="T43" s="65">
        <f>2820</f>
        <v>2820</v>
      </c>
      <c r="U43" s="65">
        <f>6</f>
        <v>6</v>
      </c>
      <c r="V43" s="65">
        <f>27783580</f>
        <v>27783580</v>
      </c>
      <c r="W43" s="65">
        <f>59070</f>
        <v>59070</v>
      </c>
      <c r="X43" s="69">
        <f>20</f>
        <v>20</v>
      </c>
    </row>
    <row r="44" spans="1:24">
      <c r="A44" s="60" t="s">
        <v>926</v>
      </c>
      <c r="B44" s="60" t="s">
        <v>169</v>
      </c>
      <c r="C44" s="60" t="s">
        <v>170</v>
      </c>
      <c r="D44" s="60" t="s">
        <v>171</v>
      </c>
      <c r="E44" s="61" t="s">
        <v>46</v>
      </c>
      <c r="F44" s="62" t="s">
        <v>46</v>
      </c>
      <c r="G44" s="63" t="s">
        <v>46</v>
      </c>
      <c r="H44" s="64"/>
      <c r="I44" s="64" t="s">
        <v>47</v>
      </c>
      <c r="J44" s="65">
        <v>1</v>
      </c>
      <c r="K44" s="66">
        <f>19300</f>
        <v>19300</v>
      </c>
      <c r="L44" s="67" t="s">
        <v>853</v>
      </c>
      <c r="M44" s="66">
        <f>19740</f>
        <v>19740</v>
      </c>
      <c r="N44" s="67" t="s">
        <v>77</v>
      </c>
      <c r="O44" s="66">
        <f>18170</f>
        <v>18170</v>
      </c>
      <c r="P44" s="67" t="s">
        <v>371</v>
      </c>
      <c r="Q44" s="66">
        <f>18850</f>
        <v>18850</v>
      </c>
      <c r="R44" s="67" t="s">
        <v>873</v>
      </c>
      <c r="S44" s="68">
        <f>19163.5</f>
        <v>19163.5</v>
      </c>
      <c r="T44" s="65">
        <f>1829</f>
        <v>1829</v>
      </c>
      <c r="U44" s="65">
        <f>5</f>
        <v>5</v>
      </c>
      <c r="V44" s="65">
        <f>34616340</f>
        <v>34616340</v>
      </c>
      <c r="W44" s="65">
        <f>95070</f>
        <v>95070</v>
      </c>
      <c r="X44" s="69">
        <f>20</f>
        <v>20</v>
      </c>
    </row>
    <row r="45" spans="1:24">
      <c r="A45" s="60" t="s">
        <v>926</v>
      </c>
      <c r="B45" s="60" t="s">
        <v>173</v>
      </c>
      <c r="C45" s="60" t="s">
        <v>174</v>
      </c>
      <c r="D45" s="60" t="s">
        <v>175</v>
      </c>
      <c r="E45" s="61" t="s">
        <v>46</v>
      </c>
      <c r="F45" s="62" t="s">
        <v>46</v>
      </c>
      <c r="G45" s="63" t="s">
        <v>46</v>
      </c>
      <c r="H45" s="64"/>
      <c r="I45" s="64" t="s">
        <v>47</v>
      </c>
      <c r="J45" s="65">
        <v>1</v>
      </c>
      <c r="K45" s="66">
        <f>17290</f>
        <v>17290</v>
      </c>
      <c r="L45" s="67" t="s">
        <v>857</v>
      </c>
      <c r="M45" s="66">
        <f>17300</f>
        <v>17300</v>
      </c>
      <c r="N45" s="67" t="s">
        <v>84</v>
      </c>
      <c r="O45" s="66">
        <f>16070</f>
        <v>16070</v>
      </c>
      <c r="P45" s="67" t="s">
        <v>371</v>
      </c>
      <c r="Q45" s="66">
        <f>16600</f>
        <v>16600</v>
      </c>
      <c r="R45" s="67" t="s">
        <v>50</v>
      </c>
      <c r="S45" s="68">
        <f>16712.86</f>
        <v>16712.86</v>
      </c>
      <c r="T45" s="65">
        <f>125</f>
        <v>125</v>
      </c>
      <c r="U45" s="65">
        <f>1</f>
        <v>1</v>
      </c>
      <c r="V45" s="65">
        <f>2078800</f>
        <v>2078800</v>
      </c>
      <c r="W45" s="65">
        <f>16840</f>
        <v>16840</v>
      </c>
      <c r="X45" s="69">
        <f>14</f>
        <v>14</v>
      </c>
    </row>
    <row r="46" spans="1:24">
      <c r="A46" s="60" t="s">
        <v>926</v>
      </c>
      <c r="B46" s="60" t="s">
        <v>177</v>
      </c>
      <c r="C46" s="60" t="s">
        <v>178</v>
      </c>
      <c r="D46" s="60" t="s">
        <v>179</v>
      </c>
      <c r="E46" s="61" t="s">
        <v>46</v>
      </c>
      <c r="F46" s="62" t="s">
        <v>46</v>
      </c>
      <c r="G46" s="63" t="s">
        <v>46</v>
      </c>
      <c r="H46" s="64"/>
      <c r="I46" s="64" t="s">
        <v>47</v>
      </c>
      <c r="J46" s="65">
        <v>1</v>
      </c>
      <c r="K46" s="66">
        <f>10330</f>
        <v>10330</v>
      </c>
      <c r="L46" s="67" t="s">
        <v>853</v>
      </c>
      <c r="M46" s="66">
        <f>10350</f>
        <v>10350</v>
      </c>
      <c r="N46" s="67" t="s">
        <v>77</v>
      </c>
      <c r="O46" s="66">
        <f>9560</f>
        <v>9560</v>
      </c>
      <c r="P46" s="67" t="s">
        <v>371</v>
      </c>
      <c r="Q46" s="66">
        <f>10000</f>
        <v>10000</v>
      </c>
      <c r="R46" s="67" t="s">
        <v>873</v>
      </c>
      <c r="S46" s="68">
        <f>10073.5</f>
        <v>10073.5</v>
      </c>
      <c r="T46" s="65">
        <f>4698</f>
        <v>4698</v>
      </c>
      <c r="U46" s="65">
        <f>5</f>
        <v>5</v>
      </c>
      <c r="V46" s="65">
        <f>46553380</f>
        <v>46553380</v>
      </c>
      <c r="W46" s="65">
        <f>50010</f>
        <v>50010</v>
      </c>
      <c r="X46" s="69">
        <f>20</f>
        <v>20</v>
      </c>
    </row>
    <row r="47" spans="1:24">
      <c r="A47" s="60" t="s">
        <v>926</v>
      </c>
      <c r="B47" s="60" t="s">
        <v>180</v>
      </c>
      <c r="C47" s="60" t="s">
        <v>181</v>
      </c>
      <c r="D47" s="60" t="s">
        <v>182</v>
      </c>
      <c r="E47" s="61" t="s">
        <v>46</v>
      </c>
      <c r="F47" s="62" t="s">
        <v>46</v>
      </c>
      <c r="G47" s="63" t="s">
        <v>46</v>
      </c>
      <c r="H47" s="64"/>
      <c r="I47" s="64" t="s">
        <v>47</v>
      </c>
      <c r="J47" s="65">
        <v>1</v>
      </c>
      <c r="K47" s="66">
        <f>5830</f>
        <v>5830</v>
      </c>
      <c r="L47" s="67" t="s">
        <v>853</v>
      </c>
      <c r="M47" s="66">
        <f>6230</f>
        <v>6230</v>
      </c>
      <c r="N47" s="67" t="s">
        <v>873</v>
      </c>
      <c r="O47" s="66">
        <f>5670</f>
        <v>5670</v>
      </c>
      <c r="P47" s="67" t="s">
        <v>859</v>
      </c>
      <c r="Q47" s="66">
        <f>6230</f>
        <v>6230</v>
      </c>
      <c r="R47" s="67" t="s">
        <v>873</v>
      </c>
      <c r="S47" s="68">
        <f>5922</f>
        <v>5922</v>
      </c>
      <c r="T47" s="65">
        <f>2879</f>
        <v>2879</v>
      </c>
      <c r="U47" s="65">
        <f>7</f>
        <v>7</v>
      </c>
      <c r="V47" s="65">
        <f>17070200</f>
        <v>17070200</v>
      </c>
      <c r="W47" s="65">
        <f>41500</f>
        <v>41500</v>
      </c>
      <c r="X47" s="69">
        <f>20</f>
        <v>20</v>
      </c>
    </row>
    <row r="48" spans="1:24">
      <c r="A48" s="60" t="s">
        <v>926</v>
      </c>
      <c r="B48" s="60" t="s">
        <v>183</v>
      </c>
      <c r="C48" s="60" t="s">
        <v>184</v>
      </c>
      <c r="D48" s="60" t="s">
        <v>185</v>
      </c>
      <c r="E48" s="61" t="s">
        <v>46</v>
      </c>
      <c r="F48" s="62" t="s">
        <v>46</v>
      </c>
      <c r="G48" s="63" t="s">
        <v>46</v>
      </c>
      <c r="H48" s="64"/>
      <c r="I48" s="64" t="s">
        <v>47</v>
      </c>
      <c r="J48" s="65">
        <v>1</v>
      </c>
      <c r="K48" s="66">
        <f>2805</f>
        <v>2805</v>
      </c>
      <c r="L48" s="67" t="s">
        <v>853</v>
      </c>
      <c r="M48" s="66">
        <f>2878</f>
        <v>2878</v>
      </c>
      <c r="N48" s="67" t="s">
        <v>73</v>
      </c>
      <c r="O48" s="66">
        <f>2766</f>
        <v>2766</v>
      </c>
      <c r="P48" s="67" t="s">
        <v>371</v>
      </c>
      <c r="Q48" s="66">
        <f>2849</f>
        <v>2849</v>
      </c>
      <c r="R48" s="67" t="s">
        <v>873</v>
      </c>
      <c r="S48" s="68">
        <f>2818.15</f>
        <v>2818.15</v>
      </c>
      <c r="T48" s="65">
        <f>5676</f>
        <v>5676</v>
      </c>
      <c r="U48" s="65">
        <f>5</f>
        <v>5</v>
      </c>
      <c r="V48" s="65">
        <f>15999323</f>
        <v>15999323</v>
      </c>
      <c r="W48" s="65">
        <f>14086</f>
        <v>14086</v>
      </c>
      <c r="X48" s="69">
        <f>20</f>
        <v>20</v>
      </c>
    </row>
    <row r="49" spans="1:24">
      <c r="A49" s="60" t="s">
        <v>926</v>
      </c>
      <c r="B49" s="60" t="s">
        <v>186</v>
      </c>
      <c r="C49" s="60" t="s">
        <v>187</v>
      </c>
      <c r="D49" s="60" t="s">
        <v>188</v>
      </c>
      <c r="E49" s="61" t="s">
        <v>46</v>
      </c>
      <c r="F49" s="62" t="s">
        <v>46</v>
      </c>
      <c r="G49" s="63" t="s">
        <v>46</v>
      </c>
      <c r="H49" s="64"/>
      <c r="I49" s="64" t="s">
        <v>47</v>
      </c>
      <c r="J49" s="65">
        <v>1</v>
      </c>
      <c r="K49" s="66">
        <f>2750</f>
        <v>2750</v>
      </c>
      <c r="L49" s="67" t="s">
        <v>853</v>
      </c>
      <c r="M49" s="66">
        <f>2759</f>
        <v>2759</v>
      </c>
      <c r="N49" s="67" t="s">
        <v>77</v>
      </c>
      <c r="O49" s="66">
        <f>2573</f>
        <v>2573</v>
      </c>
      <c r="P49" s="67" t="s">
        <v>371</v>
      </c>
      <c r="Q49" s="66">
        <f>2678</f>
        <v>2678</v>
      </c>
      <c r="R49" s="67" t="s">
        <v>873</v>
      </c>
      <c r="S49" s="68">
        <f>2694.45</f>
        <v>2694.45</v>
      </c>
      <c r="T49" s="65">
        <f>7851</f>
        <v>7851</v>
      </c>
      <c r="U49" s="65">
        <f>7</f>
        <v>7</v>
      </c>
      <c r="V49" s="65">
        <f>21078905</f>
        <v>21078905</v>
      </c>
      <c r="W49" s="65">
        <f>18860</f>
        <v>18860</v>
      </c>
      <c r="X49" s="69">
        <f>20</f>
        <v>20</v>
      </c>
    </row>
    <row r="50" spans="1:24">
      <c r="A50" s="60" t="s">
        <v>926</v>
      </c>
      <c r="B50" s="60" t="s">
        <v>189</v>
      </c>
      <c r="C50" s="60" t="s">
        <v>190</v>
      </c>
      <c r="D50" s="60" t="s">
        <v>191</v>
      </c>
      <c r="E50" s="61" t="s">
        <v>46</v>
      </c>
      <c r="F50" s="62" t="s">
        <v>46</v>
      </c>
      <c r="G50" s="63" t="s">
        <v>46</v>
      </c>
      <c r="H50" s="64"/>
      <c r="I50" s="64" t="s">
        <v>47</v>
      </c>
      <c r="J50" s="65">
        <v>1</v>
      </c>
      <c r="K50" s="66">
        <f>47400</f>
        <v>47400</v>
      </c>
      <c r="L50" s="67" t="s">
        <v>853</v>
      </c>
      <c r="M50" s="66">
        <f>49750</f>
        <v>49750</v>
      </c>
      <c r="N50" s="67" t="s">
        <v>131</v>
      </c>
      <c r="O50" s="66">
        <f>46850</f>
        <v>46850</v>
      </c>
      <c r="P50" s="67" t="s">
        <v>268</v>
      </c>
      <c r="Q50" s="66">
        <f>48050</f>
        <v>48050</v>
      </c>
      <c r="R50" s="67" t="s">
        <v>873</v>
      </c>
      <c r="S50" s="68">
        <f>48115</f>
        <v>48115</v>
      </c>
      <c r="T50" s="65">
        <f>1318</f>
        <v>1318</v>
      </c>
      <c r="U50" s="65">
        <f>3</f>
        <v>3</v>
      </c>
      <c r="V50" s="65">
        <f>63425800</f>
        <v>63425800</v>
      </c>
      <c r="W50" s="65">
        <f>143300</f>
        <v>143300</v>
      </c>
      <c r="X50" s="69">
        <f>20</f>
        <v>20</v>
      </c>
    </row>
    <row r="51" spans="1:24">
      <c r="A51" s="60" t="s">
        <v>926</v>
      </c>
      <c r="B51" s="60" t="s">
        <v>192</v>
      </c>
      <c r="C51" s="60" t="s">
        <v>193</v>
      </c>
      <c r="D51" s="60" t="s">
        <v>194</v>
      </c>
      <c r="E51" s="61" t="s">
        <v>46</v>
      </c>
      <c r="F51" s="62" t="s">
        <v>46</v>
      </c>
      <c r="G51" s="63" t="s">
        <v>46</v>
      </c>
      <c r="H51" s="64"/>
      <c r="I51" s="64" t="s">
        <v>47</v>
      </c>
      <c r="J51" s="65">
        <v>1</v>
      </c>
      <c r="K51" s="66">
        <f>34600</f>
        <v>34600</v>
      </c>
      <c r="L51" s="67" t="s">
        <v>853</v>
      </c>
      <c r="M51" s="66">
        <f>35150</f>
        <v>35150</v>
      </c>
      <c r="N51" s="67" t="s">
        <v>73</v>
      </c>
      <c r="O51" s="66">
        <f>33300</f>
        <v>33300</v>
      </c>
      <c r="P51" s="67" t="s">
        <v>371</v>
      </c>
      <c r="Q51" s="66">
        <f>33900</f>
        <v>33900</v>
      </c>
      <c r="R51" s="67" t="s">
        <v>50</v>
      </c>
      <c r="S51" s="68">
        <f>34216.67</f>
        <v>34216.67</v>
      </c>
      <c r="T51" s="65">
        <f>460</f>
        <v>460</v>
      </c>
      <c r="U51" s="65">
        <f>1</f>
        <v>1</v>
      </c>
      <c r="V51" s="65">
        <f>15687550</f>
        <v>15687550</v>
      </c>
      <c r="W51" s="65">
        <f>34000</f>
        <v>34000</v>
      </c>
      <c r="X51" s="69">
        <f>12</f>
        <v>12</v>
      </c>
    </row>
    <row r="52" spans="1:24">
      <c r="A52" s="60" t="s">
        <v>926</v>
      </c>
      <c r="B52" s="60" t="s">
        <v>195</v>
      </c>
      <c r="C52" s="60" t="s">
        <v>196</v>
      </c>
      <c r="D52" s="60" t="s">
        <v>197</v>
      </c>
      <c r="E52" s="61" t="s">
        <v>46</v>
      </c>
      <c r="F52" s="62" t="s">
        <v>46</v>
      </c>
      <c r="G52" s="63" t="s">
        <v>46</v>
      </c>
      <c r="H52" s="64"/>
      <c r="I52" s="64" t="s">
        <v>47</v>
      </c>
      <c r="J52" s="65">
        <v>1</v>
      </c>
      <c r="K52" s="66">
        <f>29030</f>
        <v>29030</v>
      </c>
      <c r="L52" s="67" t="s">
        <v>853</v>
      </c>
      <c r="M52" s="66">
        <f>29040</f>
        <v>29040</v>
      </c>
      <c r="N52" s="67" t="s">
        <v>857</v>
      </c>
      <c r="O52" s="66">
        <f>27600</f>
        <v>27600</v>
      </c>
      <c r="P52" s="67" t="s">
        <v>371</v>
      </c>
      <c r="Q52" s="66">
        <f>27620</f>
        <v>27620</v>
      </c>
      <c r="R52" s="67" t="s">
        <v>873</v>
      </c>
      <c r="S52" s="68">
        <f>28412.22</f>
        <v>28412.22</v>
      </c>
      <c r="T52" s="65">
        <f>11087</f>
        <v>11087</v>
      </c>
      <c r="U52" s="65">
        <f>9950</f>
        <v>9950</v>
      </c>
      <c r="V52" s="65">
        <f>310217940</f>
        <v>310217940</v>
      </c>
      <c r="W52" s="65">
        <f>278098550</f>
        <v>278098550</v>
      </c>
      <c r="X52" s="69">
        <f>18</f>
        <v>18</v>
      </c>
    </row>
    <row r="53" spans="1:24">
      <c r="A53" s="60" t="s">
        <v>926</v>
      </c>
      <c r="B53" s="60" t="s">
        <v>198</v>
      </c>
      <c r="C53" s="60" t="s">
        <v>199</v>
      </c>
      <c r="D53" s="60" t="s">
        <v>200</v>
      </c>
      <c r="E53" s="61" t="s">
        <v>46</v>
      </c>
      <c r="F53" s="62" t="s">
        <v>46</v>
      </c>
      <c r="G53" s="63" t="s">
        <v>46</v>
      </c>
      <c r="H53" s="64"/>
      <c r="I53" s="64" t="s">
        <v>47</v>
      </c>
      <c r="J53" s="65">
        <v>10</v>
      </c>
      <c r="K53" s="66">
        <f>2200</f>
        <v>2200</v>
      </c>
      <c r="L53" s="67" t="s">
        <v>853</v>
      </c>
      <c r="M53" s="66">
        <f>2234</f>
        <v>2234</v>
      </c>
      <c r="N53" s="67" t="s">
        <v>92</v>
      </c>
      <c r="O53" s="66">
        <f>2175</f>
        <v>2175</v>
      </c>
      <c r="P53" s="67" t="s">
        <v>371</v>
      </c>
      <c r="Q53" s="66">
        <f>2215</f>
        <v>2215</v>
      </c>
      <c r="R53" s="67" t="s">
        <v>873</v>
      </c>
      <c r="S53" s="68">
        <f>2210.4</f>
        <v>2210.4</v>
      </c>
      <c r="T53" s="65">
        <f>75390</f>
        <v>75390</v>
      </c>
      <c r="U53" s="65">
        <f>60</f>
        <v>60</v>
      </c>
      <c r="V53" s="65">
        <f>166223520</f>
        <v>166223520</v>
      </c>
      <c r="W53" s="65">
        <f>132600</f>
        <v>132600</v>
      </c>
      <c r="X53" s="69">
        <f>20</f>
        <v>20</v>
      </c>
    </row>
    <row r="54" spans="1:24">
      <c r="A54" s="60" t="s">
        <v>926</v>
      </c>
      <c r="B54" s="60" t="s">
        <v>201</v>
      </c>
      <c r="C54" s="60" t="s">
        <v>202</v>
      </c>
      <c r="D54" s="60" t="s">
        <v>203</v>
      </c>
      <c r="E54" s="61" t="s">
        <v>46</v>
      </c>
      <c r="F54" s="62" t="s">
        <v>46</v>
      </c>
      <c r="G54" s="63" t="s">
        <v>46</v>
      </c>
      <c r="H54" s="64"/>
      <c r="I54" s="64" t="s">
        <v>47</v>
      </c>
      <c r="J54" s="65">
        <v>10</v>
      </c>
      <c r="K54" s="66">
        <f>1571</f>
        <v>1571</v>
      </c>
      <c r="L54" s="67" t="s">
        <v>853</v>
      </c>
      <c r="M54" s="66">
        <f>1579</f>
        <v>1579</v>
      </c>
      <c r="N54" s="67" t="s">
        <v>49</v>
      </c>
      <c r="O54" s="66">
        <f>1511</f>
        <v>1511</v>
      </c>
      <c r="P54" s="67" t="s">
        <v>859</v>
      </c>
      <c r="Q54" s="66">
        <f>1543</f>
        <v>1543</v>
      </c>
      <c r="R54" s="67" t="s">
        <v>88</v>
      </c>
      <c r="S54" s="68">
        <f>1554.24</f>
        <v>1554.24</v>
      </c>
      <c r="T54" s="65">
        <f>9480</f>
        <v>9480</v>
      </c>
      <c r="U54" s="65">
        <f>30</f>
        <v>30</v>
      </c>
      <c r="V54" s="65">
        <f>14675920</f>
        <v>14675920</v>
      </c>
      <c r="W54" s="65">
        <f>46820</f>
        <v>46820</v>
      </c>
      <c r="X54" s="69">
        <f>17</f>
        <v>17</v>
      </c>
    </row>
    <row r="55" spans="1:24">
      <c r="A55" s="60" t="s">
        <v>926</v>
      </c>
      <c r="B55" s="60" t="s">
        <v>204</v>
      </c>
      <c r="C55" s="60" t="s">
        <v>205</v>
      </c>
      <c r="D55" s="60" t="s">
        <v>206</v>
      </c>
      <c r="E55" s="61" t="s">
        <v>46</v>
      </c>
      <c r="F55" s="62" t="s">
        <v>46</v>
      </c>
      <c r="G55" s="63" t="s">
        <v>46</v>
      </c>
      <c r="H55" s="64"/>
      <c r="I55" s="64" t="s">
        <v>47</v>
      </c>
      <c r="J55" s="65">
        <v>1</v>
      </c>
      <c r="K55" s="66">
        <f>4350</f>
        <v>4350</v>
      </c>
      <c r="L55" s="67" t="s">
        <v>853</v>
      </c>
      <c r="M55" s="66">
        <f>4585</f>
        <v>4585</v>
      </c>
      <c r="N55" s="67" t="s">
        <v>371</v>
      </c>
      <c r="O55" s="66">
        <f>4345</f>
        <v>4345</v>
      </c>
      <c r="P55" s="67" t="s">
        <v>92</v>
      </c>
      <c r="Q55" s="66">
        <f>4585</f>
        <v>4585</v>
      </c>
      <c r="R55" s="67" t="s">
        <v>873</v>
      </c>
      <c r="S55" s="68">
        <f>4459</f>
        <v>4459</v>
      </c>
      <c r="T55" s="65">
        <f>326123</f>
        <v>326123</v>
      </c>
      <c r="U55" s="65" t="str">
        <f>"－"</f>
        <v>－</v>
      </c>
      <c r="V55" s="65">
        <f>1466215705</f>
        <v>1466215705</v>
      </c>
      <c r="W55" s="65" t="str">
        <f>"－"</f>
        <v>－</v>
      </c>
      <c r="X55" s="69">
        <f>20</f>
        <v>20</v>
      </c>
    </row>
    <row r="56" spans="1:24">
      <c r="A56" s="60" t="s">
        <v>926</v>
      </c>
      <c r="B56" s="60" t="s">
        <v>207</v>
      </c>
      <c r="C56" s="60" t="s">
        <v>208</v>
      </c>
      <c r="D56" s="60" t="s">
        <v>209</v>
      </c>
      <c r="E56" s="61" t="s">
        <v>46</v>
      </c>
      <c r="F56" s="62" t="s">
        <v>46</v>
      </c>
      <c r="G56" s="63" t="s">
        <v>46</v>
      </c>
      <c r="H56" s="64"/>
      <c r="I56" s="64" t="s">
        <v>47</v>
      </c>
      <c r="J56" s="65">
        <v>1</v>
      </c>
      <c r="K56" s="66">
        <f>5330</f>
        <v>5330</v>
      </c>
      <c r="L56" s="67" t="s">
        <v>853</v>
      </c>
      <c r="M56" s="66">
        <f>5500</f>
        <v>5500</v>
      </c>
      <c r="N56" s="67" t="s">
        <v>859</v>
      </c>
      <c r="O56" s="66">
        <f>5240</f>
        <v>5240</v>
      </c>
      <c r="P56" s="67" t="s">
        <v>92</v>
      </c>
      <c r="Q56" s="66">
        <f>5430</f>
        <v>5430</v>
      </c>
      <c r="R56" s="67" t="s">
        <v>873</v>
      </c>
      <c r="S56" s="68">
        <f>5360</f>
        <v>5360</v>
      </c>
      <c r="T56" s="65">
        <f>374906</f>
        <v>374906</v>
      </c>
      <c r="U56" s="65">
        <f>2</f>
        <v>2</v>
      </c>
      <c r="V56" s="65">
        <f>2004333180</f>
        <v>2004333180</v>
      </c>
      <c r="W56" s="65">
        <f>10880</f>
        <v>10880</v>
      </c>
      <c r="X56" s="69">
        <f>20</f>
        <v>20</v>
      </c>
    </row>
    <row r="57" spans="1:24">
      <c r="A57" s="60" t="s">
        <v>926</v>
      </c>
      <c r="B57" s="60" t="s">
        <v>210</v>
      </c>
      <c r="C57" s="60" t="s">
        <v>211</v>
      </c>
      <c r="D57" s="60" t="s">
        <v>212</v>
      </c>
      <c r="E57" s="61" t="s">
        <v>46</v>
      </c>
      <c r="F57" s="62" t="s">
        <v>46</v>
      </c>
      <c r="G57" s="63" t="s">
        <v>46</v>
      </c>
      <c r="H57" s="64"/>
      <c r="I57" s="64" t="s">
        <v>47</v>
      </c>
      <c r="J57" s="65">
        <v>1</v>
      </c>
      <c r="K57" s="66">
        <f>18450</f>
        <v>18450</v>
      </c>
      <c r="L57" s="67" t="s">
        <v>853</v>
      </c>
      <c r="M57" s="66">
        <f>18460</f>
        <v>18460</v>
      </c>
      <c r="N57" s="67" t="s">
        <v>853</v>
      </c>
      <c r="O57" s="66">
        <f>16460</f>
        <v>16460</v>
      </c>
      <c r="P57" s="67" t="s">
        <v>873</v>
      </c>
      <c r="Q57" s="66">
        <f>16470</f>
        <v>16470</v>
      </c>
      <c r="R57" s="67" t="s">
        <v>873</v>
      </c>
      <c r="S57" s="68">
        <f>17528.5</f>
        <v>17528.5</v>
      </c>
      <c r="T57" s="65">
        <f>23419500</f>
        <v>23419500</v>
      </c>
      <c r="U57" s="65">
        <f>64</f>
        <v>64</v>
      </c>
      <c r="V57" s="65">
        <f>408721172320</f>
        <v>408721172320</v>
      </c>
      <c r="W57" s="65">
        <f>1144720</f>
        <v>1144720</v>
      </c>
      <c r="X57" s="69">
        <f>20</f>
        <v>20</v>
      </c>
    </row>
    <row r="58" spans="1:24">
      <c r="A58" s="60" t="s">
        <v>926</v>
      </c>
      <c r="B58" s="60" t="s">
        <v>213</v>
      </c>
      <c r="C58" s="60" t="s">
        <v>214</v>
      </c>
      <c r="D58" s="60" t="s">
        <v>215</v>
      </c>
      <c r="E58" s="61" t="s">
        <v>46</v>
      </c>
      <c r="F58" s="62" t="s">
        <v>46</v>
      </c>
      <c r="G58" s="63" t="s">
        <v>46</v>
      </c>
      <c r="H58" s="64"/>
      <c r="I58" s="64" t="s">
        <v>47</v>
      </c>
      <c r="J58" s="65">
        <v>1</v>
      </c>
      <c r="K58" s="66">
        <f>1651</f>
        <v>1651</v>
      </c>
      <c r="L58" s="67" t="s">
        <v>853</v>
      </c>
      <c r="M58" s="66">
        <f>1836</f>
        <v>1836</v>
      </c>
      <c r="N58" s="67" t="s">
        <v>873</v>
      </c>
      <c r="O58" s="66">
        <f>1647</f>
        <v>1647</v>
      </c>
      <c r="P58" s="67" t="s">
        <v>92</v>
      </c>
      <c r="Q58" s="66">
        <f>1835</f>
        <v>1835</v>
      </c>
      <c r="R58" s="67" t="s">
        <v>873</v>
      </c>
      <c r="S58" s="68">
        <f>1734.45</f>
        <v>1734.45</v>
      </c>
      <c r="T58" s="65">
        <f>119361400</f>
        <v>119361400</v>
      </c>
      <c r="U58" s="65">
        <f>57</f>
        <v>57</v>
      </c>
      <c r="V58" s="65">
        <f>208867075066</f>
        <v>208867075066</v>
      </c>
      <c r="W58" s="65">
        <f>91828</f>
        <v>91828</v>
      </c>
      <c r="X58" s="69">
        <f>20</f>
        <v>20</v>
      </c>
    </row>
    <row r="59" spans="1:24">
      <c r="A59" s="60" t="s">
        <v>926</v>
      </c>
      <c r="B59" s="60" t="s">
        <v>216</v>
      </c>
      <c r="C59" s="60" t="s">
        <v>217</v>
      </c>
      <c r="D59" s="60" t="s">
        <v>218</v>
      </c>
      <c r="E59" s="61" t="s">
        <v>46</v>
      </c>
      <c r="F59" s="62" t="s">
        <v>46</v>
      </c>
      <c r="G59" s="63" t="s">
        <v>46</v>
      </c>
      <c r="H59" s="64" t="s">
        <v>540</v>
      </c>
      <c r="I59" s="64" t="s">
        <v>47</v>
      </c>
      <c r="J59" s="65">
        <v>1</v>
      </c>
      <c r="K59" s="66">
        <f>24440</f>
        <v>24440</v>
      </c>
      <c r="L59" s="67" t="s">
        <v>857</v>
      </c>
      <c r="M59" s="66">
        <f>27840</f>
        <v>27840</v>
      </c>
      <c r="N59" s="67" t="s">
        <v>371</v>
      </c>
      <c r="O59" s="66">
        <f>23840</f>
        <v>23840</v>
      </c>
      <c r="P59" s="67" t="s">
        <v>854</v>
      </c>
      <c r="Q59" s="66">
        <f>24000</f>
        <v>24000</v>
      </c>
      <c r="R59" s="67" t="s">
        <v>240</v>
      </c>
      <c r="S59" s="68">
        <f>24303.75</f>
        <v>24303.75</v>
      </c>
      <c r="T59" s="65">
        <f>40</f>
        <v>40</v>
      </c>
      <c r="U59" s="65">
        <f>1</f>
        <v>1</v>
      </c>
      <c r="V59" s="65">
        <f>994720</f>
        <v>994720</v>
      </c>
      <c r="W59" s="65">
        <f>24440</f>
        <v>24440</v>
      </c>
      <c r="X59" s="69">
        <f>8</f>
        <v>8</v>
      </c>
    </row>
    <row r="60" spans="1:24">
      <c r="A60" s="60" t="s">
        <v>926</v>
      </c>
      <c r="B60" s="60" t="s">
        <v>219</v>
      </c>
      <c r="C60" s="60" t="s">
        <v>220</v>
      </c>
      <c r="D60" s="60" t="s">
        <v>221</v>
      </c>
      <c r="E60" s="61" t="s">
        <v>46</v>
      </c>
      <c r="F60" s="62" t="s">
        <v>46</v>
      </c>
      <c r="G60" s="63" t="s">
        <v>46</v>
      </c>
      <c r="H60" s="64"/>
      <c r="I60" s="64" t="s">
        <v>47</v>
      </c>
      <c r="J60" s="65">
        <v>1</v>
      </c>
      <c r="K60" s="66">
        <f>14790</f>
        <v>14790</v>
      </c>
      <c r="L60" s="67" t="s">
        <v>853</v>
      </c>
      <c r="M60" s="66">
        <f>15120</f>
        <v>15120</v>
      </c>
      <c r="N60" s="67" t="s">
        <v>92</v>
      </c>
      <c r="O60" s="66">
        <f>13710</f>
        <v>13710</v>
      </c>
      <c r="P60" s="67" t="s">
        <v>371</v>
      </c>
      <c r="Q60" s="66">
        <f>14020</f>
        <v>14020</v>
      </c>
      <c r="R60" s="67" t="s">
        <v>873</v>
      </c>
      <c r="S60" s="68">
        <f>14500</f>
        <v>14500</v>
      </c>
      <c r="T60" s="65">
        <f>4411</f>
        <v>4411</v>
      </c>
      <c r="U60" s="65">
        <f>7</f>
        <v>7</v>
      </c>
      <c r="V60" s="65">
        <f>62895840</f>
        <v>62895840</v>
      </c>
      <c r="W60" s="65">
        <f>101710</f>
        <v>101710</v>
      </c>
      <c r="X60" s="69">
        <f>20</f>
        <v>20</v>
      </c>
    </row>
    <row r="61" spans="1:24">
      <c r="A61" s="60" t="s">
        <v>926</v>
      </c>
      <c r="B61" s="60" t="s">
        <v>222</v>
      </c>
      <c r="C61" s="60" t="s">
        <v>223</v>
      </c>
      <c r="D61" s="60" t="s">
        <v>224</v>
      </c>
      <c r="E61" s="61" t="s">
        <v>46</v>
      </c>
      <c r="F61" s="62" t="s">
        <v>46</v>
      </c>
      <c r="G61" s="63" t="s">
        <v>46</v>
      </c>
      <c r="H61" s="64"/>
      <c r="I61" s="64" t="s">
        <v>47</v>
      </c>
      <c r="J61" s="65">
        <v>1</v>
      </c>
      <c r="K61" s="66">
        <f>5200</f>
        <v>5200</v>
      </c>
      <c r="L61" s="67" t="s">
        <v>84</v>
      </c>
      <c r="M61" s="66">
        <f>5350</f>
        <v>5350</v>
      </c>
      <c r="N61" s="67" t="s">
        <v>859</v>
      </c>
      <c r="O61" s="66">
        <f>5090</f>
        <v>5090</v>
      </c>
      <c r="P61" s="67" t="s">
        <v>92</v>
      </c>
      <c r="Q61" s="66">
        <f>5210</f>
        <v>5210</v>
      </c>
      <c r="R61" s="67" t="s">
        <v>88</v>
      </c>
      <c r="S61" s="68">
        <f>5222.5</f>
        <v>5222.5</v>
      </c>
      <c r="T61" s="65">
        <f>369</f>
        <v>369</v>
      </c>
      <c r="U61" s="65">
        <f>2</f>
        <v>2</v>
      </c>
      <c r="V61" s="65">
        <f>1914420</f>
        <v>1914420</v>
      </c>
      <c r="W61" s="65">
        <f>10330</f>
        <v>10330</v>
      </c>
      <c r="X61" s="69">
        <f>12</f>
        <v>12</v>
      </c>
    </row>
    <row r="62" spans="1:24">
      <c r="A62" s="60" t="s">
        <v>926</v>
      </c>
      <c r="B62" s="60" t="s">
        <v>225</v>
      </c>
      <c r="C62" s="60" t="s">
        <v>226</v>
      </c>
      <c r="D62" s="60" t="s">
        <v>227</v>
      </c>
      <c r="E62" s="61" t="s">
        <v>46</v>
      </c>
      <c r="F62" s="62" t="s">
        <v>46</v>
      </c>
      <c r="G62" s="63" t="s">
        <v>46</v>
      </c>
      <c r="H62" s="64"/>
      <c r="I62" s="64" t="s">
        <v>47</v>
      </c>
      <c r="J62" s="65">
        <v>1</v>
      </c>
      <c r="K62" s="66">
        <f>2162</f>
        <v>2162</v>
      </c>
      <c r="L62" s="67" t="s">
        <v>853</v>
      </c>
      <c r="M62" s="66">
        <f>2302</f>
        <v>2302</v>
      </c>
      <c r="N62" s="67" t="s">
        <v>859</v>
      </c>
      <c r="O62" s="66">
        <f>2102</f>
        <v>2102</v>
      </c>
      <c r="P62" s="67" t="s">
        <v>92</v>
      </c>
      <c r="Q62" s="66">
        <f>2265</f>
        <v>2265</v>
      </c>
      <c r="R62" s="67" t="s">
        <v>873</v>
      </c>
      <c r="S62" s="68">
        <f>2193.45</f>
        <v>2193.4499999999998</v>
      </c>
      <c r="T62" s="65">
        <f>30847</f>
        <v>30847</v>
      </c>
      <c r="U62" s="65">
        <f>4</f>
        <v>4</v>
      </c>
      <c r="V62" s="65">
        <f>68169517</f>
        <v>68169517</v>
      </c>
      <c r="W62" s="65">
        <f>8872</f>
        <v>8872</v>
      </c>
      <c r="X62" s="69">
        <f>20</f>
        <v>20</v>
      </c>
    </row>
    <row r="63" spans="1:24">
      <c r="A63" s="60" t="s">
        <v>926</v>
      </c>
      <c r="B63" s="60" t="s">
        <v>228</v>
      </c>
      <c r="C63" s="60" t="s">
        <v>229</v>
      </c>
      <c r="D63" s="60" t="s">
        <v>230</v>
      </c>
      <c r="E63" s="61" t="s">
        <v>46</v>
      </c>
      <c r="F63" s="62" t="s">
        <v>46</v>
      </c>
      <c r="G63" s="63" t="s">
        <v>46</v>
      </c>
      <c r="H63" s="64"/>
      <c r="I63" s="64" t="s">
        <v>47</v>
      </c>
      <c r="J63" s="65">
        <v>10</v>
      </c>
      <c r="K63" s="66">
        <f>13760</f>
        <v>13760</v>
      </c>
      <c r="L63" s="67" t="s">
        <v>853</v>
      </c>
      <c r="M63" s="66">
        <f>14290</f>
        <v>14290</v>
      </c>
      <c r="N63" s="67" t="s">
        <v>92</v>
      </c>
      <c r="O63" s="66">
        <f>12970</f>
        <v>12970</v>
      </c>
      <c r="P63" s="67" t="s">
        <v>859</v>
      </c>
      <c r="Q63" s="66">
        <f>13390</f>
        <v>13390</v>
      </c>
      <c r="R63" s="67" t="s">
        <v>873</v>
      </c>
      <c r="S63" s="68">
        <f>13543.75</f>
        <v>13543.75</v>
      </c>
      <c r="T63" s="65">
        <f>3510</f>
        <v>3510</v>
      </c>
      <c r="U63" s="65">
        <f>20</f>
        <v>20</v>
      </c>
      <c r="V63" s="65">
        <f>47216800</f>
        <v>47216800</v>
      </c>
      <c r="W63" s="65">
        <f>271000</f>
        <v>271000</v>
      </c>
      <c r="X63" s="69">
        <f>16</f>
        <v>16</v>
      </c>
    </row>
    <row r="64" spans="1:24">
      <c r="A64" s="60" t="s">
        <v>926</v>
      </c>
      <c r="B64" s="60" t="s">
        <v>231</v>
      </c>
      <c r="C64" s="60" t="s">
        <v>232</v>
      </c>
      <c r="D64" s="60" t="s">
        <v>233</v>
      </c>
      <c r="E64" s="61" t="s">
        <v>46</v>
      </c>
      <c r="F64" s="62" t="s">
        <v>46</v>
      </c>
      <c r="G64" s="63" t="s">
        <v>46</v>
      </c>
      <c r="H64" s="64"/>
      <c r="I64" s="64" t="s">
        <v>47</v>
      </c>
      <c r="J64" s="65">
        <v>10</v>
      </c>
      <c r="K64" s="66">
        <f>4990</f>
        <v>4990</v>
      </c>
      <c r="L64" s="67" t="s">
        <v>853</v>
      </c>
      <c r="M64" s="66">
        <f>5170</f>
        <v>5170</v>
      </c>
      <c r="N64" s="67" t="s">
        <v>859</v>
      </c>
      <c r="O64" s="66">
        <f>4990</f>
        <v>4990</v>
      </c>
      <c r="P64" s="67" t="s">
        <v>853</v>
      </c>
      <c r="Q64" s="66">
        <f>5070</f>
        <v>5070</v>
      </c>
      <c r="R64" s="67" t="s">
        <v>873</v>
      </c>
      <c r="S64" s="68">
        <f>5040.91</f>
        <v>5040.91</v>
      </c>
      <c r="T64" s="65">
        <f>1460</f>
        <v>1460</v>
      </c>
      <c r="U64" s="65">
        <f>20</f>
        <v>20</v>
      </c>
      <c r="V64" s="65">
        <f>7434000</f>
        <v>7434000</v>
      </c>
      <c r="W64" s="65">
        <f>100400</f>
        <v>100400</v>
      </c>
      <c r="X64" s="69">
        <f>11</f>
        <v>11</v>
      </c>
    </row>
    <row r="65" spans="1:24">
      <c r="A65" s="60" t="s">
        <v>926</v>
      </c>
      <c r="B65" s="60" t="s">
        <v>234</v>
      </c>
      <c r="C65" s="60" t="s">
        <v>235</v>
      </c>
      <c r="D65" s="60" t="s">
        <v>236</v>
      </c>
      <c r="E65" s="61" t="s">
        <v>46</v>
      </c>
      <c r="F65" s="62" t="s">
        <v>46</v>
      </c>
      <c r="G65" s="63" t="s">
        <v>46</v>
      </c>
      <c r="H65" s="64"/>
      <c r="I65" s="64" t="s">
        <v>47</v>
      </c>
      <c r="J65" s="65">
        <v>10</v>
      </c>
      <c r="K65" s="66">
        <f>2140</f>
        <v>2140</v>
      </c>
      <c r="L65" s="67" t="s">
        <v>853</v>
      </c>
      <c r="M65" s="66">
        <f>2281</f>
        <v>2281</v>
      </c>
      <c r="N65" s="67" t="s">
        <v>859</v>
      </c>
      <c r="O65" s="66">
        <f>2080</f>
        <v>2080</v>
      </c>
      <c r="P65" s="67" t="s">
        <v>92</v>
      </c>
      <c r="Q65" s="66">
        <f>2240</f>
        <v>2240</v>
      </c>
      <c r="R65" s="67" t="s">
        <v>873</v>
      </c>
      <c r="S65" s="68">
        <f>2172.65</f>
        <v>2172.65</v>
      </c>
      <c r="T65" s="65">
        <f>58570</f>
        <v>58570</v>
      </c>
      <c r="U65" s="65" t="str">
        <f>"－"</f>
        <v>－</v>
      </c>
      <c r="V65" s="65">
        <f>127453340</f>
        <v>127453340</v>
      </c>
      <c r="W65" s="65" t="str">
        <f>"－"</f>
        <v>－</v>
      </c>
      <c r="X65" s="69">
        <f>20</f>
        <v>20</v>
      </c>
    </row>
    <row r="66" spans="1:24">
      <c r="A66" s="60" t="s">
        <v>926</v>
      </c>
      <c r="B66" s="60" t="s">
        <v>241</v>
      </c>
      <c r="C66" s="60" t="s">
        <v>242</v>
      </c>
      <c r="D66" s="60" t="s">
        <v>243</v>
      </c>
      <c r="E66" s="61" t="s">
        <v>46</v>
      </c>
      <c r="F66" s="62" t="s">
        <v>46</v>
      </c>
      <c r="G66" s="63" t="s">
        <v>46</v>
      </c>
      <c r="H66" s="64"/>
      <c r="I66" s="64" t="s">
        <v>47</v>
      </c>
      <c r="J66" s="65">
        <v>1</v>
      </c>
      <c r="K66" s="66">
        <f>3360</f>
        <v>3360</v>
      </c>
      <c r="L66" s="67" t="s">
        <v>853</v>
      </c>
      <c r="M66" s="66">
        <f>3490</f>
        <v>3490</v>
      </c>
      <c r="N66" s="67" t="s">
        <v>371</v>
      </c>
      <c r="O66" s="66">
        <f>3300</f>
        <v>3300</v>
      </c>
      <c r="P66" s="67" t="s">
        <v>92</v>
      </c>
      <c r="Q66" s="66">
        <f>3455</f>
        <v>3455</v>
      </c>
      <c r="R66" s="67" t="s">
        <v>873</v>
      </c>
      <c r="S66" s="68">
        <f>3396.25</f>
        <v>3396.25</v>
      </c>
      <c r="T66" s="65">
        <f>1218</f>
        <v>1218</v>
      </c>
      <c r="U66" s="65">
        <f>4</f>
        <v>4</v>
      </c>
      <c r="V66" s="65">
        <f>4130295</f>
        <v>4130295</v>
      </c>
      <c r="W66" s="65">
        <f>13505</f>
        <v>13505</v>
      </c>
      <c r="X66" s="69">
        <f>16</f>
        <v>16</v>
      </c>
    </row>
    <row r="67" spans="1:24">
      <c r="A67" s="60" t="s">
        <v>926</v>
      </c>
      <c r="B67" s="60" t="s">
        <v>244</v>
      </c>
      <c r="C67" s="60" t="s">
        <v>245</v>
      </c>
      <c r="D67" s="60" t="s">
        <v>246</v>
      </c>
      <c r="E67" s="61" t="s">
        <v>46</v>
      </c>
      <c r="F67" s="62" t="s">
        <v>46</v>
      </c>
      <c r="G67" s="63" t="s">
        <v>46</v>
      </c>
      <c r="H67" s="64"/>
      <c r="I67" s="64" t="s">
        <v>47</v>
      </c>
      <c r="J67" s="65">
        <v>1</v>
      </c>
      <c r="K67" s="66">
        <f>862</f>
        <v>862</v>
      </c>
      <c r="L67" s="67" t="s">
        <v>853</v>
      </c>
      <c r="M67" s="66">
        <f>922</f>
        <v>922</v>
      </c>
      <c r="N67" s="67" t="s">
        <v>268</v>
      </c>
      <c r="O67" s="66">
        <f>840</f>
        <v>840</v>
      </c>
      <c r="P67" s="67" t="s">
        <v>92</v>
      </c>
      <c r="Q67" s="66">
        <f>904</f>
        <v>904</v>
      </c>
      <c r="R67" s="67" t="s">
        <v>873</v>
      </c>
      <c r="S67" s="68">
        <f>874.65</f>
        <v>874.65</v>
      </c>
      <c r="T67" s="65">
        <f>81567</f>
        <v>81567</v>
      </c>
      <c r="U67" s="65">
        <f>9</f>
        <v>9</v>
      </c>
      <c r="V67" s="65">
        <f>71618519</f>
        <v>71618519</v>
      </c>
      <c r="W67" s="65">
        <f>7860</f>
        <v>7860</v>
      </c>
      <c r="X67" s="69">
        <f>20</f>
        <v>20</v>
      </c>
    </row>
    <row r="68" spans="1:24">
      <c r="A68" s="60" t="s">
        <v>926</v>
      </c>
      <c r="B68" s="60" t="s">
        <v>247</v>
      </c>
      <c r="C68" s="60" t="s">
        <v>248</v>
      </c>
      <c r="D68" s="60" t="s">
        <v>249</v>
      </c>
      <c r="E68" s="61" t="s">
        <v>46</v>
      </c>
      <c r="F68" s="62" t="s">
        <v>46</v>
      </c>
      <c r="G68" s="63" t="s">
        <v>46</v>
      </c>
      <c r="H68" s="64"/>
      <c r="I68" s="64" t="s">
        <v>47</v>
      </c>
      <c r="J68" s="65">
        <v>10</v>
      </c>
      <c r="K68" s="66">
        <f>1985</f>
        <v>1985</v>
      </c>
      <c r="L68" s="67" t="s">
        <v>853</v>
      </c>
      <c r="M68" s="66">
        <f>2001</f>
        <v>2001</v>
      </c>
      <c r="N68" s="67" t="s">
        <v>77</v>
      </c>
      <c r="O68" s="66">
        <f>1906</f>
        <v>1906</v>
      </c>
      <c r="P68" s="67" t="s">
        <v>859</v>
      </c>
      <c r="Q68" s="66">
        <f>1926</f>
        <v>1926</v>
      </c>
      <c r="R68" s="67" t="s">
        <v>873</v>
      </c>
      <c r="S68" s="68">
        <f>1960.05</f>
        <v>1960.05</v>
      </c>
      <c r="T68" s="65">
        <f>701200</f>
        <v>701200</v>
      </c>
      <c r="U68" s="65" t="str">
        <f>"－"</f>
        <v>－</v>
      </c>
      <c r="V68" s="65">
        <f>1378298840</f>
        <v>1378298840</v>
      </c>
      <c r="W68" s="65" t="str">
        <f>"－"</f>
        <v>－</v>
      </c>
      <c r="X68" s="69">
        <f>20</f>
        <v>20</v>
      </c>
    </row>
    <row r="69" spans="1:24">
      <c r="A69" s="60" t="s">
        <v>926</v>
      </c>
      <c r="B69" s="60" t="s">
        <v>250</v>
      </c>
      <c r="C69" s="60" t="s">
        <v>251</v>
      </c>
      <c r="D69" s="60" t="s">
        <v>252</v>
      </c>
      <c r="E69" s="61" t="s">
        <v>46</v>
      </c>
      <c r="F69" s="62" t="s">
        <v>46</v>
      </c>
      <c r="G69" s="63" t="s">
        <v>46</v>
      </c>
      <c r="H69" s="64"/>
      <c r="I69" s="64" t="s">
        <v>47</v>
      </c>
      <c r="J69" s="65">
        <v>1</v>
      </c>
      <c r="K69" s="66">
        <f>17720</f>
        <v>17720</v>
      </c>
      <c r="L69" s="67" t="s">
        <v>853</v>
      </c>
      <c r="M69" s="66">
        <f>17900</f>
        <v>17900</v>
      </c>
      <c r="N69" s="67" t="s">
        <v>857</v>
      </c>
      <c r="O69" s="66">
        <f>17100</f>
        <v>17100</v>
      </c>
      <c r="P69" s="67" t="s">
        <v>371</v>
      </c>
      <c r="Q69" s="66">
        <f>17200</f>
        <v>17200</v>
      </c>
      <c r="R69" s="67" t="s">
        <v>873</v>
      </c>
      <c r="S69" s="68">
        <f>17528.42</f>
        <v>17528.419999999998</v>
      </c>
      <c r="T69" s="65">
        <f>41655</f>
        <v>41655</v>
      </c>
      <c r="U69" s="65">
        <f>1</f>
        <v>1</v>
      </c>
      <c r="V69" s="65">
        <f>737029480</f>
        <v>737029480</v>
      </c>
      <c r="W69" s="65">
        <f>17260</f>
        <v>17260</v>
      </c>
      <c r="X69" s="69">
        <f>19</f>
        <v>19</v>
      </c>
    </row>
    <row r="70" spans="1:24">
      <c r="A70" s="60" t="s">
        <v>926</v>
      </c>
      <c r="B70" s="60" t="s">
        <v>253</v>
      </c>
      <c r="C70" s="60" t="s">
        <v>254</v>
      </c>
      <c r="D70" s="60" t="s">
        <v>255</v>
      </c>
      <c r="E70" s="61" t="s">
        <v>46</v>
      </c>
      <c r="F70" s="62" t="s">
        <v>46</v>
      </c>
      <c r="G70" s="63" t="s">
        <v>46</v>
      </c>
      <c r="H70" s="64"/>
      <c r="I70" s="64" t="s">
        <v>47</v>
      </c>
      <c r="J70" s="65">
        <v>1</v>
      </c>
      <c r="K70" s="66">
        <f>2006</f>
        <v>2006</v>
      </c>
      <c r="L70" s="67" t="s">
        <v>853</v>
      </c>
      <c r="M70" s="66">
        <f>2031</f>
        <v>2031</v>
      </c>
      <c r="N70" s="67" t="s">
        <v>92</v>
      </c>
      <c r="O70" s="66">
        <f>1934</f>
        <v>1934</v>
      </c>
      <c r="P70" s="67" t="s">
        <v>859</v>
      </c>
      <c r="Q70" s="66">
        <f>1989</f>
        <v>1989</v>
      </c>
      <c r="R70" s="67" t="s">
        <v>873</v>
      </c>
      <c r="S70" s="68">
        <f>1989.1</f>
        <v>1989.1</v>
      </c>
      <c r="T70" s="65">
        <f>5182339</f>
        <v>5182339</v>
      </c>
      <c r="U70" s="65">
        <f>1106197</f>
        <v>1106197</v>
      </c>
      <c r="V70" s="65">
        <f>10298870669</f>
        <v>10298870669</v>
      </c>
      <c r="W70" s="65">
        <f>2216364127</f>
        <v>2216364127</v>
      </c>
      <c r="X70" s="69">
        <f>20</f>
        <v>20</v>
      </c>
    </row>
    <row r="71" spans="1:24">
      <c r="A71" s="60" t="s">
        <v>926</v>
      </c>
      <c r="B71" s="60" t="s">
        <v>256</v>
      </c>
      <c r="C71" s="60" t="s">
        <v>257</v>
      </c>
      <c r="D71" s="60" t="s">
        <v>258</v>
      </c>
      <c r="E71" s="61" t="s">
        <v>46</v>
      </c>
      <c r="F71" s="62" t="s">
        <v>46</v>
      </c>
      <c r="G71" s="63" t="s">
        <v>46</v>
      </c>
      <c r="H71" s="64"/>
      <c r="I71" s="64" t="s">
        <v>47</v>
      </c>
      <c r="J71" s="65">
        <v>1</v>
      </c>
      <c r="K71" s="66">
        <f>2221</f>
        <v>2221</v>
      </c>
      <c r="L71" s="67" t="s">
        <v>853</v>
      </c>
      <c r="M71" s="66">
        <f>2263</f>
        <v>2263</v>
      </c>
      <c r="N71" s="67" t="s">
        <v>92</v>
      </c>
      <c r="O71" s="66">
        <f>2193</f>
        <v>2193</v>
      </c>
      <c r="P71" s="67" t="s">
        <v>371</v>
      </c>
      <c r="Q71" s="66">
        <f>2234</f>
        <v>2234</v>
      </c>
      <c r="R71" s="67" t="s">
        <v>873</v>
      </c>
      <c r="S71" s="68">
        <f>2231.9</f>
        <v>2231.9</v>
      </c>
      <c r="T71" s="65">
        <f>2911134</f>
        <v>2911134</v>
      </c>
      <c r="U71" s="65">
        <f>327876</f>
        <v>327876</v>
      </c>
      <c r="V71" s="65">
        <f>6505597646</f>
        <v>6505597646</v>
      </c>
      <c r="W71" s="65">
        <f>731484362</f>
        <v>731484362</v>
      </c>
      <c r="X71" s="69">
        <f>20</f>
        <v>20</v>
      </c>
    </row>
    <row r="72" spans="1:24">
      <c r="A72" s="60" t="s">
        <v>926</v>
      </c>
      <c r="B72" s="60" t="s">
        <v>259</v>
      </c>
      <c r="C72" s="60" t="s">
        <v>260</v>
      </c>
      <c r="D72" s="60" t="s">
        <v>261</v>
      </c>
      <c r="E72" s="61" t="s">
        <v>46</v>
      </c>
      <c r="F72" s="62" t="s">
        <v>46</v>
      </c>
      <c r="G72" s="63" t="s">
        <v>46</v>
      </c>
      <c r="H72" s="64"/>
      <c r="I72" s="64" t="s">
        <v>47</v>
      </c>
      <c r="J72" s="65">
        <v>1</v>
      </c>
      <c r="K72" s="66">
        <f>1875</f>
        <v>1875</v>
      </c>
      <c r="L72" s="67" t="s">
        <v>853</v>
      </c>
      <c r="M72" s="66">
        <f>1900</f>
        <v>1900</v>
      </c>
      <c r="N72" s="67" t="s">
        <v>69</v>
      </c>
      <c r="O72" s="66">
        <f>1821</f>
        <v>1821</v>
      </c>
      <c r="P72" s="67" t="s">
        <v>859</v>
      </c>
      <c r="Q72" s="66">
        <f>1828</f>
        <v>1828</v>
      </c>
      <c r="R72" s="67" t="s">
        <v>873</v>
      </c>
      <c r="S72" s="68">
        <f>1862.8</f>
        <v>1862.8</v>
      </c>
      <c r="T72" s="65">
        <f>23889</f>
        <v>23889</v>
      </c>
      <c r="U72" s="65">
        <f>14078</f>
        <v>14078</v>
      </c>
      <c r="V72" s="65">
        <f>44048697</f>
        <v>44048697</v>
      </c>
      <c r="W72" s="65">
        <f>25718756</f>
        <v>25718756</v>
      </c>
      <c r="X72" s="69">
        <f>20</f>
        <v>20</v>
      </c>
    </row>
    <row r="73" spans="1:24">
      <c r="A73" s="60" t="s">
        <v>926</v>
      </c>
      <c r="B73" s="60" t="s">
        <v>262</v>
      </c>
      <c r="C73" s="60" t="s">
        <v>263</v>
      </c>
      <c r="D73" s="60" t="s">
        <v>264</v>
      </c>
      <c r="E73" s="61" t="s">
        <v>46</v>
      </c>
      <c r="F73" s="62" t="s">
        <v>46</v>
      </c>
      <c r="G73" s="63" t="s">
        <v>46</v>
      </c>
      <c r="H73" s="64"/>
      <c r="I73" s="64" t="s">
        <v>47</v>
      </c>
      <c r="J73" s="65">
        <v>1</v>
      </c>
      <c r="K73" s="66">
        <f>2167</f>
        <v>2167</v>
      </c>
      <c r="L73" s="67" t="s">
        <v>853</v>
      </c>
      <c r="M73" s="66">
        <f>2195</f>
        <v>2195</v>
      </c>
      <c r="N73" s="67" t="s">
        <v>69</v>
      </c>
      <c r="O73" s="66">
        <f>2093</f>
        <v>2093</v>
      </c>
      <c r="P73" s="67" t="s">
        <v>859</v>
      </c>
      <c r="Q73" s="66">
        <f>2122</f>
        <v>2122</v>
      </c>
      <c r="R73" s="67" t="s">
        <v>873</v>
      </c>
      <c r="S73" s="68">
        <f>2156.6</f>
        <v>2156.6</v>
      </c>
      <c r="T73" s="65">
        <f>326266</f>
        <v>326266</v>
      </c>
      <c r="U73" s="65">
        <f>135237</f>
        <v>135237</v>
      </c>
      <c r="V73" s="65">
        <f>701195635</f>
        <v>701195635</v>
      </c>
      <c r="W73" s="65">
        <f>289840124</f>
        <v>289840124</v>
      </c>
      <c r="X73" s="69">
        <f>20</f>
        <v>20</v>
      </c>
    </row>
    <row r="74" spans="1:24">
      <c r="A74" s="60" t="s">
        <v>926</v>
      </c>
      <c r="B74" s="60" t="s">
        <v>265</v>
      </c>
      <c r="C74" s="60" t="s">
        <v>266</v>
      </c>
      <c r="D74" s="60" t="s">
        <v>267</v>
      </c>
      <c r="E74" s="61" t="s">
        <v>46</v>
      </c>
      <c r="F74" s="62" t="s">
        <v>46</v>
      </c>
      <c r="G74" s="63" t="s">
        <v>46</v>
      </c>
      <c r="H74" s="64"/>
      <c r="I74" s="64" t="s">
        <v>47</v>
      </c>
      <c r="J74" s="65">
        <v>1</v>
      </c>
      <c r="K74" s="66">
        <f>23990</f>
        <v>23990</v>
      </c>
      <c r="L74" s="67" t="s">
        <v>857</v>
      </c>
      <c r="M74" s="66">
        <f>24110</f>
        <v>24110</v>
      </c>
      <c r="N74" s="67" t="s">
        <v>77</v>
      </c>
      <c r="O74" s="66">
        <f>23000</f>
        <v>23000</v>
      </c>
      <c r="P74" s="67" t="s">
        <v>371</v>
      </c>
      <c r="Q74" s="66">
        <f>23460</f>
        <v>23460</v>
      </c>
      <c r="R74" s="67" t="s">
        <v>873</v>
      </c>
      <c r="S74" s="68">
        <f>23662.14</f>
        <v>23662.14</v>
      </c>
      <c r="T74" s="65">
        <f>77</f>
        <v>77</v>
      </c>
      <c r="U74" s="65">
        <f>3</f>
        <v>3</v>
      </c>
      <c r="V74" s="65">
        <f>1826080</f>
        <v>1826080</v>
      </c>
      <c r="W74" s="65">
        <f>71060</f>
        <v>71060</v>
      </c>
      <c r="X74" s="69">
        <f>14</f>
        <v>14</v>
      </c>
    </row>
    <row r="75" spans="1:24">
      <c r="A75" s="60" t="s">
        <v>926</v>
      </c>
      <c r="B75" s="60" t="s">
        <v>269</v>
      </c>
      <c r="C75" s="60" t="s">
        <v>270</v>
      </c>
      <c r="D75" s="60" t="s">
        <v>271</v>
      </c>
      <c r="E75" s="61" t="s">
        <v>46</v>
      </c>
      <c r="F75" s="62" t="s">
        <v>46</v>
      </c>
      <c r="G75" s="63" t="s">
        <v>46</v>
      </c>
      <c r="H75" s="64"/>
      <c r="I75" s="64" t="s">
        <v>47</v>
      </c>
      <c r="J75" s="65">
        <v>1</v>
      </c>
      <c r="K75" s="66">
        <f>19500</f>
        <v>19500</v>
      </c>
      <c r="L75" s="67" t="s">
        <v>857</v>
      </c>
      <c r="M75" s="66">
        <f>19700</f>
        <v>19700</v>
      </c>
      <c r="N75" s="67" t="s">
        <v>92</v>
      </c>
      <c r="O75" s="66">
        <f>18870</f>
        <v>18870</v>
      </c>
      <c r="P75" s="67" t="s">
        <v>859</v>
      </c>
      <c r="Q75" s="66">
        <f>19070</f>
        <v>19070</v>
      </c>
      <c r="R75" s="67" t="s">
        <v>873</v>
      </c>
      <c r="S75" s="68">
        <f>19402.5</f>
        <v>19402.5</v>
      </c>
      <c r="T75" s="65">
        <f>130</f>
        <v>130</v>
      </c>
      <c r="U75" s="65">
        <f>4</f>
        <v>4</v>
      </c>
      <c r="V75" s="65">
        <f>2501330</f>
        <v>2501330</v>
      </c>
      <c r="W75" s="65">
        <f>77400</f>
        <v>77400</v>
      </c>
      <c r="X75" s="69">
        <f>12</f>
        <v>12</v>
      </c>
    </row>
    <row r="76" spans="1:24">
      <c r="A76" s="60" t="s">
        <v>926</v>
      </c>
      <c r="B76" s="60" t="s">
        <v>272</v>
      </c>
      <c r="C76" s="60" t="s">
        <v>273</v>
      </c>
      <c r="D76" s="60" t="s">
        <v>274</v>
      </c>
      <c r="E76" s="61" t="s">
        <v>46</v>
      </c>
      <c r="F76" s="62" t="s">
        <v>46</v>
      </c>
      <c r="G76" s="63" t="s">
        <v>46</v>
      </c>
      <c r="H76" s="64"/>
      <c r="I76" s="64" t="s">
        <v>47</v>
      </c>
      <c r="J76" s="65">
        <v>1</v>
      </c>
      <c r="K76" s="66">
        <f>1941</f>
        <v>1941</v>
      </c>
      <c r="L76" s="67" t="s">
        <v>857</v>
      </c>
      <c r="M76" s="66">
        <f>1959</f>
        <v>1959</v>
      </c>
      <c r="N76" s="67" t="s">
        <v>859</v>
      </c>
      <c r="O76" s="66">
        <f>1866</f>
        <v>1866</v>
      </c>
      <c r="P76" s="67" t="s">
        <v>371</v>
      </c>
      <c r="Q76" s="66">
        <f>1887</f>
        <v>1887</v>
      </c>
      <c r="R76" s="67" t="s">
        <v>873</v>
      </c>
      <c r="S76" s="68">
        <f>1913.33</f>
        <v>1913.33</v>
      </c>
      <c r="T76" s="65">
        <f>886</f>
        <v>886</v>
      </c>
      <c r="U76" s="65">
        <f>6</f>
        <v>6</v>
      </c>
      <c r="V76" s="65">
        <f>1690800</f>
        <v>1690800</v>
      </c>
      <c r="W76" s="65">
        <f>11479</f>
        <v>11479</v>
      </c>
      <c r="X76" s="69">
        <f>18</f>
        <v>18</v>
      </c>
    </row>
    <row r="77" spans="1:24">
      <c r="A77" s="60" t="s">
        <v>926</v>
      </c>
      <c r="B77" s="60" t="s">
        <v>275</v>
      </c>
      <c r="C77" s="60" t="s">
        <v>276</v>
      </c>
      <c r="D77" s="60" t="s">
        <v>277</v>
      </c>
      <c r="E77" s="61" t="s">
        <v>46</v>
      </c>
      <c r="F77" s="62" t="s">
        <v>46</v>
      </c>
      <c r="G77" s="63" t="s">
        <v>46</v>
      </c>
      <c r="H77" s="64"/>
      <c r="I77" s="64" t="s">
        <v>47</v>
      </c>
      <c r="J77" s="65">
        <v>1</v>
      </c>
      <c r="K77" s="66">
        <f>2358</f>
        <v>2358</v>
      </c>
      <c r="L77" s="67" t="s">
        <v>853</v>
      </c>
      <c r="M77" s="66">
        <f>2403</f>
        <v>2403</v>
      </c>
      <c r="N77" s="67" t="s">
        <v>371</v>
      </c>
      <c r="O77" s="66">
        <f>2355</f>
        <v>2355</v>
      </c>
      <c r="P77" s="67" t="s">
        <v>857</v>
      </c>
      <c r="Q77" s="66">
        <f>2394</f>
        <v>2394</v>
      </c>
      <c r="R77" s="67" t="s">
        <v>873</v>
      </c>
      <c r="S77" s="68">
        <f>2380</f>
        <v>2380</v>
      </c>
      <c r="T77" s="65">
        <f>2716750</f>
        <v>2716750</v>
      </c>
      <c r="U77" s="65">
        <f>791000</f>
        <v>791000</v>
      </c>
      <c r="V77" s="65">
        <f>6467168778</f>
        <v>6467168778</v>
      </c>
      <c r="W77" s="65">
        <f>1892277300</f>
        <v>1892277300</v>
      </c>
      <c r="X77" s="69">
        <f>20</f>
        <v>20</v>
      </c>
    </row>
    <row r="78" spans="1:24">
      <c r="A78" s="60" t="s">
        <v>926</v>
      </c>
      <c r="B78" s="60" t="s">
        <v>278</v>
      </c>
      <c r="C78" s="60" t="s">
        <v>279</v>
      </c>
      <c r="D78" s="60" t="s">
        <v>280</v>
      </c>
      <c r="E78" s="61" t="s">
        <v>46</v>
      </c>
      <c r="F78" s="62" t="s">
        <v>46</v>
      </c>
      <c r="G78" s="63" t="s">
        <v>46</v>
      </c>
      <c r="H78" s="64"/>
      <c r="I78" s="64" t="s">
        <v>47</v>
      </c>
      <c r="J78" s="65">
        <v>1</v>
      </c>
      <c r="K78" s="66">
        <f>1878</f>
        <v>1878</v>
      </c>
      <c r="L78" s="67" t="s">
        <v>853</v>
      </c>
      <c r="M78" s="66">
        <f>1918</f>
        <v>1918</v>
      </c>
      <c r="N78" s="67" t="s">
        <v>69</v>
      </c>
      <c r="O78" s="66">
        <f>1866</f>
        <v>1866</v>
      </c>
      <c r="P78" s="67" t="s">
        <v>859</v>
      </c>
      <c r="Q78" s="66">
        <f>1868</f>
        <v>1868</v>
      </c>
      <c r="R78" s="67" t="s">
        <v>873</v>
      </c>
      <c r="S78" s="68">
        <f>1895.35</f>
        <v>1895.35</v>
      </c>
      <c r="T78" s="65">
        <f>494</f>
        <v>494</v>
      </c>
      <c r="U78" s="65">
        <f>4</f>
        <v>4</v>
      </c>
      <c r="V78" s="65">
        <f>936901</f>
        <v>936901</v>
      </c>
      <c r="W78" s="65">
        <f>7558</f>
        <v>7558</v>
      </c>
      <c r="X78" s="69">
        <f>20</f>
        <v>20</v>
      </c>
    </row>
    <row r="79" spans="1:24">
      <c r="A79" s="60" t="s">
        <v>926</v>
      </c>
      <c r="B79" s="60" t="s">
        <v>281</v>
      </c>
      <c r="C79" s="60" t="s">
        <v>282</v>
      </c>
      <c r="D79" s="60" t="s">
        <v>283</v>
      </c>
      <c r="E79" s="61" t="s">
        <v>46</v>
      </c>
      <c r="F79" s="62" t="s">
        <v>46</v>
      </c>
      <c r="G79" s="63" t="s">
        <v>46</v>
      </c>
      <c r="H79" s="64"/>
      <c r="I79" s="64" t="s">
        <v>47</v>
      </c>
      <c r="J79" s="65">
        <v>10</v>
      </c>
      <c r="K79" s="66">
        <f>1922</f>
        <v>1922</v>
      </c>
      <c r="L79" s="67" t="s">
        <v>77</v>
      </c>
      <c r="M79" s="66">
        <f>1928</f>
        <v>1928</v>
      </c>
      <c r="N79" s="67" t="s">
        <v>77</v>
      </c>
      <c r="O79" s="66">
        <f>1852</f>
        <v>1852</v>
      </c>
      <c r="P79" s="67" t="s">
        <v>371</v>
      </c>
      <c r="Q79" s="66">
        <f>1857</f>
        <v>1857</v>
      </c>
      <c r="R79" s="67" t="s">
        <v>873</v>
      </c>
      <c r="S79" s="68">
        <f>1875.11</f>
        <v>1875.11</v>
      </c>
      <c r="T79" s="65">
        <f>4450</f>
        <v>4450</v>
      </c>
      <c r="U79" s="65">
        <f>10</f>
        <v>10</v>
      </c>
      <c r="V79" s="65">
        <f>8290810</f>
        <v>8290810</v>
      </c>
      <c r="W79" s="65">
        <f>18790</f>
        <v>18790</v>
      </c>
      <c r="X79" s="69">
        <f>9</f>
        <v>9</v>
      </c>
    </row>
    <row r="80" spans="1:24">
      <c r="A80" s="60" t="s">
        <v>926</v>
      </c>
      <c r="B80" s="60" t="s">
        <v>284</v>
      </c>
      <c r="C80" s="60" t="s">
        <v>285</v>
      </c>
      <c r="D80" s="60" t="s">
        <v>286</v>
      </c>
      <c r="E80" s="61" t="s">
        <v>46</v>
      </c>
      <c r="F80" s="62" t="s">
        <v>46</v>
      </c>
      <c r="G80" s="63" t="s">
        <v>46</v>
      </c>
      <c r="H80" s="64"/>
      <c r="I80" s="64" t="s">
        <v>47</v>
      </c>
      <c r="J80" s="65">
        <v>1</v>
      </c>
      <c r="K80" s="66">
        <f>30750</f>
        <v>30750</v>
      </c>
      <c r="L80" s="67" t="s">
        <v>49</v>
      </c>
      <c r="M80" s="66">
        <f>31350</f>
        <v>31350</v>
      </c>
      <c r="N80" s="67" t="s">
        <v>49</v>
      </c>
      <c r="O80" s="66">
        <f>30750</f>
        <v>30750</v>
      </c>
      <c r="P80" s="67" t="s">
        <v>49</v>
      </c>
      <c r="Q80" s="66">
        <f>31350</f>
        <v>31350</v>
      </c>
      <c r="R80" s="67" t="s">
        <v>49</v>
      </c>
      <c r="S80" s="68">
        <f>31350</f>
        <v>31350</v>
      </c>
      <c r="T80" s="65">
        <f>21</f>
        <v>21</v>
      </c>
      <c r="U80" s="65" t="str">
        <f>"－"</f>
        <v>－</v>
      </c>
      <c r="V80" s="65">
        <f>646350</f>
        <v>646350</v>
      </c>
      <c r="W80" s="65" t="str">
        <f>"－"</f>
        <v>－</v>
      </c>
      <c r="X80" s="69">
        <f>1</f>
        <v>1</v>
      </c>
    </row>
    <row r="81" spans="1:24">
      <c r="A81" s="60" t="s">
        <v>926</v>
      </c>
      <c r="B81" s="60" t="s">
        <v>287</v>
      </c>
      <c r="C81" s="60" t="s">
        <v>288</v>
      </c>
      <c r="D81" s="60" t="s">
        <v>289</v>
      </c>
      <c r="E81" s="61" t="s">
        <v>46</v>
      </c>
      <c r="F81" s="62" t="s">
        <v>46</v>
      </c>
      <c r="G81" s="63" t="s">
        <v>46</v>
      </c>
      <c r="H81" s="64"/>
      <c r="I81" s="64" t="s">
        <v>47</v>
      </c>
      <c r="J81" s="65">
        <v>1</v>
      </c>
      <c r="K81" s="66">
        <f>21750</f>
        <v>21750</v>
      </c>
      <c r="L81" s="67" t="s">
        <v>853</v>
      </c>
      <c r="M81" s="66">
        <f>22070</f>
        <v>22070</v>
      </c>
      <c r="N81" s="67" t="s">
        <v>172</v>
      </c>
      <c r="O81" s="66">
        <f>21450</f>
        <v>21450</v>
      </c>
      <c r="P81" s="67" t="s">
        <v>69</v>
      </c>
      <c r="Q81" s="66">
        <f>21570</f>
        <v>21570</v>
      </c>
      <c r="R81" s="67" t="s">
        <v>873</v>
      </c>
      <c r="S81" s="68">
        <f>21642</f>
        <v>21642</v>
      </c>
      <c r="T81" s="65">
        <f>41073</f>
        <v>41073</v>
      </c>
      <c r="U81" s="65">
        <f>7295</f>
        <v>7295</v>
      </c>
      <c r="V81" s="65">
        <f>892615667</f>
        <v>892615667</v>
      </c>
      <c r="W81" s="65">
        <f>157825057</f>
        <v>157825057</v>
      </c>
      <c r="X81" s="69">
        <f>20</f>
        <v>20</v>
      </c>
    </row>
    <row r="82" spans="1:24">
      <c r="A82" s="60" t="s">
        <v>926</v>
      </c>
      <c r="B82" s="60" t="s">
        <v>290</v>
      </c>
      <c r="C82" s="60" t="s">
        <v>291</v>
      </c>
      <c r="D82" s="60" t="s">
        <v>292</v>
      </c>
      <c r="E82" s="61" t="s">
        <v>46</v>
      </c>
      <c r="F82" s="62" t="s">
        <v>46</v>
      </c>
      <c r="G82" s="63" t="s">
        <v>46</v>
      </c>
      <c r="H82" s="64"/>
      <c r="I82" s="64" t="s">
        <v>47</v>
      </c>
      <c r="J82" s="65">
        <v>1</v>
      </c>
      <c r="K82" s="66">
        <f>18460</f>
        <v>18460</v>
      </c>
      <c r="L82" s="67" t="s">
        <v>853</v>
      </c>
      <c r="M82" s="66">
        <f>18690</f>
        <v>18690</v>
      </c>
      <c r="N82" s="67" t="s">
        <v>371</v>
      </c>
      <c r="O82" s="66">
        <f>18370</f>
        <v>18370</v>
      </c>
      <c r="P82" s="67" t="s">
        <v>49</v>
      </c>
      <c r="Q82" s="66">
        <f>18610</f>
        <v>18610</v>
      </c>
      <c r="R82" s="67" t="s">
        <v>873</v>
      </c>
      <c r="S82" s="68">
        <f>18543.5</f>
        <v>18543.5</v>
      </c>
      <c r="T82" s="65">
        <f>1361815</f>
        <v>1361815</v>
      </c>
      <c r="U82" s="65">
        <f>1205708</f>
        <v>1205708</v>
      </c>
      <c r="V82" s="65">
        <f>25338799893</f>
        <v>25338799893</v>
      </c>
      <c r="W82" s="65">
        <f>22441544253</f>
        <v>22441544253</v>
      </c>
      <c r="X82" s="69">
        <f>20</f>
        <v>20</v>
      </c>
    </row>
    <row r="83" spans="1:24">
      <c r="A83" s="60" t="s">
        <v>926</v>
      </c>
      <c r="B83" s="60" t="s">
        <v>293</v>
      </c>
      <c r="C83" s="60" t="s">
        <v>294</v>
      </c>
      <c r="D83" s="60" t="s">
        <v>295</v>
      </c>
      <c r="E83" s="61" t="s">
        <v>46</v>
      </c>
      <c r="F83" s="62" t="s">
        <v>46</v>
      </c>
      <c r="G83" s="63" t="s">
        <v>46</v>
      </c>
      <c r="H83" s="64"/>
      <c r="I83" s="64" t="s">
        <v>47</v>
      </c>
      <c r="J83" s="65">
        <v>10</v>
      </c>
      <c r="K83" s="66">
        <f>2218</f>
        <v>2218</v>
      </c>
      <c r="L83" s="67" t="s">
        <v>853</v>
      </c>
      <c r="M83" s="66">
        <f>2260</f>
        <v>2260</v>
      </c>
      <c r="N83" s="67" t="s">
        <v>92</v>
      </c>
      <c r="O83" s="66">
        <f>2192</f>
        <v>2192</v>
      </c>
      <c r="P83" s="67" t="s">
        <v>371</v>
      </c>
      <c r="Q83" s="66">
        <f>2226</f>
        <v>2226</v>
      </c>
      <c r="R83" s="67" t="s">
        <v>873</v>
      </c>
      <c r="S83" s="68">
        <f>2229.2</f>
        <v>2229.1999999999998</v>
      </c>
      <c r="T83" s="65">
        <f>1028050</f>
        <v>1028050</v>
      </c>
      <c r="U83" s="65" t="str">
        <f>"－"</f>
        <v>－</v>
      </c>
      <c r="V83" s="65">
        <f>2288338100</f>
        <v>2288338100</v>
      </c>
      <c r="W83" s="65" t="str">
        <f>"－"</f>
        <v>－</v>
      </c>
      <c r="X83" s="69">
        <f>20</f>
        <v>20</v>
      </c>
    </row>
    <row r="84" spans="1:24">
      <c r="A84" s="60" t="s">
        <v>926</v>
      </c>
      <c r="B84" s="60" t="s">
        <v>296</v>
      </c>
      <c r="C84" s="60" t="s">
        <v>297</v>
      </c>
      <c r="D84" s="60" t="s">
        <v>298</v>
      </c>
      <c r="E84" s="61" t="s">
        <v>46</v>
      </c>
      <c r="F84" s="62" t="s">
        <v>46</v>
      </c>
      <c r="G84" s="63" t="s">
        <v>46</v>
      </c>
      <c r="H84" s="64"/>
      <c r="I84" s="64" t="s">
        <v>47</v>
      </c>
      <c r="J84" s="65">
        <v>1</v>
      </c>
      <c r="K84" s="66">
        <f>35150</f>
        <v>35150</v>
      </c>
      <c r="L84" s="67" t="s">
        <v>853</v>
      </c>
      <c r="M84" s="66">
        <f>35250</f>
        <v>35250</v>
      </c>
      <c r="N84" s="67" t="s">
        <v>857</v>
      </c>
      <c r="O84" s="66">
        <f>33800</f>
        <v>33800</v>
      </c>
      <c r="P84" s="67" t="s">
        <v>859</v>
      </c>
      <c r="Q84" s="66">
        <f>34450</f>
        <v>34450</v>
      </c>
      <c r="R84" s="67" t="s">
        <v>873</v>
      </c>
      <c r="S84" s="68">
        <f>34697.5</f>
        <v>34697.5</v>
      </c>
      <c r="T84" s="65">
        <f>28597</f>
        <v>28597</v>
      </c>
      <c r="U84" s="65">
        <f>1211</f>
        <v>1211</v>
      </c>
      <c r="V84" s="65">
        <f>988297050</f>
        <v>988297050</v>
      </c>
      <c r="W84" s="65">
        <f>41959900</f>
        <v>41959900</v>
      </c>
      <c r="X84" s="69">
        <f>20</f>
        <v>20</v>
      </c>
    </row>
    <row r="85" spans="1:24">
      <c r="A85" s="60" t="s">
        <v>926</v>
      </c>
      <c r="B85" s="60" t="s">
        <v>299</v>
      </c>
      <c r="C85" s="60" t="s">
        <v>300</v>
      </c>
      <c r="D85" s="60" t="s">
        <v>301</v>
      </c>
      <c r="E85" s="61" t="s">
        <v>46</v>
      </c>
      <c r="F85" s="62" t="s">
        <v>46</v>
      </c>
      <c r="G85" s="63" t="s">
        <v>46</v>
      </c>
      <c r="H85" s="64"/>
      <c r="I85" s="64" t="s">
        <v>47</v>
      </c>
      <c r="J85" s="65">
        <v>10</v>
      </c>
      <c r="K85" s="66">
        <f>7730</f>
        <v>7730</v>
      </c>
      <c r="L85" s="67" t="s">
        <v>268</v>
      </c>
      <c r="M85" s="66">
        <f>7730</f>
        <v>7730</v>
      </c>
      <c r="N85" s="67" t="s">
        <v>268</v>
      </c>
      <c r="O85" s="66">
        <f>7690</f>
        <v>7690</v>
      </c>
      <c r="P85" s="67" t="s">
        <v>50</v>
      </c>
      <c r="Q85" s="66">
        <f>7690</f>
        <v>7690</v>
      </c>
      <c r="R85" s="67" t="s">
        <v>50</v>
      </c>
      <c r="S85" s="68">
        <f>7706.67</f>
        <v>7706.67</v>
      </c>
      <c r="T85" s="65">
        <f>250</f>
        <v>250</v>
      </c>
      <c r="U85" s="65">
        <f>20</f>
        <v>20</v>
      </c>
      <c r="V85" s="65">
        <f>1926300</f>
        <v>1926300</v>
      </c>
      <c r="W85" s="65">
        <f>153900</f>
        <v>153900</v>
      </c>
      <c r="X85" s="69">
        <f>3</f>
        <v>3</v>
      </c>
    </row>
    <row r="86" spans="1:24">
      <c r="A86" s="60" t="s">
        <v>926</v>
      </c>
      <c r="B86" s="60" t="s">
        <v>302</v>
      </c>
      <c r="C86" s="60" t="s">
        <v>303</v>
      </c>
      <c r="D86" s="60" t="s">
        <v>304</v>
      </c>
      <c r="E86" s="61" t="s">
        <v>46</v>
      </c>
      <c r="F86" s="62" t="s">
        <v>46</v>
      </c>
      <c r="G86" s="63" t="s">
        <v>46</v>
      </c>
      <c r="H86" s="64"/>
      <c r="I86" s="64" t="s">
        <v>47</v>
      </c>
      <c r="J86" s="65">
        <v>1</v>
      </c>
      <c r="K86" s="66">
        <f>16610</f>
        <v>16610</v>
      </c>
      <c r="L86" s="67" t="s">
        <v>853</v>
      </c>
      <c r="M86" s="66">
        <f>16970</f>
        <v>16970</v>
      </c>
      <c r="N86" s="67" t="s">
        <v>49</v>
      </c>
      <c r="O86" s="66">
        <f>16250</f>
        <v>16250</v>
      </c>
      <c r="P86" s="67" t="s">
        <v>859</v>
      </c>
      <c r="Q86" s="66">
        <f>16410</f>
        <v>16410</v>
      </c>
      <c r="R86" s="67" t="s">
        <v>873</v>
      </c>
      <c r="S86" s="68">
        <f>16557</f>
        <v>16557</v>
      </c>
      <c r="T86" s="65">
        <f>1285</f>
        <v>1285</v>
      </c>
      <c r="U86" s="65">
        <f>5</f>
        <v>5</v>
      </c>
      <c r="V86" s="65">
        <f>21339090</f>
        <v>21339090</v>
      </c>
      <c r="W86" s="65">
        <f>82820</f>
        <v>82820</v>
      </c>
      <c r="X86" s="69">
        <f>20</f>
        <v>20</v>
      </c>
    </row>
    <row r="87" spans="1:24">
      <c r="A87" s="60" t="s">
        <v>926</v>
      </c>
      <c r="B87" s="60" t="s">
        <v>305</v>
      </c>
      <c r="C87" s="60" t="s">
        <v>306</v>
      </c>
      <c r="D87" s="60" t="s">
        <v>307</v>
      </c>
      <c r="E87" s="61" t="s">
        <v>46</v>
      </c>
      <c r="F87" s="62" t="s">
        <v>46</v>
      </c>
      <c r="G87" s="63" t="s">
        <v>46</v>
      </c>
      <c r="H87" s="64"/>
      <c r="I87" s="64" t="s">
        <v>47</v>
      </c>
      <c r="J87" s="65">
        <v>1</v>
      </c>
      <c r="K87" s="66">
        <f>16610</f>
        <v>16610</v>
      </c>
      <c r="L87" s="67" t="s">
        <v>853</v>
      </c>
      <c r="M87" s="66">
        <f>16760</f>
        <v>16760</v>
      </c>
      <c r="N87" s="67" t="s">
        <v>49</v>
      </c>
      <c r="O87" s="66">
        <f>15870</f>
        <v>15870</v>
      </c>
      <c r="P87" s="67" t="s">
        <v>859</v>
      </c>
      <c r="Q87" s="66">
        <f>16200</f>
        <v>16200</v>
      </c>
      <c r="R87" s="67" t="s">
        <v>873</v>
      </c>
      <c r="S87" s="68">
        <f>16406.84</f>
        <v>16406.84</v>
      </c>
      <c r="T87" s="65">
        <f>1581</f>
        <v>1581</v>
      </c>
      <c r="U87" s="65">
        <f>1</f>
        <v>1</v>
      </c>
      <c r="V87" s="65">
        <f>25792760</f>
        <v>25792760</v>
      </c>
      <c r="W87" s="65">
        <f>16710</f>
        <v>16710</v>
      </c>
      <c r="X87" s="69">
        <f>19</f>
        <v>19</v>
      </c>
    </row>
    <row r="88" spans="1:24">
      <c r="A88" s="60" t="s">
        <v>926</v>
      </c>
      <c r="B88" s="60" t="s">
        <v>308</v>
      </c>
      <c r="C88" s="60" t="s">
        <v>309</v>
      </c>
      <c r="D88" s="60" t="s">
        <v>310</v>
      </c>
      <c r="E88" s="61" t="s">
        <v>46</v>
      </c>
      <c r="F88" s="62" t="s">
        <v>46</v>
      </c>
      <c r="G88" s="63" t="s">
        <v>46</v>
      </c>
      <c r="H88" s="64"/>
      <c r="I88" s="64" t="s">
        <v>47</v>
      </c>
      <c r="J88" s="65">
        <v>1</v>
      </c>
      <c r="K88" s="66">
        <f>19140</f>
        <v>19140</v>
      </c>
      <c r="L88" s="67" t="s">
        <v>853</v>
      </c>
      <c r="M88" s="66">
        <f>19450</f>
        <v>19450</v>
      </c>
      <c r="N88" s="67" t="s">
        <v>857</v>
      </c>
      <c r="O88" s="66">
        <f>18490</f>
        <v>18490</v>
      </c>
      <c r="P88" s="67" t="s">
        <v>859</v>
      </c>
      <c r="Q88" s="66">
        <f>18820</f>
        <v>18820</v>
      </c>
      <c r="R88" s="67" t="s">
        <v>873</v>
      </c>
      <c r="S88" s="68">
        <f>19056</f>
        <v>19056</v>
      </c>
      <c r="T88" s="65">
        <f>2745</f>
        <v>2745</v>
      </c>
      <c r="U88" s="65">
        <f>4</f>
        <v>4</v>
      </c>
      <c r="V88" s="65">
        <f>51985940</f>
        <v>51985940</v>
      </c>
      <c r="W88" s="65">
        <f>76450</f>
        <v>76450</v>
      </c>
      <c r="X88" s="69">
        <f>20</f>
        <v>20</v>
      </c>
    </row>
    <row r="89" spans="1:24">
      <c r="A89" s="60" t="s">
        <v>926</v>
      </c>
      <c r="B89" s="60" t="s">
        <v>311</v>
      </c>
      <c r="C89" s="60" t="s">
        <v>312</v>
      </c>
      <c r="D89" s="60" t="s">
        <v>313</v>
      </c>
      <c r="E89" s="61" t="s">
        <v>46</v>
      </c>
      <c r="F89" s="62" t="s">
        <v>46</v>
      </c>
      <c r="G89" s="63" t="s">
        <v>46</v>
      </c>
      <c r="H89" s="64"/>
      <c r="I89" s="64" t="s">
        <v>47</v>
      </c>
      <c r="J89" s="65">
        <v>10</v>
      </c>
      <c r="K89" s="66">
        <f>10700</f>
        <v>10700</v>
      </c>
      <c r="L89" s="67" t="s">
        <v>853</v>
      </c>
      <c r="M89" s="66">
        <f>11700</f>
        <v>11700</v>
      </c>
      <c r="N89" s="67" t="s">
        <v>49</v>
      </c>
      <c r="O89" s="66">
        <f>10210</f>
        <v>10210</v>
      </c>
      <c r="P89" s="67" t="s">
        <v>371</v>
      </c>
      <c r="Q89" s="66">
        <f>10440</f>
        <v>10440</v>
      </c>
      <c r="R89" s="67" t="s">
        <v>873</v>
      </c>
      <c r="S89" s="68">
        <f>10604</f>
        <v>10604</v>
      </c>
      <c r="T89" s="65">
        <f>124060</f>
        <v>124060</v>
      </c>
      <c r="U89" s="65">
        <f>103140</f>
        <v>103140</v>
      </c>
      <c r="V89" s="65">
        <f>1322879017</f>
        <v>1322879017</v>
      </c>
      <c r="W89" s="65">
        <f>1099491817</f>
        <v>1099491817</v>
      </c>
      <c r="X89" s="69">
        <f>20</f>
        <v>20</v>
      </c>
    </row>
    <row r="90" spans="1:24">
      <c r="A90" s="60" t="s">
        <v>926</v>
      </c>
      <c r="B90" s="60" t="s">
        <v>314</v>
      </c>
      <c r="C90" s="60" t="s">
        <v>315</v>
      </c>
      <c r="D90" s="60" t="s">
        <v>316</v>
      </c>
      <c r="E90" s="61" t="s">
        <v>46</v>
      </c>
      <c r="F90" s="62" t="s">
        <v>46</v>
      </c>
      <c r="G90" s="63" t="s">
        <v>46</v>
      </c>
      <c r="H90" s="64"/>
      <c r="I90" s="64" t="s">
        <v>47</v>
      </c>
      <c r="J90" s="65">
        <v>1</v>
      </c>
      <c r="K90" s="66">
        <f>2609</f>
        <v>2609</v>
      </c>
      <c r="L90" s="67" t="s">
        <v>853</v>
      </c>
      <c r="M90" s="66">
        <f>2640</f>
        <v>2640</v>
      </c>
      <c r="N90" s="67" t="s">
        <v>172</v>
      </c>
      <c r="O90" s="66">
        <f>2592</f>
        <v>2592</v>
      </c>
      <c r="P90" s="67" t="s">
        <v>96</v>
      </c>
      <c r="Q90" s="66">
        <f>2631</f>
        <v>2631</v>
      </c>
      <c r="R90" s="67" t="s">
        <v>873</v>
      </c>
      <c r="S90" s="68">
        <f>2619.15</f>
        <v>2619.15</v>
      </c>
      <c r="T90" s="65">
        <f>206726</f>
        <v>206726</v>
      </c>
      <c r="U90" s="65">
        <f>156002</f>
        <v>156002</v>
      </c>
      <c r="V90" s="65">
        <f>540549472</f>
        <v>540549472</v>
      </c>
      <c r="W90" s="65">
        <f>407532787</f>
        <v>407532787</v>
      </c>
      <c r="X90" s="69">
        <f>20</f>
        <v>20</v>
      </c>
    </row>
    <row r="91" spans="1:24">
      <c r="A91" s="60" t="s">
        <v>926</v>
      </c>
      <c r="B91" s="60" t="s">
        <v>317</v>
      </c>
      <c r="C91" s="60" t="s">
        <v>318</v>
      </c>
      <c r="D91" s="60" t="s">
        <v>319</v>
      </c>
      <c r="E91" s="61" t="s">
        <v>46</v>
      </c>
      <c r="F91" s="62" t="s">
        <v>46</v>
      </c>
      <c r="G91" s="63" t="s">
        <v>46</v>
      </c>
      <c r="H91" s="64"/>
      <c r="I91" s="64" t="s">
        <v>47</v>
      </c>
      <c r="J91" s="65">
        <v>1</v>
      </c>
      <c r="K91" s="66">
        <f>2388</f>
        <v>2388</v>
      </c>
      <c r="L91" s="67" t="s">
        <v>853</v>
      </c>
      <c r="M91" s="66">
        <f>2399</f>
        <v>2399</v>
      </c>
      <c r="N91" s="67" t="s">
        <v>77</v>
      </c>
      <c r="O91" s="66">
        <f>2350</f>
        <v>2350</v>
      </c>
      <c r="P91" s="67" t="s">
        <v>371</v>
      </c>
      <c r="Q91" s="66">
        <f>2368</f>
        <v>2368</v>
      </c>
      <c r="R91" s="67" t="s">
        <v>873</v>
      </c>
      <c r="S91" s="68">
        <f>2373.6</f>
        <v>2373.6</v>
      </c>
      <c r="T91" s="65">
        <f>78719</f>
        <v>78719</v>
      </c>
      <c r="U91" s="65">
        <f>1</f>
        <v>1</v>
      </c>
      <c r="V91" s="65">
        <f>186966006</f>
        <v>186966006</v>
      </c>
      <c r="W91" s="65">
        <f>2206</f>
        <v>2206</v>
      </c>
      <c r="X91" s="69">
        <f>20</f>
        <v>20</v>
      </c>
    </row>
    <row r="92" spans="1:24">
      <c r="A92" s="60" t="s">
        <v>926</v>
      </c>
      <c r="B92" s="60" t="s">
        <v>320</v>
      </c>
      <c r="C92" s="60" t="s">
        <v>321</v>
      </c>
      <c r="D92" s="60" t="s">
        <v>322</v>
      </c>
      <c r="E92" s="61" t="s">
        <v>46</v>
      </c>
      <c r="F92" s="62" t="s">
        <v>46</v>
      </c>
      <c r="G92" s="63" t="s">
        <v>46</v>
      </c>
      <c r="H92" s="64"/>
      <c r="I92" s="64" t="s">
        <v>47</v>
      </c>
      <c r="J92" s="65">
        <v>1</v>
      </c>
      <c r="K92" s="66">
        <f>14970</f>
        <v>14970</v>
      </c>
      <c r="L92" s="67" t="s">
        <v>853</v>
      </c>
      <c r="M92" s="66">
        <f>15150</f>
        <v>15150</v>
      </c>
      <c r="N92" s="67" t="s">
        <v>69</v>
      </c>
      <c r="O92" s="66">
        <f>14340</f>
        <v>14340</v>
      </c>
      <c r="P92" s="67" t="s">
        <v>859</v>
      </c>
      <c r="Q92" s="66">
        <f>14490</f>
        <v>14490</v>
      </c>
      <c r="R92" s="67" t="s">
        <v>873</v>
      </c>
      <c r="S92" s="68">
        <f>14770</f>
        <v>14770</v>
      </c>
      <c r="T92" s="65">
        <f>16947</f>
        <v>16947</v>
      </c>
      <c r="U92" s="65">
        <f>10139</f>
        <v>10139</v>
      </c>
      <c r="V92" s="65">
        <f>249654096</f>
        <v>249654096</v>
      </c>
      <c r="W92" s="65">
        <f>148922916</f>
        <v>148922916</v>
      </c>
      <c r="X92" s="69">
        <f>20</f>
        <v>20</v>
      </c>
    </row>
    <row r="93" spans="1:24">
      <c r="A93" s="60" t="s">
        <v>926</v>
      </c>
      <c r="B93" s="60" t="s">
        <v>323</v>
      </c>
      <c r="C93" s="60" t="s">
        <v>324</v>
      </c>
      <c r="D93" s="60" t="s">
        <v>325</v>
      </c>
      <c r="E93" s="61" t="s">
        <v>46</v>
      </c>
      <c r="F93" s="62" t="s">
        <v>46</v>
      </c>
      <c r="G93" s="63" t="s">
        <v>46</v>
      </c>
      <c r="H93" s="64"/>
      <c r="I93" s="64" t="s">
        <v>47</v>
      </c>
      <c r="J93" s="65">
        <v>1</v>
      </c>
      <c r="K93" s="66">
        <f>8300</f>
        <v>8300</v>
      </c>
      <c r="L93" s="67" t="s">
        <v>853</v>
      </c>
      <c r="M93" s="66">
        <f>8440</f>
        <v>8440</v>
      </c>
      <c r="N93" s="67" t="s">
        <v>96</v>
      </c>
      <c r="O93" s="66">
        <f>8100</f>
        <v>8100</v>
      </c>
      <c r="P93" s="67" t="s">
        <v>613</v>
      </c>
      <c r="Q93" s="66">
        <f>8260</f>
        <v>8260</v>
      </c>
      <c r="R93" s="67" t="s">
        <v>873</v>
      </c>
      <c r="S93" s="68">
        <f>8232</f>
        <v>8232</v>
      </c>
      <c r="T93" s="65">
        <f>3782</f>
        <v>3782</v>
      </c>
      <c r="U93" s="65">
        <f>14</f>
        <v>14</v>
      </c>
      <c r="V93" s="65">
        <f>31220680</f>
        <v>31220680</v>
      </c>
      <c r="W93" s="65">
        <f>115100</f>
        <v>115100</v>
      </c>
      <c r="X93" s="69">
        <f>20</f>
        <v>20</v>
      </c>
    </row>
    <row r="94" spans="1:24">
      <c r="A94" s="60" t="s">
        <v>926</v>
      </c>
      <c r="B94" s="60" t="s">
        <v>326</v>
      </c>
      <c r="C94" s="60" t="s">
        <v>327</v>
      </c>
      <c r="D94" s="60" t="s">
        <v>328</v>
      </c>
      <c r="E94" s="61" t="s">
        <v>46</v>
      </c>
      <c r="F94" s="62" t="s">
        <v>46</v>
      </c>
      <c r="G94" s="63" t="s">
        <v>46</v>
      </c>
      <c r="H94" s="64"/>
      <c r="I94" s="64" t="s">
        <v>47</v>
      </c>
      <c r="J94" s="65">
        <v>1</v>
      </c>
      <c r="K94" s="66">
        <f>6030</f>
        <v>6030</v>
      </c>
      <c r="L94" s="67" t="s">
        <v>853</v>
      </c>
      <c r="M94" s="66">
        <f>6180</f>
        <v>6180</v>
      </c>
      <c r="N94" s="67" t="s">
        <v>854</v>
      </c>
      <c r="O94" s="66">
        <f>6020</f>
        <v>6020</v>
      </c>
      <c r="P94" s="67" t="s">
        <v>853</v>
      </c>
      <c r="Q94" s="66">
        <f>6120</f>
        <v>6120</v>
      </c>
      <c r="R94" s="67" t="s">
        <v>873</v>
      </c>
      <c r="S94" s="68">
        <f>6107</f>
        <v>6107</v>
      </c>
      <c r="T94" s="65">
        <f>1827732</f>
        <v>1827732</v>
      </c>
      <c r="U94" s="65">
        <f>97685</f>
        <v>97685</v>
      </c>
      <c r="V94" s="65">
        <f>11165318675</f>
        <v>11165318675</v>
      </c>
      <c r="W94" s="65">
        <f>600755045</f>
        <v>600755045</v>
      </c>
      <c r="X94" s="69">
        <f>20</f>
        <v>20</v>
      </c>
    </row>
    <row r="95" spans="1:24">
      <c r="A95" s="60" t="s">
        <v>926</v>
      </c>
      <c r="B95" s="60" t="s">
        <v>329</v>
      </c>
      <c r="C95" s="60" t="s">
        <v>330</v>
      </c>
      <c r="D95" s="60" t="s">
        <v>331</v>
      </c>
      <c r="E95" s="61" t="s">
        <v>46</v>
      </c>
      <c r="F95" s="62" t="s">
        <v>46</v>
      </c>
      <c r="G95" s="63" t="s">
        <v>46</v>
      </c>
      <c r="H95" s="64"/>
      <c r="I95" s="64" t="s">
        <v>47</v>
      </c>
      <c r="J95" s="65">
        <v>1</v>
      </c>
      <c r="K95" s="66">
        <f>3585</f>
        <v>3585</v>
      </c>
      <c r="L95" s="67" t="s">
        <v>853</v>
      </c>
      <c r="M95" s="66">
        <f>3805</f>
        <v>3805</v>
      </c>
      <c r="N95" s="67" t="s">
        <v>77</v>
      </c>
      <c r="O95" s="66">
        <f>3495</f>
        <v>3495</v>
      </c>
      <c r="P95" s="67" t="s">
        <v>873</v>
      </c>
      <c r="Q95" s="66">
        <f>3505</f>
        <v>3505</v>
      </c>
      <c r="R95" s="67" t="s">
        <v>873</v>
      </c>
      <c r="S95" s="68">
        <f>3637.5</f>
        <v>3637.5</v>
      </c>
      <c r="T95" s="65">
        <f>1029544</f>
        <v>1029544</v>
      </c>
      <c r="U95" s="65">
        <f>309</f>
        <v>309</v>
      </c>
      <c r="V95" s="65">
        <f>3783915570</f>
        <v>3783915570</v>
      </c>
      <c r="W95" s="65">
        <f>1170195</f>
        <v>1170195</v>
      </c>
      <c r="X95" s="69">
        <f>20</f>
        <v>20</v>
      </c>
    </row>
    <row r="96" spans="1:24">
      <c r="A96" s="60" t="s">
        <v>926</v>
      </c>
      <c r="B96" s="60" t="s">
        <v>332</v>
      </c>
      <c r="C96" s="60" t="s">
        <v>333</v>
      </c>
      <c r="D96" s="60" t="s">
        <v>334</v>
      </c>
      <c r="E96" s="61" t="s">
        <v>46</v>
      </c>
      <c r="F96" s="62" t="s">
        <v>46</v>
      </c>
      <c r="G96" s="63" t="s">
        <v>46</v>
      </c>
      <c r="H96" s="64"/>
      <c r="I96" s="64" t="s">
        <v>47</v>
      </c>
      <c r="J96" s="65">
        <v>1</v>
      </c>
      <c r="K96" s="66">
        <f>8720</f>
        <v>8720</v>
      </c>
      <c r="L96" s="67" t="s">
        <v>853</v>
      </c>
      <c r="M96" s="66">
        <f>8930</f>
        <v>8930</v>
      </c>
      <c r="N96" s="67" t="s">
        <v>77</v>
      </c>
      <c r="O96" s="66">
        <f>8170</f>
        <v>8170</v>
      </c>
      <c r="P96" s="67" t="s">
        <v>88</v>
      </c>
      <c r="Q96" s="66">
        <f>8400</f>
        <v>8400</v>
      </c>
      <c r="R96" s="67" t="s">
        <v>873</v>
      </c>
      <c r="S96" s="68">
        <f>8569.5</f>
        <v>8569.5</v>
      </c>
      <c r="T96" s="65">
        <f>217249</f>
        <v>217249</v>
      </c>
      <c r="U96" s="65" t="str">
        <f>"－"</f>
        <v>－</v>
      </c>
      <c r="V96" s="65">
        <f>1859357140</f>
        <v>1859357140</v>
      </c>
      <c r="W96" s="65" t="str">
        <f>"－"</f>
        <v>－</v>
      </c>
      <c r="X96" s="69">
        <f>20</f>
        <v>20</v>
      </c>
    </row>
    <row r="97" spans="1:24">
      <c r="A97" s="60" t="s">
        <v>926</v>
      </c>
      <c r="B97" s="60" t="s">
        <v>335</v>
      </c>
      <c r="C97" s="60" t="s">
        <v>336</v>
      </c>
      <c r="D97" s="60" t="s">
        <v>337</v>
      </c>
      <c r="E97" s="61" t="s">
        <v>46</v>
      </c>
      <c r="F97" s="62" t="s">
        <v>46</v>
      </c>
      <c r="G97" s="63" t="s">
        <v>46</v>
      </c>
      <c r="H97" s="64"/>
      <c r="I97" s="64" t="s">
        <v>47</v>
      </c>
      <c r="J97" s="65">
        <v>1</v>
      </c>
      <c r="K97" s="66">
        <f>91900</f>
        <v>91900</v>
      </c>
      <c r="L97" s="67" t="s">
        <v>853</v>
      </c>
      <c r="M97" s="66">
        <f>93800</f>
        <v>93800</v>
      </c>
      <c r="N97" s="67" t="s">
        <v>77</v>
      </c>
      <c r="O97" s="66">
        <f>85300</f>
        <v>85300</v>
      </c>
      <c r="P97" s="67" t="s">
        <v>371</v>
      </c>
      <c r="Q97" s="66">
        <f>86900</f>
        <v>86900</v>
      </c>
      <c r="R97" s="67" t="s">
        <v>873</v>
      </c>
      <c r="S97" s="68">
        <f>89860</f>
        <v>89860</v>
      </c>
      <c r="T97" s="65">
        <f>2949</f>
        <v>2949</v>
      </c>
      <c r="U97" s="65" t="str">
        <f>"－"</f>
        <v>－</v>
      </c>
      <c r="V97" s="65">
        <f>266663400</f>
        <v>266663400</v>
      </c>
      <c r="W97" s="65" t="str">
        <f>"－"</f>
        <v>－</v>
      </c>
      <c r="X97" s="69">
        <f>20</f>
        <v>20</v>
      </c>
    </row>
    <row r="98" spans="1:24">
      <c r="A98" s="60" t="s">
        <v>926</v>
      </c>
      <c r="B98" s="60" t="s">
        <v>338</v>
      </c>
      <c r="C98" s="60" t="s">
        <v>339</v>
      </c>
      <c r="D98" s="60" t="s">
        <v>340</v>
      </c>
      <c r="E98" s="61" t="s">
        <v>46</v>
      </c>
      <c r="F98" s="62" t="s">
        <v>46</v>
      </c>
      <c r="G98" s="63" t="s">
        <v>46</v>
      </c>
      <c r="H98" s="64"/>
      <c r="I98" s="64" t="s">
        <v>47</v>
      </c>
      <c r="J98" s="65">
        <v>1</v>
      </c>
      <c r="K98" s="66">
        <f>16390</f>
        <v>16390</v>
      </c>
      <c r="L98" s="67" t="s">
        <v>853</v>
      </c>
      <c r="M98" s="66">
        <f>16940</f>
        <v>16940</v>
      </c>
      <c r="N98" s="67" t="s">
        <v>240</v>
      </c>
      <c r="O98" s="66">
        <f>16150</f>
        <v>16150</v>
      </c>
      <c r="P98" s="67" t="s">
        <v>371</v>
      </c>
      <c r="Q98" s="66">
        <f>16440</f>
        <v>16440</v>
      </c>
      <c r="R98" s="67" t="s">
        <v>873</v>
      </c>
      <c r="S98" s="68">
        <f>16519</f>
        <v>16519</v>
      </c>
      <c r="T98" s="65">
        <f>1611275</f>
        <v>1611275</v>
      </c>
      <c r="U98" s="65">
        <f>42969</f>
        <v>42969</v>
      </c>
      <c r="V98" s="65">
        <f>26577907562</f>
        <v>26577907562</v>
      </c>
      <c r="W98" s="65">
        <f>712483402</f>
        <v>712483402</v>
      </c>
      <c r="X98" s="69">
        <f>20</f>
        <v>20</v>
      </c>
    </row>
    <row r="99" spans="1:24">
      <c r="A99" s="60" t="s">
        <v>926</v>
      </c>
      <c r="B99" s="60" t="s">
        <v>341</v>
      </c>
      <c r="C99" s="60" t="s">
        <v>342</v>
      </c>
      <c r="D99" s="60" t="s">
        <v>343</v>
      </c>
      <c r="E99" s="61" t="s">
        <v>46</v>
      </c>
      <c r="F99" s="62" t="s">
        <v>46</v>
      </c>
      <c r="G99" s="63" t="s">
        <v>46</v>
      </c>
      <c r="H99" s="64"/>
      <c r="I99" s="64" t="s">
        <v>47</v>
      </c>
      <c r="J99" s="65">
        <v>1</v>
      </c>
      <c r="K99" s="66">
        <f>37700</f>
        <v>37700</v>
      </c>
      <c r="L99" s="67" t="s">
        <v>853</v>
      </c>
      <c r="M99" s="66">
        <f>38050</f>
        <v>38050</v>
      </c>
      <c r="N99" s="67" t="s">
        <v>240</v>
      </c>
      <c r="O99" s="66">
        <f>36400</f>
        <v>36400</v>
      </c>
      <c r="P99" s="67" t="s">
        <v>371</v>
      </c>
      <c r="Q99" s="66">
        <f>37600</f>
        <v>37600</v>
      </c>
      <c r="R99" s="67" t="s">
        <v>873</v>
      </c>
      <c r="S99" s="68">
        <f>37567.5</f>
        <v>37567.5</v>
      </c>
      <c r="T99" s="65">
        <f>507795</f>
        <v>507795</v>
      </c>
      <c r="U99" s="65">
        <f>82745</f>
        <v>82745</v>
      </c>
      <c r="V99" s="65">
        <f>18992386830</f>
        <v>18992386830</v>
      </c>
      <c r="W99" s="65">
        <f>3088597630</f>
        <v>3088597630</v>
      </c>
      <c r="X99" s="69">
        <f>20</f>
        <v>20</v>
      </c>
    </row>
    <row r="100" spans="1:24">
      <c r="A100" s="60" t="s">
        <v>926</v>
      </c>
      <c r="B100" s="60" t="s">
        <v>344</v>
      </c>
      <c r="C100" s="60" t="s">
        <v>345</v>
      </c>
      <c r="D100" s="60" t="s">
        <v>346</v>
      </c>
      <c r="E100" s="61" t="s">
        <v>46</v>
      </c>
      <c r="F100" s="62" t="s">
        <v>46</v>
      </c>
      <c r="G100" s="63" t="s">
        <v>46</v>
      </c>
      <c r="H100" s="64"/>
      <c r="I100" s="64" t="s">
        <v>47</v>
      </c>
      <c r="J100" s="65">
        <v>10</v>
      </c>
      <c r="K100" s="66">
        <f>5200</f>
        <v>5200</v>
      </c>
      <c r="L100" s="67" t="s">
        <v>853</v>
      </c>
      <c r="M100" s="66">
        <f>5300</f>
        <v>5300</v>
      </c>
      <c r="N100" s="67" t="s">
        <v>240</v>
      </c>
      <c r="O100" s="66">
        <f>5070</f>
        <v>5070</v>
      </c>
      <c r="P100" s="67" t="s">
        <v>371</v>
      </c>
      <c r="Q100" s="66">
        <f>5210</f>
        <v>5210</v>
      </c>
      <c r="R100" s="67" t="s">
        <v>873</v>
      </c>
      <c r="S100" s="68">
        <f>5216</f>
        <v>5216</v>
      </c>
      <c r="T100" s="65">
        <f>1044200</f>
        <v>1044200</v>
      </c>
      <c r="U100" s="65">
        <f>11010</f>
        <v>11010</v>
      </c>
      <c r="V100" s="65">
        <f>5439848405</f>
        <v>5439848405</v>
      </c>
      <c r="W100" s="65">
        <f>56817705</f>
        <v>56817705</v>
      </c>
      <c r="X100" s="69">
        <f>20</f>
        <v>20</v>
      </c>
    </row>
    <row r="101" spans="1:24">
      <c r="A101" s="60" t="s">
        <v>926</v>
      </c>
      <c r="B101" s="60" t="s">
        <v>347</v>
      </c>
      <c r="C101" s="60" t="s">
        <v>348</v>
      </c>
      <c r="D101" s="60" t="s">
        <v>349</v>
      </c>
      <c r="E101" s="61" t="s">
        <v>46</v>
      </c>
      <c r="F101" s="62" t="s">
        <v>46</v>
      </c>
      <c r="G101" s="63" t="s">
        <v>46</v>
      </c>
      <c r="H101" s="64"/>
      <c r="I101" s="64" t="s">
        <v>47</v>
      </c>
      <c r="J101" s="65">
        <v>10</v>
      </c>
      <c r="K101" s="66">
        <f>3460</f>
        <v>3460</v>
      </c>
      <c r="L101" s="67" t="s">
        <v>853</v>
      </c>
      <c r="M101" s="66">
        <f>3490</f>
        <v>3490</v>
      </c>
      <c r="N101" s="67" t="s">
        <v>73</v>
      </c>
      <c r="O101" s="66">
        <f>3325</f>
        <v>3325</v>
      </c>
      <c r="P101" s="67" t="s">
        <v>240</v>
      </c>
      <c r="Q101" s="66">
        <f>3450</f>
        <v>3450</v>
      </c>
      <c r="R101" s="67" t="s">
        <v>873</v>
      </c>
      <c r="S101" s="68">
        <f>3441.75</f>
        <v>3441.75</v>
      </c>
      <c r="T101" s="65">
        <f>379990</f>
        <v>379990</v>
      </c>
      <c r="U101" s="65">
        <f>256910</f>
        <v>256910</v>
      </c>
      <c r="V101" s="65">
        <f>1305148685</f>
        <v>1305148685</v>
      </c>
      <c r="W101" s="65">
        <f>882715385</f>
        <v>882715385</v>
      </c>
      <c r="X101" s="69">
        <f>20</f>
        <v>20</v>
      </c>
    </row>
    <row r="102" spans="1:24">
      <c r="A102" s="60" t="s">
        <v>926</v>
      </c>
      <c r="B102" s="60" t="s">
        <v>350</v>
      </c>
      <c r="C102" s="60" t="s">
        <v>351</v>
      </c>
      <c r="D102" s="60" t="s">
        <v>352</v>
      </c>
      <c r="E102" s="61" t="s">
        <v>46</v>
      </c>
      <c r="F102" s="62" t="s">
        <v>46</v>
      </c>
      <c r="G102" s="63" t="s">
        <v>46</v>
      </c>
      <c r="H102" s="64"/>
      <c r="I102" s="64" t="s">
        <v>47</v>
      </c>
      <c r="J102" s="65">
        <v>10</v>
      </c>
      <c r="K102" s="66">
        <f>5400</f>
        <v>5400</v>
      </c>
      <c r="L102" s="67" t="s">
        <v>853</v>
      </c>
      <c r="M102" s="66">
        <f>5430</f>
        <v>5430</v>
      </c>
      <c r="N102" s="67" t="s">
        <v>92</v>
      </c>
      <c r="O102" s="66">
        <f>5160</f>
        <v>5160</v>
      </c>
      <c r="P102" s="67" t="s">
        <v>859</v>
      </c>
      <c r="Q102" s="66">
        <f>5270</f>
        <v>5270</v>
      </c>
      <c r="R102" s="67" t="s">
        <v>873</v>
      </c>
      <c r="S102" s="68">
        <f>5289</f>
        <v>5289</v>
      </c>
      <c r="T102" s="65">
        <f>8010</f>
        <v>8010</v>
      </c>
      <c r="U102" s="65">
        <f>80</f>
        <v>80</v>
      </c>
      <c r="V102" s="65">
        <f>42326200</f>
        <v>42326200</v>
      </c>
      <c r="W102" s="65">
        <f>422200</f>
        <v>422200</v>
      </c>
      <c r="X102" s="69">
        <f>20</f>
        <v>20</v>
      </c>
    </row>
    <row r="103" spans="1:24">
      <c r="A103" s="60" t="s">
        <v>926</v>
      </c>
      <c r="B103" s="60" t="s">
        <v>353</v>
      </c>
      <c r="C103" s="60" t="s">
        <v>354</v>
      </c>
      <c r="D103" s="60" t="s">
        <v>355</v>
      </c>
      <c r="E103" s="61" t="s">
        <v>46</v>
      </c>
      <c r="F103" s="62" t="s">
        <v>46</v>
      </c>
      <c r="G103" s="63" t="s">
        <v>46</v>
      </c>
      <c r="H103" s="64"/>
      <c r="I103" s="64" t="s">
        <v>47</v>
      </c>
      <c r="J103" s="65">
        <v>1</v>
      </c>
      <c r="K103" s="66">
        <f>2620</f>
        <v>2620</v>
      </c>
      <c r="L103" s="67" t="s">
        <v>853</v>
      </c>
      <c r="M103" s="66">
        <f>3025</f>
        <v>3025</v>
      </c>
      <c r="N103" s="67" t="s">
        <v>371</v>
      </c>
      <c r="O103" s="66">
        <f>2540</f>
        <v>2540</v>
      </c>
      <c r="P103" s="67" t="s">
        <v>77</v>
      </c>
      <c r="Q103" s="66">
        <f>2755</f>
        <v>2755</v>
      </c>
      <c r="R103" s="67" t="s">
        <v>873</v>
      </c>
      <c r="S103" s="68">
        <f>2677.25</f>
        <v>2677.25</v>
      </c>
      <c r="T103" s="65">
        <f>30137841</f>
        <v>30137841</v>
      </c>
      <c r="U103" s="65">
        <f>1748</f>
        <v>1748</v>
      </c>
      <c r="V103" s="65">
        <f>81778219070</f>
        <v>81778219070</v>
      </c>
      <c r="W103" s="65">
        <f>4843743</f>
        <v>4843743</v>
      </c>
      <c r="X103" s="69">
        <f>20</f>
        <v>20</v>
      </c>
    </row>
    <row r="104" spans="1:24">
      <c r="A104" s="60" t="s">
        <v>926</v>
      </c>
      <c r="B104" s="60" t="s">
        <v>356</v>
      </c>
      <c r="C104" s="60" t="s">
        <v>357</v>
      </c>
      <c r="D104" s="60" t="s">
        <v>358</v>
      </c>
      <c r="E104" s="61" t="s">
        <v>46</v>
      </c>
      <c r="F104" s="62" t="s">
        <v>46</v>
      </c>
      <c r="G104" s="63" t="s">
        <v>46</v>
      </c>
      <c r="H104" s="64"/>
      <c r="I104" s="64" t="s">
        <v>47</v>
      </c>
      <c r="J104" s="65">
        <v>10</v>
      </c>
      <c r="K104" s="66">
        <f>2995</f>
        <v>2995</v>
      </c>
      <c r="L104" s="67" t="s">
        <v>853</v>
      </c>
      <c r="M104" s="66">
        <f>3020</f>
        <v>3020</v>
      </c>
      <c r="N104" s="67" t="s">
        <v>857</v>
      </c>
      <c r="O104" s="66">
        <f>2895</f>
        <v>2895</v>
      </c>
      <c r="P104" s="67" t="s">
        <v>371</v>
      </c>
      <c r="Q104" s="66">
        <f>2960</f>
        <v>2960</v>
      </c>
      <c r="R104" s="67" t="s">
        <v>873</v>
      </c>
      <c r="S104" s="68">
        <f>2980.25</f>
        <v>2980.25</v>
      </c>
      <c r="T104" s="65">
        <f>135060</f>
        <v>135060</v>
      </c>
      <c r="U104" s="65">
        <f>100</f>
        <v>100</v>
      </c>
      <c r="V104" s="65">
        <f>401682470</f>
        <v>401682470</v>
      </c>
      <c r="W104" s="65">
        <f>298790</f>
        <v>298790</v>
      </c>
      <c r="X104" s="69">
        <f>20</f>
        <v>20</v>
      </c>
    </row>
    <row r="105" spans="1:24">
      <c r="A105" s="60" t="s">
        <v>926</v>
      </c>
      <c r="B105" s="60" t="s">
        <v>359</v>
      </c>
      <c r="C105" s="60" t="s">
        <v>360</v>
      </c>
      <c r="D105" s="60" t="s">
        <v>361</v>
      </c>
      <c r="E105" s="61" t="s">
        <v>46</v>
      </c>
      <c r="F105" s="62" t="s">
        <v>46</v>
      </c>
      <c r="G105" s="63" t="s">
        <v>46</v>
      </c>
      <c r="H105" s="64"/>
      <c r="I105" s="64" t="s">
        <v>47</v>
      </c>
      <c r="J105" s="65">
        <v>10</v>
      </c>
      <c r="K105" s="66">
        <f>1740</f>
        <v>1740</v>
      </c>
      <c r="L105" s="67" t="s">
        <v>853</v>
      </c>
      <c r="M105" s="66">
        <f>1753</f>
        <v>1753</v>
      </c>
      <c r="N105" s="67" t="s">
        <v>853</v>
      </c>
      <c r="O105" s="66">
        <f>1632</f>
        <v>1632</v>
      </c>
      <c r="P105" s="67" t="s">
        <v>371</v>
      </c>
      <c r="Q105" s="66">
        <f>1672</f>
        <v>1672</v>
      </c>
      <c r="R105" s="67" t="s">
        <v>873</v>
      </c>
      <c r="S105" s="68">
        <f>1693.7</f>
        <v>1693.7</v>
      </c>
      <c r="T105" s="65">
        <f>126600</f>
        <v>126600</v>
      </c>
      <c r="U105" s="65">
        <f>10</f>
        <v>10</v>
      </c>
      <c r="V105" s="65">
        <f>213975300</f>
        <v>213975300</v>
      </c>
      <c r="W105" s="65">
        <f>16670</f>
        <v>16670</v>
      </c>
      <c r="X105" s="69">
        <f>20</f>
        <v>20</v>
      </c>
    </row>
    <row r="106" spans="1:24">
      <c r="A106" s="60" t="s">
        <v>926</v>
      </c>
      <c r="B106" s="60" t="s">
        <v>362</v>
      </c>
      <c r="C106" s="60" t="s">
        <v>363</v>
      </c>
      <c r="D106" s="60" t="s">
        <v>364</v>
      </c>
      <c r="E106" s="61" t="s">
        <v>46</v>
      </c>
      <c r="F106" s="62" t="s">
        <v>46</v>
      </c>
      <c r="G106" s="63" t="s">
        <v>46</v>
      </c>
      <c r="H106" s="64"/>
      <c r="I106" s="64" t="s">
        <v>47</v>
      </c>
      <c r="J106" s="65">
        <v>1</v>
      </c>
      <c r="K106" s="66">
        <f>47650</f>
        <v>47650</v>
      </c>
      <c r="L106" s="67" t="s">
        <v>853</v>
      </c>
      <c r="M106" s="66">
        <f>48650</f>
        <v>48650</v>
      </c>
      <c r="N106" s="67" t="s">
        <v>240</v>
      </c>
      <c r="O106" s="66">
        <f>46500</f>
        <v>46500</v>
      </c>
      <c r="P106" s="67" t="s">
        <v>371</v>
      </c>
      <c r="Q106" s="66">
        <f>47850</f>
        <v>47850</v>
      </c>
      <c r="R106" s="67" t="s">
        <v>873</v>
      </c>
      <c r="S106" s="68">
        <f>47865</f>
        <v>47865</v>
      </c>
      <c r="T106" s="65">
        <f>234539</f>
        <v>234539</v>
      </c>
      <c r="U106" s="65">
        <f>64008</f>
        <v>64008</v>
      </c>
      <c r="V106" s="65">
        <f>11174758680</f>
        <v>11174758680</v>
      </c>
      <c r="W106" s="65">
        <f>3026646780</f>
        <v>3026646780</v>
      </c>
      <c r="X106" s="69">
        <f>20</f>
        <v>20</v>
      </c>
    </row>
    <row r="107" spans="1:24">
      <c r="A107" s="60" t="s">
        <v>926</v>
      </c>
      <c r="B107" s="60" t="s">
        <v>365</v>
      </c>
      <c r="C107" s="60" t="s">
        <v>366</v>
      </c>
      <c r="D107" s="60" t="s">
        <v>367</v>
      </c>
      <c r="E107" s="61" t="s">
        <v>46</v>
      </c>
      <c r="F107" s="62" t="s">
        <v>46</v>
      </c>
      <c r="G107" s="63" t="s">
        <v>46</v>
      </c>
      <c r="H107" s="64"/>
      <c r="I107" s="64" t="s">
        <v>47</v>
      </c>
      <c r="J107" s="65">
        <v>1</v>
      </c>
      <c r="K107" s="66">
        <f>3075</f>
        <v>3075</v>
      </c>
      <c r="L107" s="67" t="s">
        <v>853</v>
      </c>
      <c r="M107" s="66">
        <f>3100</f>
        <v>3100</v>
      </c>
      <c r="N107" s="67" t="s">
        <v>131</v>
      </c>
      <c r="O107" s="66">
        <f>2990</f>
        <v>2990</v>
      </c>
      <c r="P107" s="67" t="s">
        <v>268</v>
      </c>
      <c r="Q107" s="66">
        <f>3015</f>
        <v>3015</v>
      </c>
      <c r="R107" s="67" t="s">
        <v>873</v>
      </c>
      <c r="S107" s="68">
        <f>3038</f>
        <v>3038</v>
      </c>
      <c r="T107" s="65">
        <f>5440</f>
        <v>5440</v>
      </c>
      <c r="U107" s="65" t="str">
        <f>"－"</f>
        <v>－</v>
      </c>
      <c r="V107" s="65">
        <f>16565239</f>
        <v>16565239</v>
      </c>
      <c r="W107" s="65" t="str">
        <f>"－"</f>
        <v>－</v>
      </c>
      <c r="X107" s="69">
        <f>20</f>
        <v>20</v>
      </c>
    </row>
    <row r="108" spans="1:24">
      <c r="A108" s="60" t="s">
        <v>926</v>
      </c>
      <c r="B108" s="60" t="s">
        <v>368</v>
      </c>
      <c r="C108" s="60" t="s">
        <v>369</v>
      </c>
      <c r="D108" s="60" t="s">
        <v>370</v>
      </c>
      <c r="E108" s="61" t="s">
        <v>46</v>
      </c>
      <c r="F108" s="62" t="s">
        <v>46</v>
      </c>
      <c r="G108" s="63" t="s">
        <v>46</v>
      </c>
      <c r="H108" s="64"/>
      <c r="I108" s="64" t="s">
        <v>47</v>
      </c>
      <c r="J108" s="65">
        <v>1</v>
      </c>
      <c r="K108" s="66">
        <f>4115</f>
        <v>4115</v>
      </c>
      <c r="L108" s="67" t="s">
        <v>853</v>
      </c>
      <c r="M108" s="66">
        <f>4195</f>
        <v>4195</v>
      </c>
      <c r="N108" s="67" t="s">
        <v>853</v>
      </c>
      <c r="O108" s="66">
        <f>3935</f>
        <v>3935</v>
      </c>
      <c r="P108" s="67" t="s">
        <v>268</v>
      </c>
      <c r="Q108" s="66">
        <f>3975</f>
        <v>3975</v>
      </c>
      <c r="R108" s="67" t="s">
        <v>873</v>
      </c>
      <c r="S108" s="68">
        <f>4035.5</f>
        <v>4035.5</v>
      </c>
      <c r="T108" s="65">
        <f>6389</f>
        <v>6389</v>
      </c>
      <c r="U108" s="65">
        <f>2</f>
        <v>2</v>
      </c>
      <c r="V108" s="65">
        <f>25840875</f>
        <v>25840875</v>
      </c>
      <c r="W108" s="65">
        <f>8090</f>
        <v>8090</v>
      </c>
      <c r="X108" s="69">
        <f>20</f>
        <v>20</v>
      </c>
    </row>
    <row r="109" spans="1:24">
      <c r="A109" s="60" t="s">
        <v>926</v>
      </c>
      <c r="B109" s="60" t="s">
        <v>372</v>
      </c>
      <c r="C109" s="60" t="s">
        <v>373</v>
      </c>
      <c r="D109" s="60" t="s">
        <v>374</v>
      </c>
      <c r="E109" s="61" t="s">
        <v>46</v>
      </c>
      <c r="F109" s="62" t="s">
        <v>46</v>
      </c>
      <c r="G109" s="63" t="s">
        <v>46</v>
      </c>
      <c r="H109" s="64"/>
      <c r="I109" s="64" t="s">
        <v>47</v>
      </c>
      <c r="J109" s="65">
        <v>1</v>
      </c>
      <c r="K109" s="66">
        <f>4135</f>
        <v>4135</v>
      </c>
      <c r="L109" s="67" t="s">
        <v>853</v>
      </c>
      <c r="M109" s="66">
        <f>4345</f>
        <v>4345</v>
      </c>
      <c r="N109" s="67" t="s">
        <v>172</v>
      </c>
      <c r="O109" s="66">
        <f>3985</f>
        <v>3985</v>
      </c>
      <c r="P109" s="67" t="s">
        <v>854</v>
      </c>
      <c r="Q109" s="66">
        <f>4065</f>
        <v>4065</v>
      </c>
      <c r="R109" s="67" t="s">
        <v>873</v>
      </c>
      <c r="S109" s="68">
        <f>4198.25</f>
        <v>4198.25</v>
      </c>
      <c r="T109" s="65">
        <f>179566</f>
        <v>179566</v>
      </c>
      <c r="U109" s="65" t="str">
        <f>"－"</f>
        <v>－</v>
      </c>
      <c r="V109" s="65">
        <f>754959045</f>
        <v>754959045</v>
      </c>
      <c r="W109" s="65" t="str">
        <f>"－"</f>
        <v>－</v>
      </c>
      <c r="X109" s="69">
        <f>20</f>
        <v>20</v>
      </c>
    </row>
    <row r="110" spans="1:24">
      <c r="A110" s="60" t="s">
        <v>926</v>
      </c>
      <c r="B110" s="60" t="s">
        <v>375</v>
      </c>
      <c r="C110" s="60" t="s">
        <v>376</v>
      </c>
      <c r="D110" s="60" t="s">
        <v>377</v>
      </c>
      <c r="E110" s="61" t="s">
        <v>46</v>
      </c>
      <c r="F110" s="62" t="s">
        <v>46</v>
      </c>
      <c r="G110" s="63" t="s">
        <v>46</v>
      </c>
      <c r="H110" s="64"/>
      <c r="I110" s="64" t="s">
        <v>47</v>
      </c>
      <c r="J110" s="65">
        <v>1</v>
      </c>
      <c r="K110" s="66">
        <f>45500</f>
        <v>45500</v>
      </c>
      <c r="L110" s="67" t="s">
        <v>853</v>
      </c>
      <c r="M110" s="66">
        <f>45550</f>
        <v>45550</v>
      </c>
      <c r="N110" s="67" t="s">
        <v>853</v>
      </c>
      <c r="O110" s="66">
        <f>43950</f>
        <v>43950</v>
      </c>
      <c r="P110" s="67" t="s">
        <v>371</v>
      </c>
      <c r="Q110" s="66">
        <f>44400</f>
        <v>44400</v>
      </c>
      <c r="R110" s="67" t="s">
        <v>873</v>
      </c>
      <c r="S110" s="68">
        <f>44612.5</f>
        <v>44612.5</v>
      </c>
      <c r="T110" s="65">
        <f>16519</f>
        <v>16519</v>
      </c>
      <c r="U110" s="65" t="str">
        <f>"－"</f>
        <v>－</v>
      </c>
      <c r="V110" s="65">
        <f>738025850</f>
        <v>738025850</v>
      </c>
      <c r="W110" s="65" t="str">
        <f>"－"</f>
        <v>－</v>
      </c>
      <c r="X110" s="69">
        <f>20</f>
        <v>20</v>
      </c>
    </row>
    <row r="111" spans="1:24">
      <c r="A111" s="60" t="s">
        <v>926</v>
      </c>
      <c r="B111" s="60" t="s">
        <v>378</v>
      </c>
      <c r="C111" s="60" t="s">
        <v>379</v>
      </c>
      <c r="D111" s="60" t="s">
        <v>380</v>
      </c>
      <c r="E111" s="61" t="s">
        <v>46</v>
      </c>
      <c r="F111" s="62" t="s">
        <v>46</v>
      </c>
      <c r="G111" s="63" t="s">
        <v>46</v>
      </c>
      <c r="H111" s="64" t="s">
        <v>540</v>
      </c>
      <c r="I111" s="64" t="s">
        <v>47</v>
      </c>
      <c r="J111" s="65">
        <v>10</v>
      </c>
      <c r="K111" s="66">
        <f>1268</f>
        <v>1268</v>
      </c>
      <c r="L111" s="67" t="s">
        <v>857</v>
      </c>
      <c r="M111" s="66">
        <f>1272</f>
        <v>1272</v>
      </c>
      <c r="N111" s="67" t="s">
        <v>73</v>
      </c>
      <c r="O111" s="66">
        <f>1268</f>
        <v>1268</v>
      </c>
      <c r="P111" s="67" t="s">
        <v>857</v>
      </c>
      <c r="Q111" s="66">
        <f>1272</f>
        <v>1272</v>
      </c>
      <c r="R111" s="67" t="s">
        <v>73</v>
      </c>
      <c r="S111" s="68">
        <f>1270.33</f>
        <v>1270.33</v>
      </c>
      <c r="T111" s="65">
        <f>40</f>
        <v>40</v>
      </c>
      <c r="U111" s="65">
        <f>10</f>
        <v>10</v>
      </c>
      <c r="V111" s="65">
        <f>50790</f>
        <v>50790</v>
      </c>
      <c r="W111" s="65">
        <f>12680</f>
        <v>12680</v>
      </c>
      <c r="X111" s="69">
        <f>3</f>
        <v>3</v>
      </c>
    </row>
    <row r="112" spans="1:24">
      <c r="A112" s="60" t="s">
        <v>926</v>
      </c>
      <c r="B112" s="60" t="s">
        <v>381</v>
      </c>
      <c r="C112" s="60" t="s">
        <v>382</v>
      </c>
      <c r="D112" s="60" t="s">
        <v>383</v>
      </c>
      <c r="E112" s="61" t="s">
        <v>46</v>
      </c>
      <c r="F112" s="62" t="s">
        <v>46</v>
      </c>
      <c r="G112" s="63" t="s">
        <v>46</v>
      </c>
      <c r="H112" s="64"/>
      <c r="I112" s="64" t="s">
        <v>47</v>
      </c>
      <c r="J112" s="65">
        <v>10</v>
      </c>
      <c r="K112" s="66">
        <f>23950</f>
        <v>23950</v>
      </c>
      <c r="L112" s="67" t="s">
        <v>853</v>
      </c>
      <c r="M112" s="66">
        <f>24590</f>
        <v>24590</v>
      </c>
      <c r="N112" s="67" t="s">
        <v>92</v>
      </c>
      <c r="O112" s="66">
        <f>22310</f>
        <v>22310</v>
      </c>
      <c r="P112" s="67" t="s">
        <v>859</v>
      </c>
      <c r="Q112" s="66">
        <f>22750</f>
        <v>22750</v>
      </c>
      <c r="R112" s="67" t="s">
        <v>873</v>
      </c>
      <c r="S112" s="68">
        <f>23547</f>
        <v>23547</v>
      </c>
      <c r="T112" s="65">
        <f>3374360</f>
        <v>3374360</v>
      </c>
      <c r="U112" s="65">
        <f>2180</f>
        <v>2180</v>
      </c>
      <c r="V112" s="65">
        <f>78887547200</f>
        <v>78887547200</v>
      </c>
      <c r="W112" s="65">
        <f>50657900</f>
        <v>50657900</v>
      </c>
      <c r="X112" s="69">
        <f>20</f>
        <v>20</v>
      </c>
    </row>
    <row r="113" spans="1:24">
      <c r="A113" s="60" t="s">
        <v>926</v>
      </c>
      <c r="B113" s="60" t="s">
        <v>384</v>
      </c>
      <c r="C113" s="60" t="s">
        <v>385</v>
      </c>
      <c r="D113" s="60" t="s">
        <v>386</v>
      </c>
      <c r="E113" s="61" t="s">
        <v>46</v>
      </c>
      <c r="F113" s="62" t="s">
        <v>46</v>
      </c>
      <c r="G113" s="63" t="s">
        <v>46</v>
      </c>
      <c r="H113" s="64"/>
      <c r="I113" s="64" t="s">
        <v>47</v>
      </c>
      <c r="J113" s="65">
        <v>10</v>
      </c>
      <c r="K113" s="66">
        <f>2227</f>
        <v>2227</v>
      </c>
      <c r="L113" s="67" t="s">
        <v>853</v>
      </c>
      <c r="M113" s="66">
        <f>2305</f>
        <v>2305</v>
      </c>
      <c r="N113" s="67" t="s">
        <v>859</v>
      </c>
      <c r="O113" s="66">
        <f>2196</f>
        <v>2196</v>
      </c>
      <c r="P113" s="67" t="s">
        <v>92</v>
      </c>
      <c r="Q113" s="66">
        <f>2279</f>
        <v>2279</v>
      </c>
      <c r="R113" s="67" t="s">
        <v>873</v>
      </c>
      <c r="S113" s="68">
        <f>2245</f>
        <v>2245</v>
      </c>
      <c r="T113" s="65">
        <f>467760</f>
        <v>467760</v>
      </c>
      <c r="U113" s="65">
        <f>5910</f>
        <v>5910</v>
      </c>
      <c r="V113" s="65">
        <f>1051067940</f>
        <v>1051067940</v>
      </c>
      <c r="W113" s="65">
        <f>13237170</f>
        <v>13237170</v>
      </c>
      <c r="X113" s="69">
        <f>20</f>
        <v>20</v>
      </c>
    </row>
    <row r="114" spans="1:24">
      <c r="A114" s="60" t="s">
        <v>926</v>
      </c>
      <c r="B114" s="60" t="s">
        <v>387</v>
      </c>
      <c r="C114" s="60" t="s">
        <v>388</v>
      </c>
      <c r="D114" s="60" t="s">
        <v>389</v>
      </c>
      <c r="E114" s="61" t="s">
        <v>46</v>
      </c>
      <c r="F114" s="62" t="s">
        <v>46</v>
      </c>
      <c r="G114" s="63" t="s">
        <v>46</v>
      </c>
      <c r="H114" s="64"/>
      <c r="I114" s="64" t="s">
        <v>47</v>
      </c>
      <c r="J114" s="65">
        <v>1</v>
      </c>
      <c r="K114" s="66">
        <f>15780</f>
        <v>15780</v>
      </c>
      <c r="L114" s="67" t="s">
        <v>853</v>
      </c>
      <c r="M114" s="66">
        <f>15790</f>
        <v>15790</v>
      </c>
      <c r="N114" s="67" t="s">
        <v>857</v>
      </c>
      <c r="O114" s="66">
        <f>14080</f>
        <v>14080</v>
      </c>
      <c r="P114" s="67" t="s">
        <v>873</v>
      </c>
      <c r="Q114" s="66">
        <f>14090</f>
        <v>14090</v>
      </c>
      <c r="R114" s="67" t="s">
        <v>873</v>
      </c>
      <c r="S114" s="68">
        <f>14993.5</f>
        <v>14993.5</v>
      </c>
      <c r="T114" s="65">
        <f>129109898</f>
        <v>129109898</v>
      </c>
      <c r="U114" s="65">
        <f>323980</f>
        <v>323980</v>
      </c>
      <c r="V114" s="65">
        <f>1920957878807</f>
        <v>1920957878807</v>
      </c>
      <c r="W114" s="65">
        <f>4822196647</f>
        <v>4822196647</v>
      </c>
      <c r="X114" s="69">
        <f>20</f>
        <v>20</v>
      </c>
    </row>
    <row r="115" spans="1:24">
      <c r="A115" s="60" t="s">
        <v>926</v>
      </c>
      <c r="B115" s="60" t="s">
        <v>390</v>
      </c>
      <c r="C115" s="60" t="s">
        <v>391</v>
      </c>
      <c r="D115" s="60" t="s">
        <v>392</v>
      </c>
      <c r="E115" s="61" t="s">
        <v>46</v>
      </c>
      <c r="F115" s="62" t="s">
        <v>46</v>
      </c>
      <c r="G115" s="63" t="s">
        <v>46</v>
      </c>
      <c r="H115" s="64"/>
      <c r="I115" s="64" t="s">
        <v>47</v>
      </c>
      <c r="J115" s="65">
        <v>1</v>
      </c>
      <c r="K115" s="66">
        <f>1011</f>
        <v>1011</v>
      </c>
      <c r="L115" s="67" t="s">
        <v>853</v>
      </c>
      <c r="M115" s="66">
        <f>1066</f>
        <v>1066</v>
      </c>
      <c r="N115" s="67" t="s">
        <v>873</v>
      </c>
      <c r="O115" s="66">
        <f>1009</f>
        <v>1009</v>
      </c>
      <c r="P115" s="67" t="s">
        <v>857</v>
      </c>
      <c r="Q115" s="66">
        <f>1065</f>
        <v>1065</v>
      </c>
      <c r="R115" s="67" t="s">
        <v>873</v>
      </c>
      <c r="S115" s="68">
        <f>1035.5</f>
        <v>1035.5</v>
      </c>
      <c r="T115" s="65">
        <f>14606060</f>
        <v>14606060</v>
      </c>
      <c r="U115" s="65">
        <f>801740</f>
        <v>801740</v>
      </c>
      <c r="V115" s="65">
        <f>15134048294</f>
        <v>15134048294</v>
      </c>
      <c r="W115" s="65">
        <f>837968494</f>
        <v>837968494</v>
      </c>
      <c r="X115" s="69">
        <f>20</f>
        <v>20</v>
      </c>
    </row>
    <row r="116" spans="1:24">
      <c r="A116" s="60" t="s">
        <v>926</v>
      </c>
      <c r="B116" s="60" t="s">
        <v>393</v>
      </c>
      <c r="C116" s="60" t="s">
        <v>394</v>
      </c>
      <c r="D116" s="60" t="s">
        <v>395</v>
      </c>
      <c r="E116" s="61" t="s">
        <v>46</v>
      </c>
      <c r="F116" s="62" t="s">
        <v>46</v>
      </c>
      <c r="G116" s="63" t="s">
        <v>46</v>
      </c>
      <c r="H116" s="64"/>
      <c r="I116" s="64" t="s">
        <v>47</v>
      </c>
      <c r="J116" s="65">
        <v>10</v>
      </c>
      <c r="K116" s="66">
        <f>11350</f>
        <v>11350</v>
      </c>
      <c r="L116" s="67" t="s">
        <v>857</v>
      </c>
      <c r="M116" s="66">
        <f>11350</f>
        <v>11350</v>
      </c>
      <c r="N116" s="67" t="s">
        <v>857</v>
      </c>
      <c r="O116" s="66">
        <f>7860</f>
        <v>7860</v>
      </c>
      <c r="P116" s="67" t="s">
        <v>88</v>
      </c>
      <c r="Q116" s="66">
        <f>8390</f>
        <v>8390</v>
      </c>
      <c r="R116" s="67" t="s">
        <v>873</v>
      </c>
      <c r="S116" s="68">
        <f>9794.21</f>
        <v>9794.2099999999991</v>
      </c>
      <c r="T116" s="65">
        <f>57340</f>
        <v>57340</v>
      </c>
      <c r="U116" s="65">
        <f>30</f>
        <v>30</v>
      </c>
      <c r="V116" s="65">
        <f>514895800</f>
        <v>514895800</v>
      </c>
      <c r="W116" s="65">
        <f>276700</f>
        <v>276700</v>
      </c>
      <c r="X116" s="69">
        <f>19</f>
        <v>19</v>
      </c>
    </row>
    <row r="117" spans="1:24">
      <c r="A117" s="60" t="s">
        <v>926</v>
      </c>
      <c r="B117" s="60" t="s">
        <v>396</v>
      </c>
      <c r="C117" s="60" t="s">
        <v>397</v>
      </c>
      <c r="D117" s="60" t="s">
        <v>398</v>
      </c>
      <c r="E117" s="61" t="s">
        <v>46</v>
      </c>
      <c r="F117" s="62" t="s">
        <v>46</v>
      </c>
      <c r="G117" s="63" t="s">
        <v>46</v>
      </c>
      <c r="H117" s="64"/>
      <c r="I117" s="64" t="s">
        <v>47</v>
      </c>
      <c r="J117" s="65">
        <v>10</v>
      </c>
      <c r="K117" s="66">
        <f>6660</f>
        <v>6660</v>
      </c>
      <c r="L117" s="67" t="s">
        <v>853</v>
      </c>
      <c r="M117" s="66">
        <f>8100</f>
        <v>8100</v>
      </c>
      <c r="N117" s="67" t="s">
        <v>88</v>
      </c>
      <c r="O117" s="66">
        <f>6650</f>
        <v>6650</v>
      </c>
      <c r="P117" s="67" t="s">
        <v>853</v>
      </c>
      <c r="Q117" s="66">
        <f>7550</f>
        <v>7550</v>
      </c>
      <c r="R117" s="67" t="s">
        <v>873</v>
      </c>
      <c r="S117" s="68">
        <f>7137</f>
        <v>7137</v>
      </c>
      <c r="T117" s="65">
        <f>15530</f>
        <v>15530</v>
      </c>
      <c r="U117" s="65">
        <f>40</f>
        <v>40</v>
      </c>
      <c r="V117" s="65">
        <f>116225000</f>
        <v>116225000</v>
      </c>
      <c r="W117" s="65">
        <f>282100</f>
        <v>282100</v>
      </c>
      <c r="X117" s="69">
        <f>20</f>
        <v>20</v>
      </c>
    </row>
    <row r="118" spans="1:24">
      <c r="A118" s="60" t="s">
        <v>926</v>
      </c>
      <c r="B118" s="60" t="s">
        <v>399</v>
      </c>
      <c r="C118" s="60" t="s">
        <v>400</v>
      </c>
      <c r="D118" s="60" t="s">
        <v>401</v>
      </c>
      <c r="E118" s="61" t="s">
        <v>46</v>
      </c>
      <c r="F118" s="62" t="s">
        <v>46</v>
      </c>
      <c r="G118" s="63" t="s">
        <v>46</v>
      </c>
      <c r="H118" s="64" t="s">
        <v>540</v>
      </c>
      <c r="I118" s="64" t="s">
        <v>47</v>
      </c>
      <c r="J118" s="65">
        <v>10</v>
      </c>
      <c r="K118" s="66">
        <f>1731</f>
        <v>1731</v>
      </c>
      <c r="L118" s="67" t="s">
        <v>77</v>
      </c>
      <c r="M118" s="66">
        <f>1731</f>
        <v>1731</v>
      </c>
      <c r="N118" s="67" t="s">
        <v>77</v>
      </c>
      <c r="O118" s="66">
        <f>1660</f>
        <v>1660</v>
      </c>
      <c r="P118" s="67" t="s">
        <v>96</v>
      </c>
      <c r="Q118" s="66">
        <f>1660</f>
        <v>1660</v>
      </c>
      <c r="R118" s="67" t="s">
        <v>854</v>
      </c>
      <c r="S118" s="68">
        <f>1682.2</f>
        <v>1682.2</v>
      </c>
      <c r="T118" s="65">
        <f>50</f>
        <v>50</v>
      </c>
      <c r="U118" s="65" t="str">
        <f>"－"</f>
        <v>－</v>
      </c>
      <c r="V118" s="65">
        <f>84110</f>
        <v>84110</v>
      </c>
      <c r="W118" s="65" t="str">
        <f>"－"</f>
        <v>－</v>
      </c>
      <c r="X118" s="69">
        <f>5</f>
        <v>5</v>
      </c>
    </row>
    <row r="119" spans="1:24">
      <c r="A119" s="60" t="s">
        <v>926</v>
      </c>
      <c r="B119" s="60" t="s">
        <v>402</v>
      </c>
      <c r="C119" s="60" t="s">
        <v>403</v>
      </c>
      <c r="D119" s="60" t="s">
        <v>404</v>
      </c>
      <c r="E119" s="61" t="s">
        <v>46</v>
      </c>
      <c r="F119" s="62" t="s">
        <v>46</v>
      </c>
      <c r="G119" s="63" t="s">
        <v>46</v>
      </c>
      <c r="H119" s="64"/>
      <c r="I119" s="64" t="s">
        <v>47</v>
      </c>
      <c r="J119" s="65">
        <v>10</v>
      </c>
      <c r="K119" s="66">
        <f>846</f>
        <v>846</v>
      </c>
      <c r="L119" s="67" t="s">
        <v>853</v>
      </c>
      <c r="M119" s="66">
        <f>860</f>
        <v>860</v>
      </c>
      <c r="N119" s="67" t="s">
        <v>857</v>
      </c>
      <c r="O119" s="66">
        <f>770</f>
        <v>770</v>
      </c>
      <c r="P119" s="67" t="s">
        <v>88</v>
      </c>
      <c r="Q119" s="66">
        <f>802</f>
        <v>802</v>
      </c>
      <c r="R119" s="67" t="s">
        <v>873</v>
      </c>
      <c r="S119" s="68">
        <f>824.55</f>
        <v>824.55</v>
      </c>
      <c r="T119" s="65">
        <f>17570</f>
        <v>17570</v>
      </c>
      <c r="U119" s="65">
        <f>170</f>
        <v>170</v>
      </c>
      <c r="V119" s="65">
        <f>14405800</f>
        <v>14405800</v>
      </c>
      <c r="W119" s="65">
        <f>135470</f>
        <v>135470</v>
      </c>
      <c r="X119" s="69">
        <f>20</f>
        <v>20</v>
      </c>
    </row>
    <row r="120" spans="1:24">
      <c r="A120" s="60" t="s">
        <v>926</v>
      </c>
      <c r="B120" s="60" t="s">
        <v>408</v>
      </c>
      <c r="C120" s="60" t="s">
        <v>409</v>
      </c>
      <c r="D120" s="60" t="s">
        <v>410</v>
      </c>
      <c r="E120" s="61" t="s">
        <v>46</v>
      </c>
      <c r="F120" s="62" t="s">
        <v>46</v>
      </c>
      <c r="G120" s="63" t="s">
        <v>46</v>
      </c>
      <c r="H120" s="64"/>
      <c r="I120" s="64" t="s">
        <v>47</v>
      </c>
      <c r="J120" s="65">
        <v>1</v>
      </c>
      <c r="K120" s="66">
        <f>22680</f>
        <v>22680</v>
      </c>
      <c r="L120" s="67" t="s">
        <v>853</v>
      </c>
      <c r="M120" s="66">
        <f>22820</f>
        <v>22820</v>
      </c>
      <c r="N120" s="67" t="s">
        <v>857</v>
      </c>
      <c r="O120" s="66">
        <f>21720</f>
        <v>21720</v>
      </c>
      <c r="P120" s="67" t="s">
        <v>859</v>
      </c>
      <c r="Q120" s="66">
        <f>22080</f>
        <v>22080</v>
      </c>
      <c r="R120" s="67" t="s">
        <v>873</v>
      </c>
      <c r="S120" s="68">
        <f>22411</f>
        <v>22411</v>
      </c>
      <c r="T120" s="65">
        <f>26410</f>
        <v>26410</v>
      </c>
      <c r="U120" s="65">
        <f>2</f>
        <v>2</v>
      </c>
      <c r="V120" s="65">
        <f>589432790</f>
        <v>589432790</v>
      </c>
      <c r="W120" s="65">
        <f>45110</f>
        <v>45110</v>
      </c>
      <c r="X120" s="69">
        <f>20</f>
        <v>20</v>
      </c>
    </row>
    <row r="121" spans="1:24">
      <c r="A121" s="60" t="s">
        <v>926</v>
      </c>
      <c r="B121" s="60" t="s">
        <v>411</v>
      </c>
      <c r="C121" s="60" t="s">
        <v>412</v>
      </c>
      <c r="D121" s="60" t="s">
        <v>413</v>
      </c>
      <c r="E121" s="61" t="s">
        <v>46</v>
      </c>
      <c r="F121" s="62" t="s">
        <v>46</v>
      </c>
      <c r="G121" s="63" t="s">
        <v>46</v>
      </c>
      <c r="H121" s="64"/>
      <c r="I121" s="64" t="s">
        <v>47</v>
      </c>
      <c r="J121" s="65">
        <v>1</v>
      </c>
      <c r="K121" s="66">
        <f>2307</f>
        <v>2307</v>
      </c>
      <c r="L121" s="67" t="s">
        <v>853</v>
      </c>
      <c r="M121" s="66">
        <f>2307</f>
        <v>2307</v>
      </c>
      <c r="N121" s="67" t="s">
        <v>853</v>
      </c>
      <c r="O121" s="66">
        <f>2172</f>
        <v>2172</v>
      </c>
      <c r="P121" s="67" t="s">
        <v>873</v>
      </c>
      <c r="Q121" s="66">
        <f>2172</f>
        <v>2172</v>
      </c>
      <c r="R121" s="67" t="s">
        <v>873</v>
      </c>
      <c r="S121" s="68">
        <f>2241.3</f>
        <v>2241.3000000000002</v>
      </c>
      <c r="T121" s="65">
        <f>57059</f>
        <v>57059</v>
      </c>
      <c r="U121" s="65" t="str">
        <f>"－"</f>
        <v>－</v>
      </c>
      <c r="V121" s="65">
        <f>126372408</f>
        <v>126372408</v>
      </c>
      <c r="W121" s="65" t="str">
        <f>"－"</f>
        <v>－</v>
      </c>
      <c r="X121" s="69">
        <f>20</f>
        <v>20</v>
      </c>
    </row>
    <row r="122" spans="1:24">
      <c r="A122" s="60" t="s">
        <v>926</v>
      </c>
      <c r="B122" s="60" t="s">
        <v>414</v>
      </c>
      <c r="C122" s="60" t="s">
        <v>415</v>
      </c>
      <c r="D122" s="60" t="s">
        <v>416</v>
      </c>
      <c r="E122" s="61" t="s">
        <v>46</v>
      </c>
      <c r="F122" s="62" t="s">
        <v>46</v>
      </c>
      <c r="G122" s="63" t="s">
        <v>46</v>
      </c>
      <c r="H122" s="64"/>
      <c r="I122" s="64" t="s">
        <v>47</v>
      </c>
      <c r="J122" s="65">
        <v>10</v>
      </c>
      <c r="K122" s="66">
        <f>16880</f>
        <v>16880</v>
      </c>
      <c r="L122" s="67" t="s">
        <v>853</v>
      </c>
      <c r="M122" s="66">
        <f>16880</f>
        <v>16880</v>
      </c>
      <c r="N122" s="67" t="s">
        <v>853</v>
      </c>
      <c r="O122" s="66">
        <f>15050</f>
        <v>15050</v>
      </c>
      <c r="P122" s="67" t="s">
        <v>873</v>
      </c>
      <c r="Q122" s="66">
        <f>15070</f>
        <v>15070</v>
      </c>
      <c r="R122" s="67" t="s">
        <v>873</v>
      </c>
      <c r="S122" s="68">
        <f>16024.5</f>
        <v>16024.5</v>
      </c>
      <c r="T122" s="65">
        <f>10358580</f>
        <v>10358580</v>
      </c>
      <c r="U122" s="65">
        <f>6400</f>
        <v>6400</v>
      </c>
      <c r="V122" s="65">
        <f>164706925038</f>
        <v>164706925038</v>
      </c>
      <c r="W122" s="65">
        <f>100839138</f>
        <v>100839138</v>
      </c>
      <c r="X122" s="69">
        <f>20</f>
        <v>20</v>
      </c>
    </row>
    <row r="123" spans="1:24">
      <c r="A123" s="60" t="s">
        <v>926</v>
      </c>
      <c r="B123" s="60" t="s">
        <v>417</v>
      </c>
      <c r="C123" s="60" t="s">
        <v>418</v>
      </c>
      <c r="D123" s="60" t="s">
        <v>419</v>
      </c>
      <c r="E123" s="61" t="s">
        <v>46</v>
      </c>
      <c r="F123" s="62" t="s">
        <v>46</v>
      </c>
      <c r="G123" s="63" t="s">
        <v>46</v>
      </c>
      <c r="H123" s="64"/>
      <c r="I123" s="64" t="s">
        <v>47</v>
      </c>
      <c r="J123" s="65">
        <v>10</v>
      </c>
      <c r="K123" s="66">
        <f>2693</f>
        <v>2693</v>
      </c>
      <c r="L123" s="67" t="s">
        <v>853</v>
      </c>
      <c r="M123" s="66">
        <f>2841</f>
        <v>2841</v>
      </c>
      <c r="N123" s="67" t="s">
        <v>873</v>
      </c>
      <c r="O123" s="66">
        <f>2690</f>
        <v>2690</v>
      </c>
      <c r="P123" s="67" t="s">
        <v>92</v>
      </c>
      <c r="Q123" s="66">
        <f>2839</f>
        <v>2839</v>
      </c>
      <c r="R123" s="67" t="s">
        <v>873</v>
      </c>
      <c r="S123" s="68">
        <f>2761.05</f>
        <v>2761.05</v>
      </c>
      <c r="T123" s="65">
        <f>1269880</f>
        <v>1269880</v>
      </c>
      <c r="U123" s="65" t="str">
        <f>"－"</f>
        <v>－</v>
      </c>
      <c r="V123" s="65">
        <f>3539404070</f>
        <v>3539404070</v>
      </c>
      <c r="W123" s="65" t="str">
        <f>"－"</f>
        <v>－</v>
      </c>
      <c r="X123" s="69">
        <f>20</f>
        <v>20</v>
      </c>
    </row>
    <row r="124" spans="1:24">
      <c r="A124" s="60" t="s">
        <v>926</v>
      </c>
      <c r="B124" s="60" t="s">
        <v>420</v>
      </c>
      <c r="C124" s="60" t="s">
        <v>421</v>
      </c>
      <c r="D124" s="60" t="s">
        <v>422</v>
      </c>
      <c r="E124" s="61" t="s">
        <v>46</v>
      </c>
      <c r="F124" s="62" t="s">
        <v>46</v>
      </c>
      <c r="G124" s="63" t="s">
        <v>46</v>
      </c>
      <c r="H124" s="64"/>
      <c r="I124" s="64" t="s">
        <v>47</v>
      </c>
      <c r="J124" s="65">
        <v>10</v>
      </c>
      <c r="K124" s="66">
        <f>1000</f>
        <v>1000</v>
      </c>
      <c r="L124" s="67" t="s">
        <v>857</v>
      </c>
      <c r="M124" s="66">
        <f>1051</f>
        <v>1051</v>
      </c>
      <c r="N124" s="67" t="s">
        <v>96</v>
      </c>
      <c r="O124" s="66">
        <f>977</f>
        <v>977</v>
      </c>
      <c r="P124" s="67" t="s">
        <v>88</v>
      </c>
      <c r="Q124" s="66">
        <f>1010</f>
        <v>1010</v>
      </c>
      <c r="R124" s="67" t="s">
        <v>873</v>
      </c>
      <c r="S124" s="68">
        <f>1003.39</f>
        <v>1003.39</v>
      </c>
      <c r="T124" s="65">
        <f>3200</f>
        <v>3200</v>
      </c>
      <c r="U124" s="65">
        <f>30</f>
        <v>30</v>
      </c>
      <c r="V124" s="65">
        <f>3217050</f>
        <v>3217050</v>
      </c>
      <c r="W124" s="65">
        <f>30070</f>
        <v>30070</v>
      </c>
      <c r="X124" s="69">
        <f>18</f>
        <v>18</v>
      </c>
    </row>
    <row r="125" spans="1:24">
      <c r="A125" s="60" t="s">
        <v>926</v>
      </c>
      <c r="B125" s="60" t="s">
        <v>423</v>
      </c>
      <c r="C125" s="60" t="s">
        <v>424</v>
      </c>
      <c r="D125" s="60" t="s">
        <v>425</v>
      </c>
      <c r="E125" s="61" t="s">
        <v>46</v>
      </c>
      <c r="F125" s="62" t="s">
        <v>46</v>
      </c>
      <c r="G125" s="63" t="s">
        <v>46</v>
      </c>
      <c r="H125" s="64"/>
      <c r="I125" s="64" t="s">
        <v>47</v>
      </c>
      <c r="J125" s="65">
        <v>10</v>
      </c>
      <c r="K125" s="66">
        <f>1557</f>
        <v>1557</v>
      </c>
      <c r="L125" s="67" t="s">
        <v>853</v>
      </c>
      <c r="M125" s="66">
        <f>1557</f>
        <v>1557</v>
      </c>
      <c r="N125" s="67" t="s">
        <v>853</v>
      </c>
      <c r="O125" s="66">
        <f>1485</f>
        <v>1485</v>
      </c>
      <c r="P125" s="67" t="s">
        <v>371</v>
      </c>
      <c r="Q125" s="66">
        <f>1519</f>
        <v>1519</v>
      </c>
      <c r="R125" s="67" t="s">
        <v>50</v>
      </c>
      <c r="S125" s="68">
        <f>1517.09</f>
        <v>1517.09</v>
      </c>
      <c r="T125" s="65">
        <f>480</f>
        <v>480</v>
      </c>
      <c r="U125" s="65">
        <f>20</f>
        <v>20</v>
      </c>
      <c r="V125" s="65">
        <f>726280</f>
        <v>726280</v>
      </c>
      <c r="W125" s="65">
        <f>30320</f>
        <v>30320</v>
      </c>
      <c r="X125" s="69">
        <f>11</f>
        <v>11</v>
      </c>
    </row>
    <row r="126" spans="1:24">
      <c r="A126" s="60" t="s">
        <v>926</v>
      </c>
      <c r="B126" s="60" t="s">
        <v>426</v>
      </c>
      <c r="C126" s="60" t="s">
        <v>427</v>
      </c>
      <c r="D126" s="60" t="s">
        <v>428</v>
      </c>
      <c r="E126" s="61" t="s">
        <v>46</v>
      </c>
      <c r="F126" s="62" t="s">
        <v>46</v>
      </c>
      <c r="G126" s="63" t="s">
        <v>46</v>
      </c>
      <c r="H126" s="64"/>
      <c r="I126" s="64" t="s">
        <v>47</v>
      </c>
      <c r="J126" s="65">
        <v>1</v>
      </c>
      <c r="K126" s="66">
        <f>1742</f>
        <v>1742</v>
      </c>
      <c r="L126" s="67" t="s">
        <v>853</v>
      </c>
      <c r="M126" s="66">
        <f>1796</f>
        <v>1796</v>
      </c>
      <c r="N126" s="67" t="s">
        <v>49</v>
      </c>
      <c r="O126" s="66">
        <f>1671</f>
        <v>1671</v>
      </c>
      <c r="P126" s="67" t="s">
        <v>859</v>
      </c>
      <c r="Q126" s="66">
        <f>1705</f>
        <v>1705</v>
      </c>
      <c r="R126" s="67" t="s">
        <v>873</v>
      </c>
      <c r="S126" s="68">
        <f>1738.55</f>
        <v>1738.55</v>
      </c>
      <c r="T126" s="65">
        <f>28811</f>
        <v>28811</v>
      </c>
      <c r="U126" s="65">
        <f>15005</f>
        <v>15005</v>
      </c>
      <c r="V126" s="65">
        <f>50393481</f>
        <v>50393481</v>
      </c>
      <c r="W126" s="65">
        <f>26117707</f>
        <v>26117707</v>
      </c>
      <c r="X126" s="69">
        <f>20</f>
        <v>20</v>
      </c>
    </row>
    <row r="127" spans="1:24">
      <c r="A127" s="60" t="s">
        <v>926</v>
      </c>
      <c r="B127" s="60" t="s">
        <v>429</v>
      </c>
      <c r="C127" s="60" t="s">
        <v>430</v>
      </c>
      <c r="D127" s="60" t="s">
        <v>431</v>
      </c>
      <c r="E127" s="61" t="s">
        <v>46</v>
      </c>
      <c r="F127" s="62" t="s">
        <v>46</v>
      </c>
      <c r="G127" s="63" t="s">
        <v>46</v>
      </c>
      <c r="H127" s="64"/>
      <c r="I127" s="64" t="s">
        <v>47</v>
      </c>
      <c r="J127" s="65">
        <v>1</v>
      </c>
      <c r="K127" s="66">
        <f>17600</f>
        <v>17600</v>
      </c>
      <c r="L127" s="67" t="s">
        <v>853</v>
      </c>
      <c r="M127" s="66">
        <f>17830</f>
        <v>17830</v>
      </c>
      <c r="N127" s="67" t="s">
        <v>92</v>
      </c>
      <c r="O127" s="66">
        <f>17020</f>
        <v>17020</v>
      </c>
      <c r="P127" s="67" t="s">
        <v>859</v>
      </c>
      <c r="Q127" s="66">
        <f>17150</f>
        <v>17150</v>
      </c>
      <c r="R127" s="67" t="s">
        <v>873</v>
      </c>
      <c r="S127" s="68">
        <f>17461</f>
        <v>17461</v>
      </c>
      <c r="T127" s="65">
        <f>39460</f>
        <v>39460</v>
      </c>
      <c r="U127" s="65">
        <f>1849</f>
        <v>1849</v>
      </c>
      <c r="V127" s="65">
        <f>683998025</f>
        <v>683998025</v>
      </c>
      <c r="W127" s="65">
        <f>31775655</f>
        <v>31775655</v>
      </c>
      <c r="X127" s="69">
        <f>20</f>
        <v>20</v>
      </c>
    </row>
    <row r="128" spans="1:24">
      <c r="A128" s="60" t="s">
        <v>926</v>
      </c>
      <c r="B128" s="60" t="s">
        <v>432</v>
      </c>
      <c r="C128" s="60" t="s">
        <v>433</v>
      </c>
      <c r="D128" s="60" t="s">
        <v>434</v>
      </c>
      <c r="E128" s="61" t="s">
        <v>46</v>
      </c>
      <c r="F128" s="62" t="s">
        <v>46</v>
      </c>
      <c r="G128" s="63" t="s">
        <v>46</v>
      </c>
      <c r="H128" s="64"/>
      <c r="I128" s="64" t="s">
        <v>47</v>
      </c>
      <c r="J128" s="65">
        <v>1</v>
      </c>
      <c r="K128" s="66">
        <f>1625</f>
        <v>1625</v>
      </c>
      <c r="L128" s="67" t="s">
        <v>853</v>
      </c>
      <c r="M128" s="66">
        <f>1632</f>
        <v>1632</v>
      </c>
      <c r="N128" s="67" t="s">
        <v>857</v>
      </c>
      <c r="O128" s="66">
        <f>1553</f>
        <v>1553</v>
      </c>
      <c r="P128" s="67" t="s">
        <v>371</v>
      </c>
      <c r="Q128" s="66">
        <f>1565</f>
        <v>1565</v>
      </c>
      <c r="R128" s="67" t="s">
        <v>873</v>
      </c>
      <c r="S128" s="68">
        <f>1595.8</f>
        <v>1595.8</v>
      </c>
      <c r="T128" s="65">
        <f>84582</f>
        <v>84582</v>
      </c>
      <c r="U128" s="65">
        <f>4</f>
        <v>4</v>
      </c>
      <c r="V128" s="65">
        <f>134720603</f>
        <v>134720603</v>
      </c>
      <c r="W128" s="65">
        <f>6398</f>
        <v>6398</v>
      </c>
      <c r="X128" s="69">
        <f>20</f>
        <v>20</v>
      </c>
    </row>
    <row r="129" spans="1:24">
      <c r="A129" s="60" t="s">
        <v>926</v>
      </c>
      <c r="B129" s="60" t="s">
        <v>435</v>
      </c>
      <c r="C129" s="60" t="s">
        <v>436</v>
      </c>
      <c r="D129" s="60" t="s">
        <v>437</v>
      </c>
      <c r="E129" s="61" t="s">
        <v>46</v>
      </c>
      <c r="F129" s="62" t="s">
        <v>46</v>
      </c>
      <c r="G129" s="63" t="s">
        <v>46</v>
      </c>
      <c r="H129" s="64"/>
      <c r="I129" s="64" t="s">
        <v>47</v>
      </c>
      <c r="J129" s="65">
        <v>1</v>
      </c>
      <c r="K129" s="66">
        <f>18170</f>
        <v>18170</v>
      </c>
      <c r="L129" s="67" t="s">
        <v>853</v>
      </c>
      <c r="M129" s="66">
        <f>18350</f>
        <v>18350</v>
      </c>
      <c r="N129" s="67" t="s">
        <v>92</v>
      </c>
      <c r="O129" s="66">
        <f>17350</f>
        <v>17350</v>
      </c>
      <c r="P129" s="67" t="s">
        <v>371</v>
      </c>
      <c r="Q129" s="66">
        <f>17510</f>
        <v>17510</v>
      </c>
      <c r="R129" s="67" t="s">
        <v>873</v>
      </c>
      <c r="S129" s="68">
        <f>17907</f>
        <v>17907</v>
      </c>
      <c r="T129" s="65">
        <f>29835</f>
        <v>29835</v>
      </c>
      <c r="U129" s="65">
        <f>1801</f>
        <v>1801</v>
      </c>
      <c r="V129" s="65">
        <f>532107570</f>
        <v>532107570</v>
      </c>
      <c r="W129" s="65">
        <f>32293690</f>
        <v>32293690</v>
      </c>
      <c r="X129" s="69">
        <f>20</f>
        <v>20</v>
      </c>
    </row>
    <row r="130" spans="1:24">
      <c r="A130" s="60" t="s">
        <v>926</v>
      </c>
      <c r="B130" s="60" t="s">
        <v>438</v>
      </c>
      <c r="C130" s="60" t="s">
        <v>439</v>
      </c>
      <c r="D130" s="60" t="s">
        <v>440</v>
      </c>
      <c r="E130" s="61" t="s">
        <v>46</v>
      </c>
      <c r="F130" s="62" t="s">
        <v>46</v>
      </c>
      <c r="G130" s="63" t="s">
        <v>46</v>
      </c>
      <c r="H130" s="64"/>
      <c r="I130" s="64" t="s">
        <v>47</v>
      </c>
      <c r="J130" s="65">
        <v>10</v>
      </c>
      <c r="K130" s="66">
        <f>2193</f>
        <v>2193</v>
      </c>
      <c r="L130" s="67" t="s">
        <v>853</v>
      </c>
      <c r="M130" s="66">
        <f>2238</f>
        <v>2238</v>
      </c>
      <c r="N130" s="67" t="s">
        <v>92</v>
      </c>
      <c r="O130" s="66">
        <f>2162</f>
        <v>2162</v>
      </c>
      <c r="P130" s="67" t="s">
        <v>371</v>
      </c>
      <c r="Q130" s="66">
        <f>2194</f>
        <v>2194</v>
      </c>
      <c r="R130" s="67" t="s">
        <v>873</v>
      </c>
      <c r="S130" s="68">
        <f>2200.55</f>
        <v>2200.5500000000002</v>
      </c>
      <c r="T130" s="65">
        <f>9003120</f>
        <v>9003120</v>
      </c>
      <c r="U130" s="65">
        <f>3657250</f>
        <v>3657250</v>
      </c>
      <c r="V130" s="65">
        <f>19939708298</f>
        <v>19939708298</v>
      </c>
      <c r="W130" s="65">
        <f>8114938818</f>
        <v>8114938818</v>
      </c>
      <c r="X130" s="69">
        <f>20</f>
        <v>20</v>
      </c>
    </row>
    <row r="131" spans="1:24">
      <c r="A131" s="60" t="s">
        <v>926</v>
      </c>
      <c r="B131" s="60" t="s">
        <v>441</v>
      </c>
      <c r="C131" s="60" t="s">
        <v>442</v>
      </c>
      <c r="D131" s="60" t="s">
        <v>443</v>
      </c>
      <c r="E131" s="61" t="s">
        <v>46</v>
      </c>
      <c r="F131" s="62" t="s">
        <v>46</v>
      </c>
      <c r="G131" s="63" t="s">
        <v>46</v>
      </c>
      <c r="H131" s="64"/>
      <c r="I131" s="64" t="s">
        <v>47</v>
      </c>
      <c r="J131" s="65">
        <v>10</v>
      </c>
      <c r="K131" s="66">
        <f>1704</f>
        <v>1704</v>
      </c>
      <c r="L131" s="67" t="s">
        <v>859</v>
      </c>
      <c r="M131" s="66">
        <f>1771</f>
        <v>1771</v>
      </c>
      <c r="N131" s="67" t="s">
        <v>92</v>
      </c>
      <c r="O131" s="66">
        <f>1654</f>
        <v>1654</v>
      </c>
      <c r="P131" s="67" t="s">
        <v>371</v>
      </c>
      <c r="Q131" s="66">
        <f>1678</f>
        <v>1678</v>
      </c>
      <c r="R131" s="67" t="s">
        <v>88</v>
      </c>
      <c r="S131" s="68">
        <f>1701.11</f>
        <v>1701.11</v>
      </c>
      <c r="T131" s="65">
        <f>300</f>
        <v>300</v>
      </c>
      <c r="U131" s="65">
        <f>30</f>
        <v>30</v>
      </c>
      <c r="V131" s="65">
        <f>510370</f>
        <v>510370</v>
      </c>
      <c r="W131" s="65">
        <f>51220</f>
        <v>51220</v>
      </c>
      <c r="X131" s="69">
        <f>9</f>
        <v>9</v>
      </c>
    </row>
    <row r="132" spans="1:24">
      <c r="A132" s="60" t="s">
        <v>926</v>
      </c>
      <c r="B132" s="60" t="s">
        <v>444</v>
      </c>
      <c r="C132" s="60" t="s">
        <v>445</v>
      </c>
      <c r="D132" s="60" t="s">
        <v>446</v>
      </c>
      <c r="E132" s="61" t="s">
        <v>46</v>
      </c>
      <c r="F132" s="62" t="s">
        <v>46</v>
      </c>
      <c r="G132" s="63" t="s">
        <v>46</v>
      </c>
      <c r="H132" s="64"/>
      <c r="I132" s="64" t="s">
        <v>47</v>
      </c>
      <c r="J132" s="65">
        <v>10</v>
      </c>
      <c r="K132" s="66">
        <f>2201</f>
        <v>2201</v>
      </c>
      <c r="L132" s="67" t="s">
        <v>853</v>
      </c>
      <c r="M132" s="66">
        <f>2246</f>
        <v>2246</v>
      </c>
      <c r="N132" s="67" t="s">
        <v>92</v>
      </c>
      <c r="O132" s="66">
        <f>2135</f>
        <v>2135</v>
      </c>
      <c r="P132" s="67" t="s">
        <v>96</v>
      </c>
      <c r="Q132" s="66">
        <f>2219</f>
        <v>2219</v>
      </c>
      <c r="R132" s="67" t="s">
        <v>873</v>
      </c>
      <c r="S132" s="68">
        <f>2217.7</f>
        <v>2217.6999999999998</v>
      </c>
      <c r="T132" s="65">
        <f>558930</f>
        <v>558930</v>
      </c>
      <c r="U132" s="65">
        <f>91130</f>
        <v>91130</v>
      </c>
      <c r="V132" s="65">
        <f>1239045388</f>
        <v>1239045388</v>
      </c>
      <c r="W132" s="65">
        <f>203246308</f>
        <v>203246308</v>
      </c>
      <c r="X132" s="69">
        <f>20</f>
        <v>20</v>
      </c>
    </row>
    <row r="133" spans="1:24">
      <c r="A133" s="60" t="s">
        <v>926</v>
      </c>
      <c r="B133" s="60" t="s">
        <v>447</v>
      </c>
      <c r="C133" s="60" t="s">
        <v>448</v>
      </c>
      <c r="D133" s="60" t="s">
        <v>449</v>
      </c>
      <c r="E133" s="61" t="s">
        <v>46</v>
      </c>
      <c r="F133" s="62" t="s">
        <v>46</v>
      </c>
      <c r="G133" s="63" t="s">
        <v>46</v>
      </c>
      <c r="H133" s="64" t="s">
        <v>540</v>
      </c>
      <c r="I133" s="64" t="s">
        <v>47</v>
      </c>
      <c r="J133" s="65">
        <v>1</v>
      </c>
      <c r="K133" s="66">
        <f>19480</f>
        <v>19480</v>
      </c>
      <c r="L133" s="67" t="s">
        <v>172</v>
      </c>
      <c r="M133" s="66">
        <f>20170</f>
        <v>20170</v>
      </c>
      <c r="N133" s="67" t="s">
        <v>131</v>
      </c>
      <c r="O133" s="66">
        <f>19260</f>
        <v>19260</v>
      </c>
      <c r="P133" s="67" t="s">
        <v>854</v>
      </c>
      <c r="Q133" s="66">
        <f>19410</f>
        <v>19410</v>
      </c>
      <c r="R133" s="67" t="s">
        <v>240</v>
      </c>
      <c r="S133" s="68">
        <f>19396.67</f>
        <v>19396.669999999998</v>
      </c>
      <c r="T133" s="65">
        <f>10</f>
        <v>10</v>
      </c>
      <c r="U133" s="65" t="str">
        <f>"－"</f>
        <v>－</v>
      </c>
      <c r="V133" s="65">
        <f>194580</f>
        <v>194580</v>
      </c>
      <c r="W133" s="65" t="str">
        <f>"－"</f>
        <v>－</v>
      </c>
      <c r="X133" s="69">
        <f>6</f>
        <v>6</v>
      </c>
    </row>
    <row r="134" spans="1:24">
      <c r="A134" s="60" t="s">
        <v>926</v>
      </c>
      <c r="B134" s="60" t="s">
        <v>450</v>
      </c>
      <c r="C134" s="60" t="s">
        <v>451</v>
      </c>
      <c r="D134" s="60" t="s">
        <v>452</v>
      </c>
      <c r="E134" s="61" t="s">
        <v>46</v>
      </c>
      <c r="F134" s="62" t="s">
        <v>46</v>
      </c>
      <c r="G134" s="63" t="s">
        <v>46</v>
      </c>
      <c r="H134" s="64"/>
      <c r="I134" s="64" t="s">
        <v>47</v>
      </c>
      <c r="J134" s="65">
        <v>1</v>
      </c>
      <c r="K134" s="66">
        <f>17880</f>
        <v>17880</v>
      </c>
      <c r="L134" s="67" t="s">
        <v>853</v>
      </c>
      <c r="M134" s="66">
        <f>18000</f>
        <v>18000</v>
      </c>
      <c r="N134" s="67" t="s">
        <v>857</v>
      </c>
      <c r="O134" s="66">
        <f>17200</f>
        <v>17200</v>
      </c>
      <c r="P134" s="67" t="s">
        <v>859</v>
      </c>
      <c r="Q134" s="66">
        <f>17400</f>
        <v>17400</v>
      </c>
      <c r="R134" s="67" t="s">
        <v>873</v>
      </c>
      <c r="S134" s="68">
        <f>17658.13</f>
        <v>17658.13</v>
      </c>
      <c r="T134" s="65">
        <f>3031</f>
        <v>3031</v>
      </c>
      <c r="U134" s="65">
        <f>7</f>
        <v>7</v>
      </c>
      <c r="V134" s="65">
        <f>53297030</f>
        <v>53297030</v>
      </c>
      <c r="W134" s="65">
        <f>123890</f>
        <v>123890</v>
      </c>
      <c r="X134" s="69">
        <f>16</f>
        <v>16</v>
      </c>
    </row>
    <row r="135" spans="1:24">
      <c r="A135" s="60" t="s">
        <v>926</v>
      </c>
      <c r="B135" s="60" t="s">
        <v>453</v>
      </c>
      <c r="C135" s="60" t="s">
        <v>454</v>
      </c>
      <c r="D135" s="60" t="s">
        <v>455</v>
      </c>
      <c r="E135" s="61" t="s">
        <v>46</v>
      </c>
      <c r="F135" s="62" t="s">
        <v>46</v>
      </c>
      <c r="G135" s="63" t="s">
        <v>46</v>
      </c>
      <c r="H135" s="64"/>
      <c r="I135" s="64" t="s">
        <v>47</v>
      </c>
      <c r="J135" s="65">
        <v>100</v>
      </c>
      <c r="K135" s="66">
        <f>150</f>
        <v>150</v>
      </c>
      <c r="L135" s="67" t="s">
        <v>853</v>
      </c>
      <c r="M135" s="66">
        <f>151</f>
        <v>151</v>
      </c>
      <c r="N135" s="67" t="s">
        <v>857</v>
      </c>
      <c r="O135" s="66">
        <f>138</f>
        <v>138</v>
      </c>
      <c r="P135" s="67" t="s">
        <v>371</v>
      </c>
      <c r="Q135" s="66">
        <f>141</f>
        <v>141</v>
      </c>
      <c r="R135" s="67" t="s">
        <v>873</v>
      </c>
      <c r="S135" s="68">
        <f>144.9</f>
        <v>144.9</v>
      </c>
      <c r="T135" s="65">
        <f>41508200</f>
        <v>41508200</v>
      </c>
      <c r="U135" s="65">
        <f>13200</f>
        <v>13200</v>
      </c>
      <c r="V135" s="65">
        <f>6056160080</f>
        <v>6056160080</v>
      </c>
      <c r="W135" s="65">
        <f>1922380</f>
        <v>1922380</v>
      </c>
      <c r="X135" s="69">
        <f>20</f>
        <v>20</v>
      </c>
    </row>
    <row r="136" spans="1:24">
      <c r="A136" s="60" t="s">
        <v>926</v>
      </c>
      <c r="B136" s="60" t="s">
        <v>456</v>
      </c>
      <c r="C136" s="60" t="s">
        <v>457</v>
      </c>
      <c r="D136" s="60" t="s">
        <v>458</v>
      </c>
      <c r="E136" s="61" t="s">
        <v>46</v>
      </c>
      <c r="F136" s="62" t="s">
        <v>46</v>
      </c>
      <c r="G136" s="63" t="s">
        <v>46</v>
      </c>
      <c r="H136" s="64"/>
      <c r="I136" s="64" t="s">
        <v>47</v>
      </c>
      <c r="J136" s="65">
        <v>1</v>
      </c>
      <c r="K136" s="66">
        <f>28170</f>
        <v>28170</v>
      </c>
      <c r="L136" s="67" t="s">
        <v>853</v>
      </c>
      <c r="M136" s="66">
        <f>28510</f>
        <v>28510</v>
      </c>
      <c r="N136" s="67" t="s">
        <v>92</v>
      </c>
      <c r="O136" s="66">
        <f>27050</f>
        <v>27050</v>
      </c>
      <c r="P136" s="67" t="s">
        <v>371</v>
      </c>
      <c r="Q136" s="66">
        <f>27090</f>
        <v>27090</v>
      </c>
      <c r="R136" s="67" t="s">
        <v>873</v>
      </c>
      <c r="S136" s="68">
        <f>27813.5</f>
        <v>27813.5</v>
      </c>
      <c r="T136" s="65">
        <f>1312</f>
        <v>1312</v>
      </c>
      <c r="U136" s="65">
        <f>4</f>
        <v>4</v>
      </c>
      <c r="V136" s="65">
        <f>36407140</f>
        <v>36407140</v>
      </c>
      <c r="W136" s="65">
        <f>109550</f>
        <v>109550</v>
      </c>
      <c r="X136" s="69">
        <f>20</f>
        <v>20</v>
      </c>
    </row>
    <row r="137" spans="1:24">
      <c r="A137" s="60" t="s">
        <v>926</v>
      </c>
      <c r="B137" s="60" t="s">
        <v>459</v>
      </c>
      <c r="C137" s="60" t="s">
        <v>460</v>
      </c>
      <c r="D137" s="60" t="s">
        <v>461</v>
      </c>
      <c r="E137" s="61" t="s">
        <v>46</v>
      </c>
      <c r="F137" s="62" t="s">
        <v>46</v>
      </c>
      <c r="G137" s="63" t="s">
        <v>46</v>
      </c>
      <c r="H137" s="64"/>
      <c r="I137" s="64" t="s">
        <v>47</v>
      </c>
      <c r="J137" s="65">
        <v>1</v>
      </c>
      <c r="K137" s="66">
        <f>10300</f>
        <v>10300</v>
      </c>
      <c r="L137" s="67" t="s">
        <v>853</v>
      </c>
      <c r="M137" s="66">
        <f>10600</f>
        <v>10600</v>
      </c>
      <c r="N137" s="67" t="s">
        <v>77</v>
      </c>
      <c r="O137" s="66">
        <f>9510</f>
        <v>9510</v>
      </c>
      <c r="P137" s="67" t="s">
        <v>371</v>
      </c>
      <c r="Q137" s="66">
        <f>9730</f>
        <v>9730</v>
      </c>
      <c r="R137" s="67" t="s">
        <v>873</v>
      </c>
      <c r="S137" s="68">
        <f>9988</f>
        <v>9988</v>
      </c>
      <c r="T137" s="65">
        <f>7870</f>
        <v>7870</v>
      </c>
      <c r="U137" s="65">
        <f>11</f>
        <v>11</v>
      </c>
      <c r="V137" s="65">
        <f>78742690</f>
        <v>78742690</v>
      </c>
      <c r="W137" s="65">
        <f>108650</f>
        <v>108650</v>
      </c>
      <c r="X137" s="69">
        <f>20</f>
        <v>20</v>
      </c>
    </row>
    <row r="138" spans="1:24">
      <c r="A138" s="60" t="s">
        <v>926</v>
      </c>
      <c r="B138" s="60" t="s">
        <v>462</v>
      </c>
      <c r="C138" s="60" t="s">
        <v>463</v>
      </c>
      <c r="D138" s="60" t="s">
        <v>464</v>
      </c>
      <c r="E138" s="61" t="s">
        <v>46</v>
      </c>
      <c r="F138" s="62" t="s">
        <v>46</v>
      </c>
      <c r="G138" s="63" t="s">
        <v>46</v>
      </c>
      <c r="H138" s="64"/>
      <c r="I138" s="64" t="s">
        <v>47</v>
      </c>
      <c r="J138" s="65">
        <v>1</v>
      </c>
      <c r="K138" s="66">
        <f>22140</f>
        <v>22140</v>
      </c>
      <c r="L138" s="67" t="s">
        <v>853</v>
      </c>
      <c r="M138" s="66">
        <f>22690</f>
        <v>22690</v>
      </c>
      <c r="N138" s="67" t="s">
        <v>92</v>
      </c>
      <c r="O138" s="66">
        <f>21340</f>
        <v>21340</v>
      </c>
      <c r="P138" s="67" t="s">
        <v>371</v>
      </c>
      <c r="Q138" s="66">
        <f>21490</f>
        <v>21490</v>
      </c>
      <c r="R138" s="67" t="s">
        <v>873</v>
      </c>
      <c r="S138" s="68">
        <f>21946.32</f>
        <v>21946.32</v>
      </c>
      <c r="T138" s="65">
        <f>1647</f>
        <v>1647</v>
      </c>
      <c r="U138" s="65">
        <f>7</f>
        <v>7</v>
      </c>
      <c r="V138" s="65">
        <f>36184640</f>
        <v>36184640</v>
      </c>
      <c r="W138" s="65">
        <f>153530</f>
        <v>153530</v>
      </c>
      <c r="X138" s="69">
        <f>19</f>
        <v>19</v>
      </c>
    </row>
    <row r="139" spans="1:24">
      <c r="A139" s="60" t="s">
        <v>926</v>
      </c>
      <c r="B139" s="60" t="s">
        <v>465</v>
      </c>
      <c r="C139" s="60" t="s">
        <v>466</v>
      </c>
      <c r="D139" s="60" t="s">
        <v>467</v>
      </c>
      <c r="E139" s="61" t="s">
        <v>46</v>
      </c>
      <c r="F139" s="62" t="s">
        <v>46</v>
      </c>
      <c r="G139" s="63" t="s">
        <v>46</v>
      </c>
      <c r="H139" s="64"/>
      <c r="I139" s="64" t="s">
        <v>47</v>
      </c>
      <c r="J139" s="65">
        <v>1</v>
      </c>
      <c r="K139" s="66">
        <f>28000</f>
        <v>28000</v>
      </c>
      <c r="L139" s="67" t="s">
        <v>853</v>
      </c>
      <c r="M139" s="66">
        <f>28170</f>
        <v>28170</v>
      </c>
      <c r="N139" s="67" t="s">
        <v>857</v>
      </c>
      <c r="O139" s="66">
        <f>26300</f>
        <v>26300</v>
      </c>
      <c r="P139" s="67" t="s">
        <v>371</v>
      </c>
      <c r="Q139" s="66">
        <f>26710</f>
        <v>26710</v>
      </c>
      <c r="R139" s="67" t="s">
        <v>873</v>
      </c>
      <c r="S139" s="68">
        <f>27282</f>
        <v>27282</v>
      </c>
      <c r="T139" s="65">
        <f>1176</f>
        <v>1176</v>
      </c>
      <c r="U139" s="65">
        <f>7</f>
        <v>7</v>
      </c>
      <c r="V139" s="65">
        <f>32039560</f>
        <v>32039560</v>
      </c>
      <c r="W139" s="65">
        <f>190390</f>
        <v>190390</v>
      </c>
      <c r="X139" s="69">
        <f>20</f>
        <v>20</v>
      </c>
    </row>
    <row r="140" spans="1:24">
      <c r="A140" s="60" t="s">
        <v>926</v>
      </c>
      <c r="B140" s="60" t="s">
        <v>468</v>
      </c>
      <c r="C140" s="60" t="s">
        <v>469</v>
      </c>
      <c r="D140" s="60" t="s">
        <v>470</v>
      </c>
      <c r="E140" s="61" t="s">
        <v>46</v>
      </c>
      <c r="F140" s="62" t="s">
        <v>46</v>
      </c>
      <c r="G140" s="63" t="s">
        <v>46</v>
      </c>
      <c r="H140" s="64"/>
      <c r="I140" s="64" t="s">
        <v>47</v>
      </c>
      <c r="J140" s="65">
        <v>1</v>
      </c>
      <c r="K140" s="66">
        <f>24300</f>
        <v>24300</v>
      </c>
      <c r="L140" s="67" t="s">
        <v>853</v>
      </c>
      <c r="M140" s="66">
        <f>24420</f>
        <v>24420</v>
      </c>
      <c r="N140" s="67" t="s">
        <v>857</v>
      </c>
      <c r="O140" s="66">
        <f>22210</f>
        <v>22210</v>
      </c>
      <c r="P140" s="67" t="s">
        <v>873</v>
      </c>
      <c r="Q140" s="66">
        <f>22230</f>
        <v>22230</v>
      </c>
      <c r="R140" s="67" t="s">
        <v>873</v>
      </c>
      <c r="S140" s="68">
        <f>23372</f>
        <v>23372</v>
      </c>
      <c r="T140" s="65">
        <f>4547</f>
        <v>4547</v>
      </c>
      <c r="U140" s="65" t="str">
        <f>"－"</f>
        <v>－</v>
      </c>
      <c r="V140" s="65">
        <f>106046300</f>
        <v>106046300</v>
      </c>
      <c r="W140" s="65" t="str">
        <f>"－"</f>
        <v>－</v>
      </c>
      <c r="X140" s="69">
        <f>20</f>
        <v>20</v>
      </c>
    </row>
    <row r="141" spans="1:24">
      <c r="A141" s="60" t="s">
        <v>926</v>
      </c>
      <c r="B141" s="60" t="s">
        <v>471</v>
      </c>
      <c r="C141" s="60" t="s">
        <v>472</v>
      </c>
      <c r="D141" s="60" t="s">
        <v>473</v>
      </c>
      <c r="E141" s="61" t="s">
        <v>46</v>
      </c>
      <c r="F141" s="62" t="s">
        <v>46</v>
      </c>
      <c r="G141" s="63" t="s">
        <v>46</v>
      </c>
      <c r="H141" s="64"/>
      <c r="I141" s="64" t="s">
        <v>47</v>
      </c>
      <c r="J141" s="65">
        <v>1</v>
      </c>
      <c r="K141" s="66">
        <f>24370</f>
        <v>24370</v>
      </c>
      <c r="L141" s="67" t="s">
        <v>853</v>
      </c>
      <c r="M141" s="66">
        <f>24700</f>
        <v>24700</v>
      </c>
      <c r="N141" s="67" t="s">
        <v>77</v>
      </c>
      <c r="O141" s="66">
        <f>22440</f>
        <v>22440</v>
      </c>
      <c r="P141" s="67" t="s">
        <v>371</v>
      </c>
      <c r="Q141" s="66">
        <f>23170</f>
        <v>23170</v>
      </c>
      <c r="R141" s="67" t="s">
        <v>873</v>
      </c>
      <c r="S141" s="68">
        <f>23675.5</f>
        <v>23675.5</v>
      </c>
      <c r="T141" s="65">
        <f>3508</f>
        <v>3508</v>
      </c>
      <c r="U141" s="65">
        <f>8</f>
        <v>8</v>
      </c>
      <c r="V141" s="65">
        <f>83236080</f>
        <v>83236080</v>
      </c>
      <c r="W141" s="65">
        <f>191290</f>
        <v>191290</v>
      </c>
      <c r="X141" s="69">
        <f>20</f>
        <v>20</v>
      </c>
    </row>
    <row r="142" spans="1:24">
      <c r="A142" s="60" t="s">
        <v>926</v>
      </c>
      <c r="B142" s="60" t="s">
        <v>474</v>
      </c>
      <c r="C142" s="60" t="s">
        <v>475</v>
      </c>
      <c r="D142" s="60" t="s">
        <v>476</v>
      </c>
      <c r="E142" s="61" t="s">
        <v>46</v>
      </c>
      <c r="F142" s="62" t="s">
        <v>46</v>
      </c>
      <c r="G142" s="63" t="s">
        <v>46</v>
      </c>
      <c r="H142" s="64"/>
      <c r="I142" s="64" t="s">
        <v>47</v>
      </c>
      <c r="J142" s="65">
        <v>1</v>
      </c>
      <c r="K142" s="66">
        <f>15850</f>
        <v>15850</v>
      </c>
      <c r="L142" s="67" t="s">
        <v>853</v>
      </c>
      <c r="M142" s="66">
        <f>15850</f>
        <v>15850</v>
      </c>
      <c r="N142" s="67" t="s">
        <v>853</v>
      </c>
      <c r="O142" s="66">
        <f>14790</f>
        <v>14790</v>
      </c>
      <c r="P142" s="67" t="s">
        <v>371</v>
      </c>
      <c r="Q142" s="66">
        <f>15580</f>
        <v>15580</v>
      </c>
      <c r="R142" s="67" t="s">
        <v>873</v>
      </c>
      <c r="S142" s="68">
        <f>15420.5</f>
        <v>15420.5</v>
      </c>
      <c r="T142" s="65">
        <f>5329</f>
        <v>5329</v>
      </c>
      <c r="U142" s="65">
        <f>6</f>
        <v>6</v>
      </c>
      <c r="V142" s="65">
        <f>82374520</f>
        <v>82374520</v>
      </c>
      <c r="W142" s="65">
        <f>92580</f>
        <v>92580</v>
      </c>
      <c r="X142" s="69">
        <f>20</f>
        <v>20</v>
      </c>
    </row>
    <row r="143" spans="1:24">
      <c r="A143" s="60" t="s">
        <v>926</v>
      </c>
      <c r="B143" s="60" t="s">
        <v>477</v>
      </c>
      <c r="C143" s="60" t="s">
        <v>478</v>
      </c>
      <c r="D143" s="60" t="s">
        <v>479</v>
      </c>
      <c r="E143" s="61" t="s">
        <v>46</v>
      </c>
      <c r="F143" s="62" t="s">
        <v>46</v>
      </c>
      <c r="G143" s="63" t="s">
        <v>46</v>
      </c>
      <c r="H143" s="64"/>
      <c r="I143" s="64" t="s">
        <v>47</v>
      </c>
      <c r="J143" s="65">
        <v>1</v>
      </c>
      <c r="K143" s="66">
        <f>39600</f>
        <v>39600</v>
      </c>
      <c r="L143" s="67" t="s">
        <v>853</v>
      </c>
      <c r="M143" s="66">
        <f>40500</f>
        <v>40500</v>
      </c>
      <c r="N143" s="67" t="s">
        <v>92</v>
      </c>
      <c r="O143" s="66">
        <f>38050</f>
        <v>38050</v>
      </c>
      <c r="P143" s="67" t="s">
        <v>859</v>
      </c>
      <c r="Q143" s="66">
        <f>39400</f>
        <v>39400</v>
      </c>
      <c r="R143" s="67" t="s">
        <v>873</v>
      </c>
      <c r="S143" s="68">
        <f>39420</f>
        <v>39420</v>
      </c>
      <c r="T143" s="65">
        <f>2878</f>
        <v>2878</v>
      </c>
      <c r="U143" s="65">
        <f>2</f>
        <v>2</v>
      </c>
      <c r="V143" s="65">
        <f>113265150</f>
        <v>113265150</v>
      </c>
      <c r="W143" s="65">
        <f>77400</f>
        <v>77400</v>
      </c>
      <c r="X143" s="69">
        <f>20</f>
        <v>20</v>
      </c>
    </row>
    <row r="144" spans="1:24">
      <c r="A144" s="60" t="s">
        <v>926</v>
      </c>
      <c r="B144" s="60" t="s">
        <v>480</v>
      </c>
      <c r="C144" s="60" t="s">
        <v>481</v>
      </c>
      <c r="D144" s="60" t="s">
        <v>482</v>
      </c>
      <c r="E144" s="61" t="s">
        <v>46</v>
      </c>
      <c r="F144" s="62" t="s">
        <v>46</v>
      </c>
      <c r="G144" s="63" t="s">
        <v>46</v>
      </c>
      <c r="H144" s="64"/>
      <c r="I144" s="64" t="s">
        <v>47</v>
      </c>
      <c r="J144" s="65">
        <v>1</v>
      </c>
      <c r="K144" s="66">
        <f>28930</f>
        <v>28930</v>
      </c>
      <c r="L144" s="67" t="s">
        <v>853</v>
      </c>
      <c r="M144" s="66">
        <f>29750</f>
        <v>29750</v>
      </c>
      <c r="N144" s="67" t="s">
        <v>92</v>
      </c>
      <c r="O144" s="66">
        <f>27790</f>
        <v>27790</v>
      </c>
      <c r="P144" s="67" t="s">
        <v>371</v>
      </c>
      <c r="Q144" s="66">
        <f>28500</f>
        <v>28500</v>
      </c>
      <c r="R144" s="67" t="s">
        <v>873</v>
      </c>
      <c r="S144" s="68">
        <f>28761.5</f>
        <v>28761.5</v>
      </c>
      <c r="T144" s="65">
        <f>3483</f>
        <v>3483</v>
      </c>
      <c r="U144" s="65">
        <f>4</f>
        <v>4</v>
      </c>
      <c r="V144" s="65">
        <f>99955150</f>
        <v>99955150</v>
      </c>
      <c r="W144" s="65">
        <f>116300</f>
        <v>116300</v>
      </c>
      <c r="X144" s="69">
        <f>20</f>
        <v>20</v>
      </c>
    </row>
    <row r="145" spans="1:24">
      <c r="A145" s="60" t="s">
        <v>926</v>
      </c>
      <c r="B145" s="60" t="s">
        <v>483</v>
      </c>
      <c r="C145" s="60" t="s">
        <v>484</v>
      </c>
      <c r="D145" s="60" t="s">
        <v>485</v>
      </c>
      <c r="E145" s="61" t="s">
        <v>46</v>
      </c>
      <c r="F145" s="62" t="s">
        <v>46</v>
      </c>
      <c r="G145" s="63" t="s">
        <v>46</v>
      </c>
      <c r="H145" s="64"/>
      <c r="I145" s="64" t="s">
        <v>47</v>
      </c>
      <c r="J145" s="65">
        <v>1</v>
      </c>
      <c r="K145" s="66">
        <f>30100</f>
        <v>30100</v>
      </c>
      <c r="L145" s="67" t="s">
        <v>853</v>
      </c>
      <c r="M145" s="66">
        <f>30250</f>
        <v>30250</v>
      </c>
      <c r="N145" s="67" t="s">
        <v>92</v>
      </c>
      <c r="O145" s="66">
        <f>28150</f>
        <v>28150</v>
      </c>
      <c r="P145" s="67" t="s">
        <v>873</v>
      </c>
      <c r="Q145" s="66">
        <f>28150</f>
        <v>28150</v>
      </c>
      <c r="R145" s="67" t="s">
        <v>873</v>
      </c>
      <c r="S145" s="68">
        <f>29389.5</f>
        <v>29389.5</v>
      </c>
      <c r="T145" s="65">
        <f>2343</f>
        <v>2343</v>
      </c>
      <c r="U145" s="65">
        <f>5</f>
        <v>5</v>
      </c>
      <c r="V145" s="65">
        <f>68683040</f>
        <v>68683040</v>
      </c>
      <c r="W145" s="65">
        <f>148460</f>
        <v>148460</v>
      </c>
      <c r="X145" s="69">
        <f>20</f>
        <v>20</v>
      </c>
    </row>
    <row r="146" spans="1:24">
      <c r="A146" s="60" t="s">
        <v>926</v>
      </c>
      <c r="B146" s="60" t="s">
        <v>486</v>
      </c>
      <c r="C146" s="60" t="s">
        <v>487</v>
      </c>
      <c r="D146" s="60" t="s">
        <v>488</v>
      </c>
      <c r="E146" s="61" t="s">
        <v>46</v>
      </c>
      <c r="F146" s="62" t="s">
        <v>46</v>
      </c>
      <c r="G146" s="63" t="s">
        <v>46</v>
      </c>
      <c r="H146" s="64"/>
      <c r="I146" s="64" t="s">
        <v>47</v>
      </c>
      <c r="J146" s="65">
        <v>1</v>
      </c>
      <c r="K146" s="66">
        <f>6200</f>
        <v>6200</v>
      </c>
      <c r="L146" s="67" t="s">
        <v>853</v>
      </c>
      <c r="M146" s="66">
        <f>6220</f>
        <v>6220</v>
      </c>
      <c r="N146" s="67" t="s">
        <v>853</v>
      </c>
      <c r="O146" s="66">
        <f>5820</f>
        <v>5820</v>
      </c>
      <c r="P146" s="67" t="s">
        <v>873</v>
      </c>
      <c r="Q146" s="66">
        <f>5830</f>
        <v>5830</v>
      </c>
      <c r="R146" s="67" t="s">
        <v>873</v>
      </c>
      <c r="S146" s="68">
        <f>6018</f>
        <v>6018</v>
      </c>
      <c r="T146" s="65">
        <f>10491</f>
        <v>10491</v>
      </c>
      <c r="U146" s="65">
        <f>5</f>
        <v>5</v>
      </c>
      <c r="V146" s="65">
        <f>62993040</f>
        <v>62993040</v>
      </c>
      <c r="W146" s="65">
        <f>30370</f>
        <v>30370</v>
      </c>
      <c r="X146" s="69">
        <f>20</f>
        <v>20</v>
      </c>
    </row>
    <row r="147" spans="1:24">
      <c r="A147" s="60" t="s">
        <v>926</v>
      </c>
      <c r="B147" s="60" t="s">
        <v>489</v>
      </c>
      <c r="C147" s="60" t="s">
        <v>490</v>
      </c>
      <c r="D147" s="60" t="s">
        <v>491</v>
      </c>
      <c r="E147" s="61" t="s">
        <v>46</v>
      </c>
      <c r="F147" s="62" t="s">
        <v>46</v>
      </c>
      <c r="G147" s="63" t="s">
        <v>46</v>
      </c>
      <c r="H147" s="64"/>
      <c r="I147" s="64" t="s">
        <v>47</v>
      </c>
      <c r="J147" s="65">
        <v>1</v>
      </c>
      <c r="K147" s="66">
        <f>15510</f>
        <v>15510</v>
      </c>
      <c r="L147" s="67" t="s">
        <v>853</v>
      </c>
      <c r="M147" s="66">
        <f>15930</f>
        <v>15930</v>
      </c>
      <c r="N147" s="67" t="s">
        <v>77</v>
      </c>
      <c r="O147" s="66">
        <f>14350</f>
        <v>14350</v>
      </c>
      <c r="P147" s="67" t="s">
        <v>371</v>
      </c>
      <c r="Q147" s="66">
        <f>14590</f>
        <v>14590</v>
      </c>
      <c r="R147" s="67" t="s">
        <v>873</v>
      </c>
      <c r="S147" s="68">
        <f>15187</f>
        <v>15187</v>
      </c>
      <c r="T147" s="65">
        <f>32316</f>
        <v>32316</v>
      </c>
      <c r="U147" s="65">
        <f>25</f>
        <v>25</v>
      </c>
      <c r="V147" s="65">
        <f>490105125</f>
        <v>490105125</v>
      </c>
      <c r="W147" s="65">
        <f>383875</f>
        <v>383875</v>
      </c>
      <c r="X147" s="69">
        <f>20</f>
        <v>20</v>
      </c>
    </row>
    <row r="148" spans="1:24">
      <c r="A148" s="60" t="s">
        <v>926</v>
      </c>
      <c r="B148" s="60" t="s">
        <v>492</v>
      </c>
      <c r="C148" s="60" t="s">
        <v>493</v>
      </c>
      <c r="D148" s="60" t="s">
        <v>494</v>
      </c>
      <c r="E148" s="61" t="s">
        <v>46</v>
      </c>
      <c r="F148" s="62" t="s">
        <v>46</v>
      </c>
      <c r="G148" s="63" t="s">
        <v>46</v>
      </c>
      <c r="H148" s="64"/>
      <c r="I148" s="64" t="s">
        <v>47</v>
      </c>
      <c r="J148" s="65">
        <v>1</v>
      </c>
      <c r="K148" s="66">
        <f>39600</f>
        <v>39600</v>
      </c>
      <c r="L148" s="67" t="s">
        <v>853</v>
      </c>
      <c r="M148" s="66">
        <f>40850</f>
        <v>40850</v>
      </c>
      <c r="N148" s="67" t="s">
        <v>92</v>
      </c>
      <c r="O148" s="66">
        <f>37200</f>
        <v>37200</v>
      </c>
      <c r="P148" s="67" t="s">
        <v>371</v>
      </c>
      <c r="Q148" s="66">
        <f>37750</f>
        <v>37750</v>
      </c>
      <c r="R148" s="67" t="s">
        <v>873</v>
      </c>
      <c r="S148" s="68">
        <f>38895</f>
        <v>38895</v>
      </c>
      <c r="T148" s="65">
        <f>4334</f>
        <v>4334</v>
      </c>
      <c r="U148" s="65">
        <f>7</f>
        <v>7</v>
      </c>
      <c r="V148" s="65">
        <f>169337500</f>
        <v>169337500</v>
      </c>
      <c r="W148" s="65">
        <f>272650</f>
        <v>272650</v>
      </c>
      <c r="X148" s="69">
        <f>20</f>
        <v>20</v>
      </c>
    </row>
    <row r="149" spans="1:24">
      <c r="A149" s="60" t="s">
        <v>926</v>
      </c>
      <c r="B149" s="60" t="s">
        <v>495</v>
      </c>
      <c r="C149" s="60" t="s">
        <v>496</v>
      </c>
      <c r="D149" s="60" t="s">
        <v>497</v>
      </c>
      <c r="E149" s="61" t="s">
        <v>46</v>
      </c>
      <c r="F149" s="62" t="s">
        <v>46</v>
      </c>
      <c r="G149" s="63" t="s">
        <v>46</v>
      </c>
      <c r="H149" s="64"/>
      <c r="I149" s="64" t="s">
        <v>47</v>
      </c>
      <c r="J149" s="65">
        <v>1</v>
      </c>
      <c r="K149" s="66">
        <f>23930</f>
        <v>23930</v>
      </c>
      <c r="L149" s="67" t="s">
        <v>853</v>
      </c>
      <c r="M149" s="66">
        <f>23930</f>
        <v>23930</v>
      </c>
      <c r="N149" s="67" t="s">
        <v>853</v>
      </c>
      <c r="O149" s="66">
        <f>22710</f>
        <v>22710</v>
      </c>
      <c r="P149" s="67" t="s">
        <v>371</v>
      </c>
      <c r="Q149" s="66">
        <f>22870</f>
        <v>22870</v>
      </c>
      <c r="R149" s="67" t="s">
        <v>873</v>
      </c>
      <c r="S149" s="68">
        <f>23268</f>
        <v>23268</v>
      </c>
      <c r="T149" s="65">
        <f>194</f>
        <v>194</v>
      </c>
      <c r="U149" s="65">
        <f>4</f>
        <v>4</v>
      </c>
      <c r="V149" s="65">
        <f>4510910</f>
        <v>4510910</v>
      </c>
      <c r="W149" s="65">
        <f>93180</f>
        <v>93180</v>
      </c>
      <c r="X149" s="69">
        <f>20</f>
        <v>20</v>
      </c>
    </row>
    <row r="150" spans="1:24">
      <c r="A150" s="60" t="s">
        <v>926</v>
      </c>
      <c r="B150" s="60" t="s">
        <v>498</v>
      </c>
      <c r="C150" s="60" t="s">
        <v>499</v>
      </c>
      <c r="D150" s="60" t="s">
        <v>500</v>
      </c>
      <c r="E150" s="61" t="s">
        <v>46</v>
      </c>
      <c r="F150" s="62" t="s">
        <v>46</v>
      </c>
      <c r="G150" s="63" t="s">
        <v>46</v>
      </c>
      <c r="H150" s="64"/>
      <c r="I150" s="64" t="s">
        <v>47</v>
      </c>
      <c r="J150" s="65">
        <v>1</v>
      </c>
      <c r="K150" s="66">
        <f>7830</f>
        <v>7830</v>
      </c>
      <c r="L150" s="67" t="s">
        <v>853</v>
      </c>
      <c r="M150" s="66">
        <f>7950</f>
        <v>7950</v>
      </c>
      <c r="N150" s="67" t="s">
        <v>84</v>
      </c>
      <c r="O150" s="66">
        <f>7260</f>
        <v>7260</v>
      </c>
      <c r="P150" s="67" t="s">
        <v>371</v>
      </c>
      <c r="Q150" s="66">
        <f>7370</f>
        <v>7370</v>
      </c>
      <c r="R150" s="67" t="s">
        <v>873</v>
      </c>
      <c r="S150" s="68">
        <f>7562</f>
        <v>7562</v>
      </c>
      <c r="T150" s="65">
        <f>84562</f>
        <v>84562</v>
      </c>
      <c r="U150" s="65" t="str">
        <f>"－"</f>
        <v>－</v>
      </c>
      <c r="V150" s="65">
        <f>646080740</f>
        <v>646080740</v>
      </c>
      <c r="W150" s="65" t="str">
        <f>"－"</f>
        <v>－</v>
      </c>
      <c r="X150" s="69">
        <f>20</f>
        <v>20</v>
      </c>
    </row>
    <row r="151" spans="1:24">
      <c r="A151" s="60" t="s">
        <v>926</v>
      </c>
      <c r="B151" s="60" t="s">
        <v>501</v>
      </c>
      <c r="C151" s="60" t="s">
        <v>502</v>
      </c>
      <c r="D151" s="60" t="s">
        <v>503</v>
      </c>
      <c r="E151" s="61" t="s">
        <v>46</v>
      </c>
      <c r="F151" s="62" t="s">
        <v>46</v>
      </c>
      <c r="G151" s="63" t="s">
        <v>46</v>
      </c>
      <c r="H151" s="64"/>
      <c r="I151" s="64" t="s">
        <v>47</v>
      </c>
      <c r="J151" s="65">
        <v>1</v>
      </c>
      <c r="K151" s="66">
        <f>12990</f>
        <v>12990</v>
      </c>
      <c r="L151" s="67" t="s">
        <v>853</v>
      </c>
      <c r="M151" s="66">
        <f>13230</f>
        <v>13230</v>
      </c>
      <c r="N151" s="67" t="s">
        <v>92</v>
      </c>
      <c r="O151" s="66">
        <f>12310</f>
        <v>12310</v>
      </c>
      <c r="P151" s="67" t="s">
        <v>371</v>
      </c>
      <c r="Q151" s="66">
        <f>12600</f>
        <v>12600</v>
      </c>
      <c r="R151" s="67" t="s">
        <v>873</v>
      </c>
      <c r="S151" s="68">
        <f>12787.5</f>
        <v>12787.5</v>
      </c>
      <c r="T151" s="65">
        <f>3001</f>
        <v>3001</v>
      </c>
      <c r="U151" s="65">
        <f>8</f>
        <v>8</v>
      </c>
      <c r="V151" s="65">
        <f>38479710</f>
        <v>38479710</v>
      </c>
      <c r="W151" s="65">
        <f>103380</f>
        <v>103380</v>
      </c>
      <c r="X151" s="69">
        <f>20</f>
        <v>20</v>
      </c>
    </row>
    <row r="152" spans="1:24">
      <c r="A152" s="60" t="s">
        <v>926</v>
      </c>
      <c r="B152" s="60" t="s">
        <v>504</v>
      </c>
      <c r="C152" s="60" t="s">
        <v>505</v>
      </c>
      <c r="D152" s="60" t="s">
        <v>506</v>
      </c>
      <c r="E152" s="61" t="s">
        <v>46</v>
      </c>
      <c r="F152" s="62" t="s">
        <v>46</v>
      </c>
      <c r="G152" s="63" t="s">
        <v>46</v>
      </c>
      <c r="H152" s="64"/>
      <c r="I152" s="64" t="s">
        <v>47</v>
      </c>
      <c r="J152" s="65">
        <v>1</v>
      </c>
      <c r="K152" s="66">
        <f>30000</f>
        <v>30000</v>
      </c>
      <c r="L152" s="67" t="s">
        <v>853</v>
      </c>
      <c r="M152" s="66">
        <f>31000</f>
        <v>31000</v>
      </c>
      <c r="N152" s="67" t="s">
        <v>92</v>
      </c>
      <c r="O152" s="66">
        <f>28100</f>
        <v>28100</v>
      </c>
      <c r="P152" s="67" t="s">
        <v>371</v>
      </c>
      <c r="Q152" s="66">
        <f>28470</f>
        <v>28470</v>
      </c>
      <c r="R152" s="67" t="s">
        <v>873</v>
      </c>
      <c r="S152" s="68">
        <f>29535.26</f>
        <v>29535.26</v>
      </c>
      <c r="T152" s="65">
        <f>1970</f>
        <v>1970</v>
      </c>
      <c r="U152" s="65">
        <f>2</f>
        <v>2</v>
      </c>
      <c r="V152" s="65">
        <f>58449700</f>
        <v>58449700</v>
      </c>
      <c r="W152" s="65">
        <f>59110</f>
        <v>59110</v>
      </c>
      <c r="X152" s="69">
        <f>19</f>
        <v>19</v>
      </c>
    </row>
    <row r="153" spans="1:24">
      <c r="A153" s="60" t="s">
        <v>926</v>
      </c>
      <c r="B153" s="60" t="s">
        <v>507</v>
      </c>
      <c r="C153" s="60" t="s">
        <v>508</v>
      </c>
      <c r="D153" s="60" t="s">
        <v>509</v>
      </c>
      <c r="E153" s="61" t="s">
        <v>46</v>
      </c>
      <c r="F153" s="62" t="s">
        <v>46</v>
      </c>
      <c r="G153" s="63" t="s">
        <v>46</v>
      </c>
      <c r="H153" s="64"/>
      <c r="I153" s="64" t="s">
        <v>47</v>
      </c>
      <c r="J153" s="65">
        <v>10</v>
      </c>
      <c r="K153" s="66">
        <f>1080</f>
        <v>1080</v>
      </c>
      <c r="L153" s="67" t="s">
        <v>853</v>
      </c>
      <c r="M153" s="66">
        <f>1099</f>
        <v>1099</v>
      </c>
      <c r="N153" s="67" t="s">
        <v>172</v>
      </c>
      <c r="O153" s="66">
        <f>1043</f>
        <v>1043</v>
      </c>
      <c r="P153" s="67" t="s">
        <v>859</v>
      </c>
      <c r="Q153" s="66">
        <f>1057</f>
        <v>1057</v>
      </c>
      <c r="R153" s="67" t="s">
        <v>873</v>
      </c>
      <c r="S153" s="68">
        <f>1070.65</f>
        <v>1070.6500000000001</v>
      </c>
      <c r="T153" s="65">
        <f>122450</f>
        <v>122450</v>
      </c>
      <c r="U153" s="65">
        <f>20</f>
        <v>20</v>
      </c>
      <c r="V153" s="65">
        <f>131075150</f>
        <v>131075150</v>
      </c>
      <c r="W153" s="65">
        <f>21640</f>
        <v>21640</v>
      </c>
      <c r="X153" s="69">
        <f>20</f>
        <v>20</v>
      </c>
    </row>
    <row r="154" spans="1:24">
      <c r="A154" s="60" t="s">
        <v>926</v>
      </c>
      <c r="B154" s="60" t="s">
        <v>510</v>
      </c>
      <c r="C154" s="60" t="s">
        <v>511</v>
      </c>
      <c r="D154" s="60" t="s">
        <v>512</v>
      </c>
      <c r="E154" s="61" t="s">
        <v>46</v>
      </c>
      <c r="F154" s="62" t="s">
        <v>46</v>
      </c>
      <c r="G154" s="63" t="s">
        <v>46</v>
      </c>
      <c r="H154" s="64"/>
      <c r="I154" s="64" t="s">
        <v>47</v>
      </c>
      <c r="J154" s="65">
        <v>10</v>
      </c>
      <c r="K154" s="66">
        <f>2396</f>
        <v>2396</v>
      </c>
      <c r="L154" s="67" t="s">
        <v>172</v>
      </c>
      <c r="M154" s="66">
        <f>2408</f>
        <v>2408</v>
      </c>
      <c r="N154" s="67" t="s">
        <v>92</v>
      </c>
      <c r="O154" s="66">
        <f>2307</f>
        <v>2307</v>
      </c>
      <c r="P154" s="67" t="s">
        <v>859</v>
      </c>
      <c r="Q154" s="66">
        <f>2351</f>
        <v>2351</v>
      </c>
      <c r="R154" s="67" t="s">
        <v>88</v>
      </c>
      <c r="S154" s="68">
        <f>2368.13</f>
        <v>2368.13</v>
      </c>
      <c r="T154" s="65">
        <f>8010</f>
        <v>8010</v>
      </c>
      <c r="U154" s="65">
        <f>20</f>
        <v>20</v>
      </c>
      <c r="V154" s="65">
        <f>18789520</f>
        <v>18789520</v>
      </c>
      <c r="W154" s="65">
        <f>47590</f>
        <v>47590</v>
      </c>
      <c r="X154" s="69">
        <f>8</f>
        <v>8</v>
      </c>
    </row>
    <row r="155" spans="1:24">
      <c r="A155" s="60" t="s">
        <v>926</v>
      </c>
      <c r="B155" s="60" t="s">
        <v>513</v>
      </c>
      <c r="C155" s="60" t="s">
        <v>514</v>
      </c>
      <c r="D155" s="60" t="s">
        <v>515</v>
      </c>
      <c r="E155" s="61" t="s">
        <v>46</v>
      </c>
      <c r="F155" s="62" t="s">
        <v>46</v>
      </c>
      <c r="G155" s="63" t="s">
        <v>46</v>
      </c>
      <c r="H155" s="64"/>
      <c r="I155" s="64" t="s">
        <v>47</v>
      </c>
      <c r="J155" s="65">
        <v>10</v>
      </c>
      <c r="K155" s="66">
        <f>2481</f>
        <v>2481</v>
      </c>
      <c r="L155" s="67" t="s">
        <v>853</v>
      </c>
      <c r="M155" s="66">
        <f>2499</f>
        <v>2499</v>
      </c>
      <c r="N155" s="67" t="s">
        <v>77</v>
      </c>
      <c r="O155" s="66">
        <f>2385</f>
        <v>2385</v>
      </c>
      <c r="P155" s="67" t="s">
        <v>371</v>
      </c>
      <c r="Q155" s="66">
        <f>2410</f>
        <v>2410</v>
      </c>
      <c r="R155" s="67" t="s">
        <v>873</v>
      </c>
      <c r="S155" s="68">
        <f>2450.68</f>
        <v>2450.6799999999998</v>
      </c>
      <c r="T155" s="65">
        <f>65030</f>
        <v>65030</v>
      </c>
      <c r="U155" s="65">
        <f>52520</f>
        <v>52520</v>
      </c>
      <c r="V155" s="65">
        <f>157776795</f>
        <v>157776795</v>
      </c>
      <c r="W155" s="65">
        <f>127155525</f>
        <v>127155525</v>
      </c>
      <c r="X155" s="69">
        <f>19</f>
        <v>19</v>
      </c>
    </row>
    <row r="156" spans="1:24">
      <c r="A156" s="60" t="s">
        <v>926</v>
      </c>
      <c r="B156" s="60" t="s">
        <v>516</v>
      </c>
      <c r="C156" s="60" t="s">
        <v>517</v>
      </c>
      <c r="D156" s="60" t="s">
        <v>518</v>
      </c>
      <c r="E156" s="61" t="s">
        <v>46</v>
      </c>
      <c r="F156" s="62" t="s">
        <v>46</v>
      </c>
      <c r="G156" s="63" t="s">
        <v>46</v>
      </c>
      <c r="H156" s="64"/>
      <c r="I156" s="64" t="s">
        <v>47</v>
      </c>
      <c r="J156" s="65">
        <v>10</v>
      </c>
      <c r="K156" s="66">
        <f>1505</f>
        <v>1505</v>
      </c>
      <c r="L156" s="67" t="s">
        <v>853</v>
      </c>
      <c r="M156" s="66">
        <f>1515</f>
        <v>1515</v>
      </c>
      <c r="N156" s="67" t="s">
        <v>92</v>
      </c>
      <c r="O156" s="66">
        <f>1447</f>
        <v>1447</v>
      </c>
      <c r="P156" s="67" t="s">
        <v>859</v>
      </c>
      <c r="Q156" s="66">
        <f>1474</f>
        <v>1474</v>
      </c>
      <c r="R156" s="67" t="s">
        <v>88</v>
      </c>
      <c r="S156" s="68">
        <f>1485.5</f>
        <v>1485.5</v>
      </c>
      <c r="T156" s="65">
        <f>7870</f>
        <v>7870</v>
      </c>
      <c r="U156" s="65">
        <f>20</f>
        <v>20</v>
      </c>
      <c r="V156" s="65">
        <f>11658480</f>
        <v>11658480</v>
      </c>
      <c r="W156" s="65">
        <f>29670</f>
        <v>29670</v>
      </c>
      <c r="X156" s="69">
        <f>12</f>
        <v>12</v>
      </c>
    </row>
    <row r="157" spans="1:24">
      <c r="A157" s="60" t="s">
        <v>926</v>
      </c>
      <c r="B157" s="60" t="s">
        <v>519</v>
      </c>
      <c r="C157" s="60" t="s">
        <v>520</v>
      </c>
      <c r="D157" s="60" t="s">
        <v>521</v>
      </c>
      <c r="E157" s="61" t="s">
        <v>46</v>
      </c>
      <c r="F157" s="62" t="s">
        <v>46</v>
      </c>
      <c r="G157" s="63" t="s">
        <v>46</v>
      </c>
      <c r="H157" s="64"/>
      <c r="I157" s="64" t="s">
        <v>47</v>
      </c>
      <c r="J157" s="65">
        <v>1</v>
      </c>
      <c r="K157" s="66">
        <f>3430</f>
        <v>3430</v>
      </c>
      <c r="L157" s="67" t="s">
        <v>853</v>
      </c>
      <c r="M157" s="66">
        <f>3500</f>
        <v>3500</v>
      </c>
      <c r="N157" s="67" t="s">
        <v>240</v>
      </c>
      <c r="O157" s="66">
        <f>3345</f>
        <v>3345</v>
      </c>
      <c r="P157" s="67" t="s">
        <v>371</v>
      </c>
      <c r="Q157" s="66">
        <f>3445</f>
        <v>3445</v>
      </c>
      <c r="R157" s="67" t="s">
        <v>873</v>
      </c>
      <c r="S157" s="68">
        <f>3445.5</f>
        <v>3445.5</v>
      </c>
      <c r="T157" s="65">
        <f>4608592</f>
        <v>4608592</v>
      </c>
      <c r="U157" s="65">
        <f>165403</f>
        <v>165403</v>
      </c>
      <c r="V157" s="65">
        <f>15858175290</f>
        <v>15858175290</v>
      </c>
      <c r="W157" s="65">
        <f>565018140</f>
        <v>565018140</v>
      </c>
      <c r="X157" s="69">
        <f>20</f>
        <v>20</v>
      </c>
    </row>
    <row r="158" spans="1:24">
      <c r="A158" s="60" t="s">
        <v>926</v>
      </c>
      <c r="B158" s="60" t="s">
        <v>522</v>
      </c>
      <c r="C158" s="60" t="s">
        <v>523</v>
      </c>
      <c r="D158" s="60" t="s">
        <v>524</v>
      </c>
      <c r="E158" s="61" t="s">
        <v>46</v>
      </c>
      <c r="F158" s="62" t="s">
        <v>46</v>
      </c>
      <c r="G158" s="63" t="s">
        <v>46</v>
      </c>
      <c r="H158" s="64"/>
      <c r="I158" s="64" t="s">
        <v>47</v>
      </c>
      <c r="J158" s="65">
        <v>1</v>
      </c>
      <c r="K158" s="66">
        <f>2646</f>
        <v>2646</v>
      </c>
      <c r="L158" s="67" t="s">
        <v>853</v>
      </c>
      <c r="M158" s="66">
        <f>2670</f>
        <v>2670</v>
      </c>
      <c r="N158" s="67" t="s">
        <v>240</v>
      </c>
      <c r="O158" s="66">
        <f>2637</f>
        <v>2637</v>
      </c>
      <c r="P158" s="67" t="s">
        <v>69</v>
      </c>
      <c r="Q158" s="66">
        <f>2654</f>
        <v>2654</v>
      </c>
      <c r="R158" s="67" t="s">
        <v>873</v>
      </c>
      <c r="S158" s="68">
        <f>2653.55</f>
        <v>2653.55</v>
      </c>
      <c r="T158" s="65">
        <f>493654</f>
        <v>493654</v>
      </c>
      <c r="U158" s="65">
        <f>340205</f>
        <v>340205</v>
      </c>
      <c r="V158" s="65">
        <f>1311314895</f>
        <v>1311314895</v>
      </c>
      <c r="W158" s="65">
        <f>903783286</f>
        <v>903783286</v>
      </c>
      <c r="X158" s="69">
        <f>20</f>
        <v>20</v>
      </c>
    </row>
    <row r="159" spans="1:24">
      <c r="A159" s="60" t="s">
        <v>926</v>
      </c>
      <c r="B159" s="60" t="s">
        <v>525</v>
      </c>
      <c r="C159" s="60" t="s">
        <v>526</v>
      </c>
      <c r="D159" s="60" t="s">
        <v>527</v>
      </c>
      <c r="E159" s="61" t="s">
        <v>46</v>
      </c>
      <c r="F159" s="62" t="s">
        <v>46</v>
      </c>
      <c r="G159" s="63" t="s">
        <v>46</v>
      </c>
      <c r="H159" s="64"/>
      <c r="I159" s="64" t="s">
        <v>47</v>
      </c>
      <c r="J159" s="65">
        <v>1</v>
      </c>
      <c r="K159" s="66">
        <f>3085</f>
        <v>3085</v>
      </c>
      <c r="L159" s="67" t="s">
        <v>853</v>
      </c>
      <c r="M159" s="66">
        <f>3120</f>
        <v>3120</v>
      </c>
      <c r="N159" s="67" t="s">
        <v>73</v>
      </c>
      <c r="O159" s="66">
        <f>2983</f>
        <v>2983</v>
      </c>
      <c r="P159" s="67" t="s">
        <v>371</v>
      </c>
      <c r="Q159" s="66">
        <f>3080</f>
        <v>3080</v>
      </c>
      <c r="R159" s="67" t="s">
        <v>873</v>
      </c>
      <c r="S159" s="68">
        <f>3075.4</f>
        <v>3075.4</v>
      </c>
      <c r="T159" s="65">
        <f>68726</f>
        <v>68726</v>
      </c>
      <c r="U159" s="65">
        <f>1613</f>
        <v>1613</v>
      </c>
      <c r="V159" s="65">
        <f>211394066</f>
        <v>211394066</v>
      </c>
      <c r="W159" s="65">
        <f>5015506</f>
        <v>5015506</v>
      </c>
      <c r="X159" s="69">
        <f>20</f>
        <v>20</v>
      </c>
    </row>
    <row r="160" spans="1:24">
      <c r="A160" s="60" t="s">
        <v>926</v>
      </c>
      <c r="B160" s="60" t="s">
        <v>528</v>
      </c>
      <c r="C160" s="60" t="s">
        <v>529</v>
      </c>
      <c r="D160" s="60" t="s">
        <v>530</v>
      </c>
      <c r="E160" s="61" t="s">
        <v>46</v>
      </c>
      <c r="F160" s="62" t="s">
        <v>46</v>
      </c>
      <c r="G160" s="63" t="s">
        <v>46</v>
      </c>
      <c r="H160" s="64"/>
      <c r="I160" s="64" t="s">
        <v>47</v>
      </c>
      <c r="J160" s="65">
        <v>1</v>
      </c>
      <c r="K160" s="66">
        <f>2509</f>
        <v>2509</v>
      </c>
      <c r="L160" s="67" t="s">
        <v>853</v>
      </c>
      <c r="M160" s="66">
        <f>2512</f>
        <v>2512</v>
      </c>
      <c r="N160" s="67" t="s">
        <v>853</v>
      </c>
      <c r="O160" s="66">
        <f>2260</f>
        <v>2260</v>
      </c>
      <c r="P160" s="67" t="s">
        <v>88</v>
      </c>
      <c r="Q160" s="66">
        <f>2318</f>
        <v>2318</v>
      </c>
      <c r="R160" s="67" t="s">
        <v>873</v>
      </c>
      <c r="S160" s="68">
        <f>2401.7</f>
        <v>2401.6999999999998</v>
      </c>
      <c r="T160" s="65">
        <f>156167</f>
        <v>156167</v>
      </c>
      <c r="U160" s="65" t="str">
        <f>"－"</f>
        <v>－</v>
      </c>
      <c r="V160" s="65">
        <f>369038572</f>
        <v>369038572</v>
      </c>
      <c r="W160" s="65" t="str">
        <f>"－"</f>
        <v>－</v>
      </c>
      <c r="X160" s="69">
        <f>20</f>
        <v>20</v>
      </c>
    </row>
    <row r="161" spans="1:24">
      <c r="A161" s="60" t="s">
        <v>926</v>
      </c>
      <c r="B161" s="60" t="s">
        <v>531</v>
      </c>
      <c r="C161" s="60" t="s">
        <v>532</v>
      </c>
      <c r="D161" s="60" t="s">
        <v>533</v>
      </c>
      <c r="E161" s="61" t="s">
        <v>46</v>
      </c>
      <c r="F161" s="62" t="s">
        <v>46</v>
      </c>
      <c r="G161" s="63" t="s">
        <v>46</v>
      </c>
      <c r="H161" s="64"/>
      <c r="I161" s="64" t="s">
        <v>47</v>
      </c>
      <c r="J161" s="65">
        <v>1</v>
      </c>
      <c r="K161" s="66">
        <f>2434</f>
        <v>2434</v>
      </c>
      <c r="L161" s="67" t="s">
        <v>853</v>
      </c>
      <c r="M161" s="66">
        <f>2527</f>
        <v>2527</v>
      </c>
      <c r="N161" s="67" t="s">
        <v>88</v>
      </c>
      <c r="O161" s="66">
        <f>2423</f>
        <v>2423</v>
      </c>
      <c r="P161" s="67" t="s">
        <v>371</v>
      </c>
      <c r="Q161" s="66">
        <f>2498</f>
        <v>2498</v>
      </c>
      <c r="R161" s="67" t="s">
        <v>873</v>
      </c>
      <c r="S161" s="68">
        <f>2475.9</f>
        <v>2475.9</v>
      </c>
      <c r="T161" s="65">
        <f>514988</f>
        <v>514988</v>
      </c>
      <c r="U161" s="65">
        <f>96505</f>
        <v>96505</v>
      </c>
      <c r="V161" s="65">
        <f>1274321697</f>
        <v>1274321697</v>
      </c>
      <c r="W161" s="65">
        <f>240385746</f>
        <v>240385746</v>
      </c>
      <c r="X161" s="69">
        <f>20</f>
        <v>20</v>
      </c>
    </row>
    <row r="162" spans="1:24">
      <c r="A162" s="60" t="s">
        <v>926</v>
      </c>
      <c r="B162" s="60" t="s">
        <v>534</v>
      </c>
      <c r="C162" s="60" t="s">
        <v>535</v>
      </c>
      <c r="D162" s="60" t="s">
        <v>536</v>
      </c>
      <c r="E162" s="61" t="s">
        <v>46</v>
      </c>
      <c r="F162" s="62" t="s">
        <v>46</v>
      </c>
      <c r="G162" s="63" t="s">
        <v>46</v>
      </c>
      <c r="H162" s="64"/>
      <c r="I162" s="64" t="s">
        <v>47</v>
      </c>
      <c r="J162" s="65">
        <v>1</v>
      </c>
      <c r="K162" s="66">
        <f>12480</f>
        <v>12480</v>
      </c>
      <c r="L162" s="67" t="s">
        <v>853</v>
      </c>
      <c r="M162" s="66">
        <f>12670</f>
        <v>12670</v>
      </c>
      <c r="N162" s="67" t="s">
        <v>77</v>
      </c>
      <c r="O162" s="66">
        <f>12090</f>
        <v>12090</v>
      </c>
      <c r="P162" s="67" t="s">
        <v>371</v>
      </c>
      <c r="Q162" s="66">
        <f>12320</f>
        <v>12320</v>
      </c>
      <c r="R162" s="67" t="s">
        <v>873</v>
      </c>
      <c r="S162" s="68">
        <f>12371</f>
        <v>12371</v>
      </c>
      <c r="T162" s="65">
        <f>33262</f>
        <v>33262</v>
      </c>
      <c r="U162" s="65">
        <f>10492</f>
        <v>10492</v>
      </c>
      <c r="V162" s="65">
        <f>412705020</f>
        <v>412705020</v>
      </c>
      <c r="W162" s="65">
        <f>130344950</f>
        <v>130344950</v>
      </c>
      <c r="X162" s="69">
        <f>20</f>
        <v>20</v>
      </c>
    </row>
    <row r="163" spans="1:24">
      <c r="A163" s="60" t="s">
        <v>926</v>
      </c>
      <c r="B163" s="60" t="s">
        <v>541</v>
      </c>
      <c r="C163" s="60" t="s">
        <v>542</v>
      </c>
      <c r="D163" s="60" t="s">
        <v>543</v>
      </c>
      <c r="E163" s="61" t="s">
        <v>46</v>
      </c>
      <c r="F163" s="62" t="s">
        <v>46</v>
      </c>
      <c r="G163" s="63" t="s">
        <v>46</v>
      </c>
      <c r="H163" s="64"/>
      <c r="I163" s="64" t="s">
        <v>47</v>
      </c>
      <c r="J163" s="65">
        <v>1</v>
      </c>
      <c r="K163" s="66">
        <f>1570</f>
        <v>1570</v>
      </c>
      <c r="L163" s="67" t="s">
        <v>853</v>
      </c>
      <c r="M163" s="66">
        <f>1630</f>
        <v>1630</v>
      </c>
      <c r="N163" s="67" t="s">
        <v>77</v>
      </c>
      <c r="O163" s="66">
        <f>1410</f>
        <v>1410</v>
      </c>
      <c r="P163" s="67" t="s">
        <v>371</v>
      </c>
      <c r="Q163" s="66">
        <f>1551</f>
        <v>1551</v>
      </c>
      <c r="R163" s="67" t="s">
        <v>873</v>
      </c>
      <c r="S163" s="68">
        <f>1545.8</f>
        <v>1545.8</v>
      </c>
      <c r="T163" s="65">
        <f>32128810</f>
        <v>32128810</v>
      </c>
      <c r="U163" s="65">
        <f>24954</f>
        <v>24954</v>
      </c>
      <c r="V163" s="65">
        <f>49349087304</f>
        <v>49349087304</v>
      </c>
      <c r="W163" s="65">
        <f>39299879</f>
        <v>39299879</v>
      </c>
      <c r="X163" s="69">
        <f>20</f>
        <v>20</v>
      </c>
    </row>
    <row r="164" spans="1:24">
      <c r="A164" s="60" t="s">
        <v>926</v>
      </c>
      <c r="B164" s="60" t="s">
        <v>544</v>
      </c>
      <c r="C164" s="60" t="s">
        <v>545</v>
      </c>
      <c r="D164" s="60" t="s">
        <v>546</v>
      </c>
      <c r="E164" s="61" t="s">
        <v>46</v>
      </c>
      <c r="F164" s="62" t="s">
        <v>46</v>
      </c>
      <c r="G164" s="63" t="s">
        <v>46</v>
      </c>
      <c r="H164" s="64"/>
      <c r="I164" s="64" t="s">
        <v>47</v>
      </c>
      <c r="J164" s="65">
        <v>1</v>
      </c>
      <c r="K164" s="66">
        <f>18800</f>
        <v>18800</v>
      </c>
      <c r="L164" s="67" t="s">
        <v>853</v>
      </c>
      <c r="M164" s="66">
        <f>19700</f>
        <v>19700</v>
      </c>
      <c r="N164" s="67" t="s">
        <v>96</v>
      </c>
      <c r="O164" s="66">
        <f>18470</f>
        <v>18470</v>
      </c>
      <c r="P164" s="67" t="s">
        <v>96</v>
      </c>
      <c r="Q164" s="66">
        <f>18910</f>
        <v>18910</v>
      </c>
      <c r="R164" s="67" t="s">
        <v>873</v>
      </c>
      <c r="S164" s="68">
        <f>18840</f>
        <v>18840</v>
      </c>
      <c r="T164" s="65">
        <f>3261</f>
        <v>3261</v>
      </c>
      <c r="U164" s="65">
        <f>4</f>
        <v>4</v>
      </c>
      <c r="V164" s="65">
        <f>61951990</f>
        <v>61951990</v>
      </c>
      <c r="W164" s="65">
        <f>75180</f>
        <v>75180</v>
      </c>
      <c r="X164" s="69">
        <f>20</f>
        <v>20</v>
      </c>
    </row>
    <row r="165" spans="1:24">
      <c r="A165" s="60" t="s">
        <v>926</v>
      </c>
      <c r="B165" s="60" t="s">
        <v>547</v>
      </c>
      <c r="C165" s="60" t="s">
        <v>548</v>
      </c>
      <c r="D165" s="60" t="s">
        <v>549</v>
      </c>
      <c r="E165" s="61" t="s">
        <v>46</v>
      </c>
      <c r="F165" s="62" t="s">
        <v>46</v>
      </c>
      <c r="G165" s="63" t="s">
        <v>46</v>
      </c>
      <c r="H165" s="64"/>
      <c r="I165" s="64" t="s">
        <v>47</v>
      </c>
      <c r="J165" s="65">
        <v>10</v>
      </c>
      <c r="K165" s="66">
        <f>2699</f>
        <v>2699</v>
      </c>
      <c r="L165" s="67" t="s">
        <v>853</v>
      </c>
      <c r="M165" s="66">
        <f>2755</f>
        <v>2755</v>
      </c>
      <c r="N165" s="67" t="s">
        <v>77</v>
      </c>
      <c r="O165" s="66">
        <f>2518</f>
        <v>2518</v>
      </c>
      <c r="P165" s="67" t="s">
        <v>268</v>
      </c>
      <c r="Q165" s="66">
        <f>2604</f>
        <v>2604</v>
      </c>
      <c r="R165" s="67" t="s">
        <v>873</v>
      </c>
      <c r="S165" s="68">
        <f>2653.7</f>
        <v>2653.7</v>
      </c>
      <c r="T165" s="65">
        <f>15370</f>
        <v>15370</v>
      </c>
      <c r="U165" s="65">
        <f>50</f>
        <v>50</v>
      </c>
      <c r="V165" s="65">
        <f>40870730</f>
        <v>40870730</v>
      </c>
      <c r="W165" s="65">
        <f>132210</f>
        <v>132210</v>
      </c>
      <c r="X165" s="69">
        <f>20</f>
        <v>20</v>
      </c>
    </row>
    <row r="166" spans="1:24">
      <c r="A166" s="60" t="s">
        <v>926</v>
      </c>
      <c r="B166" s="60" t="s">
        <v>550</v>
      </c>
      <c r="C166" s="60" t="s">
        <v>551</v>
      </c>
      <c r="D166" s="60" t="s">
        <v>552</v>
      </c>
      <c r="E166" s="61" t="s">
        <v>46</v>
      </c>
      <c r="F166" s="62" t="s">
        <v>46</v>
      </c>
      <c r="G166" s="63" t="s">
        <v>46</v>
      </c>
      <c r="H166" s="64"/>
      <c r="I166" s="64" t="s">
        <v>47</v>
      </c>
      <c r="J166" s="65">
        <v>1</v>
      </c>
      <c r="K166" s="66">
        <f>11050</f>
        <v>11050</v>
      </c>
      <c r="L166" s="67" t="s">
        <v>853</v>
      </c>
      <c r="M166" s="66">
        <f>11930</f>
        <v>11930</v>
      </c>
      <c r="N166" s="67" t="s">
        <v>854</v>
      </c>
      <c r="O166" s="66">
        <f>10690</f>
        <v>10690</v>
      </c>
      <c r="P166" s="67" t="s">
        <v>873</v>
      </c>
      <c r="Q166" s="66">
        <f>10740</f>
        <v>10740</v>
      </c>
      <c r="R166" s="67" t="s">
        <v>873</v>
      </c>
      <c r="S166" s="68">
        <f>11190.5</f>
        <v>11190.5</v>
      </c>
      <c r="T166" s="65">
        <f>15415</f>
        <v>15415</v>
      </c>
      <c r="U166" s="65">
        <f>7</f>
        <v>7</v>
      </c>
      <c r="V166" s="65">
        <f>173970430</f>
        <v>173970430</v>
      </c>
      <c r="W166" s="65">
        <f>78170</f>
        <v>78170</v>
      </c>
      <c r="X166" s="69">
        <f>20</f>
        <v>20</v>
      </c>
    </row>
    <row r="167" spans="1:24">
      <c r="A167" s="60" t="s">
        <v>926</v>
      </c>
      <c r="B167" s="60" t="s">
        <v>553</v>
      </c>
      <c r="C167" s="60" t="s">
        <v>554</v>
      </c>
      <c r="D167" s="60" t="s">
        <v>555</v>
      </c>
      <c r="E167" s="61" t="s">
        <v>46</v>
      </c>
      <c r="F167" s="62" t="s">
        <v>46</v>
      </c>
      <c r="G167" s="63" t="s">
        <v>46</v>
      </c>
      <c r="H167" s="64"/>
      <c r="I167" s="64" t="s">
        <v>47</v>
      </c>
      <c r="J167" s="65">
        <v>1</v>
      </c>
      <c r="K167" s="66">
        <f>28590</f>
        <v>28590</v>
      </c>
      <c r="L167" s="67" t="s">
        <v>853</v>
      </c>
      <c r="M167" s="66">
        <f>29420</f>
        <v>29420</v>
      </c>
      <c r="N167" s="67" t="s">
        <v>96</v>
      </c>
      <c r="O167" s="66">
        <f>26500</f>
        <v>26500</v>
      </c>
      <c r="P167" s="67" t="s">
        <v>371</v>
      </c>
      <c r="Q167" s="66">
        <f>27330</f>
        <v>27330</v>
      </c>
      <c r="R167" s="67" t="s">
        <v>873</v>
      </c>
      <c r="S167" s="68">
        <f>28054.5</f>
        <v>28054.5</v>
      </c>
      <c r="T167" s="65">
        <f>582</f>
        <v>582</v>
      </c>
      <c r="U167" s="65">
        <f>6</f>
        <v>6</v>
      </c>
      <c r="V167" s="65">
        <f>16393190</f>
        <v>16393190</v>
      </c>
      <c r="W167" s="65">
        <f>169120</f>
        <v>169120</v>
      </c>
      <c r="X167" s="69">
        <f>20</f>
        <v>20</v>
      </c>
    </row>
    <row r="168" spans="1:24">
      <c r="A168" s="60" t="s">
        <v>926</v>
      </c>
      <c r="B168" s="60" t="s">
        <v>556</v>
      </c>
      <c r="C168" s="60" t="s">
        <v>557</v>
      </c>
      <c r="D168" s="60" t="s">
        <v>558</v>
      </c>
      <c r="E168" s="61" t="s">
        <v>46</v>
      </c>
      <c r="F168" s="62" t="s">
        <v>46</v>
      </c>
      <c r="G168" s="63" t="s">
        <v>46</v>
      </c>
      <c r="H168" s="64"/>
      <c r="I168" s="64" t="s">
        <v>47</v>
      </c>
      <c r="J168" s="65">
        <v>1</v>
      </c>
      <c r="K168" s="66">
        <f>17690</f>
        <v>17690</v>
      </c>
      <c r="L168" s="67" t="s">
        <v>853</v>
      </c>
      <c r="M168" s="66">
        <f>17960</f>
        <v>17960</v>
      </c>
      <c r="N168" s="67" t="s">
        <v>172</v>
      </c>
      <c r="O168" s="66">
        <f>16620</f>
        <v>16620</v>
      </c>
      <c r="P168" s="67" t="s">
        <v>50</v>
      </c>
      <c r="Q168" s="66">
        <f>16780</f>
        <v>16780</v>
      </c>
      <c r="R168" s="67" t="s">
        <v>873</v>
      </c>
      <c r="S168" s="68">
        <f>17396.36</f>
        <v>17396.36</v>
      </c>
      <c r="T168" s="65">
        <f>54</f>
        <v>54</v>
      </c>
      <c r="U168" s="65">
        <f>1</f>
        <v>1</v>
      </c>
      <c r="V168" s="65">
        <f>935420</f>
        <v>935420</v>
      </c>
      <c r="W168" s="65">
        <f>17960</f>
        <v>17960</v>
      </c>
      <c r="X168" s="69">
        <f>11</f>
        <v>11</v>
      </c>
    </row>
    <row r="169" spans="1:24">
      <c r="A169" s="60" t="s">
        <v>926</v>
      </c>
      <c r="B169" s="60" t="s">
        <v>559</v>
      </c>
      <c r="C169" s="60" t="s">
        <v>560</v>
      </c>
      <c r="D169" s="60" t="s">
        <v>561</v>
      </c>
      <c r="E169" s="61" t="s">
        <v>46</v>
      </c>
      <c r="F169" s="62" t="s">
        <v>46</v>
      </c>
      <c r="G169" s="63" t="s">
        <v>46</v>
      </c>
      <c r="H169" s="64"/>
      <c r="I169" s="64" t="s">
        <v>47</v>
      </c>
      <c r="J169" s="65">
        <v>10</v>
      </c>
      <c r="K169" s="66">
        <f>52000</f>
        <v>52000</v>
      </c>
      <c r="L169" s="67" t="s">
        <v>853</v>
      </c>
      <c r="M169" s="66">
        <f>52400</f>
        <v>52400</v>
      </c>
      <c r="N169" s="67" t="s">
        <v>857</v>
      </c>
      <c r="O169" s="66">
        <f>51800</f>
        <v>51800</v>
      </c>
      <c r="P169" s="67" t="s">
        <v>859</v>
      </c>
      <c r="Q169" s="66">
        <f>52300</f>
        <v>52300</v>
      </c>
      <c r="R169" s="67" t="s">
        <v>873</v>
      </c>
      <c r="S169" s="68">
        <f>52080</f>
        <v>52080</v>
      </c>
      <c r="T169" s="65">
        <f>25730</f>
        <v>25730</v>
      </c>
      <c r="U169" s="65">
        <f>19320</f>
        <v>19320</v>
      </c>
      <c r="V169" s="65">
        <f>1337291670</f>
        <v>1337291670</v>
      </c>
      <c r="W169" s="65">
        <f>1003325670</f>
        <v>1003325670</v>
      </c>
      <c r="X169" s="69">
        <f>20</f>
        <v>20</v>
      </c>
    </row>
    <row r="170" spans="1:24">
      <c r="A170" s="60" t="s">
        <v>926</v>
      </c>
      <c r="B170" s="60" t="s">
        <v>562</v>
      </c>
      <c r="C170" s="60" t="s">
        <v>563</v>
      </c>
      <c r="D170" s="60" t="s">
        <v>564</v>
      </c>
      <c r="E170" s="61" t="s">
        <v>46</v>
      </c>
      <c r="F170" s="62" t="s">
        <v>46</v>
      </c>
      <c r="G170" s="63" t="s">
        <v>46</v>
      </c>
      <c r="H170" s="64"/>
      <c r="I170" s="64" t="s">
        <v>47</v>
      </c>
      <c r="J170" s="65">
        <v>100</v>
      </c>
      <c r="K170" s="66">
        <f>210</f>
        <v>210</v>
      </c>
      <c r="L170" s="67" t="s">
        <v>853</v>
      </c>
      <c r="M170" s="66">
        <f>211</f>
        <v>211</v>
      </c>
      <c r="N170" s="67" t="s">
        <v>77</v>
      </c>
      <c r="O170" s="66">
        <f>203</f>
        <v>203</v>
      </c>
      <c r="P170" s="67" t="s">
        <v>371</v>
      </c>
      <c r="Q170" s="66">
        <f>206</f>
        <v>206</v>
      </c>
      <c r="R170" s="67" t="s">
        <v>873</v>
      </c>
      <c r="S170" s="68">
        <f>207.15</f>
        <v>207.15</v>
      </c>
      <c r="T170" s="65">
        <f>5409400</f>
        <v>5409400</v>
      </c>
      <c r="U170" s="65">
        <f>13500</f>
        <v>13500</v>
      </c>
      <c r="V170" s="65">
        <f>1120379040</f>
        <v>1120379040</v>
      </c>
      <c r="W170" s="65">
        <f>2799540</f>
        <v>2799540</v>
      </c>
      <c r="X170" s="69">
        <f>20</f>
        <v>20</v>
      </c>
    </row>
    <row r="171" spans="1:24">
      <c r="A171" s="60" t="s">
        <v>926</v>
      </c>
      <c r="B171" s="60" t="s">
        <v>565</v>
      </c>
      <c r="C171" s="60" t="s">
        <v>566</v>
      </c>
      <c r="D171" s="60" t="s">
        <v>567</v>
      </c>
      <c r="E171" s="61" t="s">
        <v>46</v>
      </c>
      <c r="F171" s="62" t="s">
        <v>46</v>
      </c>
      <c r="G171" s="63" t="s">
        <v>46</v>
      </c>
      <c r="H171" s="64"/>
      <c r="I171" s="64" t="s">
        <v>47</v>
      </c>
      <c r="J171" s="65">
        <v>10</v>
      </c>
      <c r="K171" s="66">
        <f>33850</f>
        <v>33850</v>
      </c>
      <c r="L171" s="67" t="s">
        <v>853</v>
      </c>
      <c r="M171" s="66">
        <f>34050</f>
        <v>34050</v>
      </c>
      <c r="N171" s="67" t="s">
        <v>857</v>
      </c>
      <c r="O171" s="66">
        <f>32700</f>
        <v>32700</v>
      </c>
      <c r="P171" s="67" t="s">
        <v>371</v>
      </c>
      <c r="Q171" s="66">
        <f>33600</f>
        <v>33600</v>
      </c>
      <c r="R171" s="67" t="s">
        <v>873</v>
      </c>
      <c r="S171" s="68">
        <f>33692.5</f>
        <v>33692.5</v>
      </c>
      <c r="T171" s="65">
        <f>12420</f>
        <v>12420</v>
      </c>
      <c r="U171" s="65">
        <f>60</f>
        <v>60</v>
      </c>
      <c r="V171" s="65">
        <f>416057000</f>
        <v>416057000</v>
      </c>
      <c r="W171" s="65">
        <f>2024000</f>
        <v>2024000</v>
      </c>
      <c r="X171" s="69">
        <f>20</f>
        <v>20</v>
      </c>
    </row>
    <row r="172" spans="1:24">
      <c r="A172" s="60" t="s">
        <v>926</v>
      </c>
      <c r="B172" s="60" t="s">
        <v>568</v>
      </c>
      <c r="C172" s="60" t="s">
        <v>569</v>
      </c>
      <c r="D172" s="60" t="s">
        <v>570</v>
      </c>
      <c r="E172" s="61" t="s">
        <v>46</v>
      </c>
      <c r="F172" s="62" t="s">
        <v>46</v>
      </c>
      <c r="G172" s="63" t="s">
        <v>46</v>
      </c>
      <c r="H172" s="64"/>
      <c r="I172" s="64" t="s">
        <v>47</v>
      </c>
      <c r="J172" s="65">
        <v>10</v>
      </c>
      <c r="K172" s="66">
        <f>3555</f>
        <v>3555</v>
      </c>
      <c r="L172" s="67" t="s">
        <v>853</v>
      </c>
      <c r="M172" s="66">
        <f>3595</f>
        <v>3595</v>
      </c>
      <c r="N172" s="67" t="s">
        <v>240</v>
      </c>
      <c r="O172" s="66">
        <f>3435</f>
        <v>3435</v>
      </c>
      <c r="P172" s="67" t="s">
        <v>371</v>
      </c>
      <c r="Q172" s="66">
        <f>3550</f>
        <v>3550</v>
      </c>
      <c r="R172" s="67" t="s">
        <v>873</v>
      </c>
      <c r="S172" s="68">
        <f>3546.5</f>
        <v>3546.5</v>
      </c>
      <c r="T172" s="65">
        <f>117240</f>
        <v>117240</v>
      </c>
      <c r="U172" s="65">
        <f>280</f>
        <v>280</v>
      </c>
      <c r="V172" s="65">
        <f>415100000</f>
        <v>415100000</v>
      </c>
      <c r="W172" s="65">
        <f>1004350</f>
        <v>1004350</v>
      </c>
      <c r="X172" s="69">
        <f>20</f>
        <v>20</v>
      </c>
    </row>
    <row r="173" spans="1:24">
      <c r="A173" s="60" t="s">
        <v>926</v>
      </c>
      <c r="B173" s="60" t="s">
        <v>571</v>
      </c>
      <c r="C173" s="60" t="s">
        <v>572</v>
      </c>
      <c r="D173" s="60" t="s">
        <v>573</v>
      </c>
      <c r="E173" s="61" t="s">
        <v>46</v>
      </c>
      <c r="F173" s="62" t="s">
        <v>46</v>
      </c>
      <c r="G173" s="63" t="s">
        <v>46</v>
      </c>
      <c r="H173" s="64"/>
      <c r="I173" s="64" t="s">
        <v>47</v>
      </c>
      <c r="J173" s="65">
        <v>10</v>
      </c>
      <c r="K173" s="66">
        <f>1920</f>
        <v>1920</v>
      </c>
      <c r="L173" s="67" t="s">
        <v>853</v>
      </c>
      <c r="M173" s="66">
        <f>1925</f>
        <v>1925</v>
      </c>
      <c r="N173" s="67" t="s">
        <v>853</v>
      </c>
      <c r="O173" s="66">
        <f>1717</f>
        <v>1717</v>
      </c>
      <c r="P173" s="67" t="s">
        <v>88</v>
      </c>
      <c r="Q173" s="66">
        <f>1762</f>
        <v>1762</v>
      </c>
      <c r="R173" s="67" t="s">
        <v>873</v>
      </c>
      <c r="S173" s="68">
        <f>1831.8</f>
        <v>1831.8</v>
      </c>
      <c r="T173" s="65">
        <f>171670</f>
        <v>171670</v>
      </c>
      <c r="U173" s="65">
        <f>130</f>
        <v>130</v>
      </c>
      <c r="V173" s="65">
        <f>311972010</f>
        <v>311972010</v>
      </c>
      <c r="W173" s="65">
        <f>244200</f>
        <v>244200</v>
      </c>
      <c r="X173" s="69">
        <f>20</f>
        <v>20</v>
      </c>
    </row>
    <row r="174" spans="1:24">
      <c r="A174" s="60" t="s">
        <v>926</v>
      </c>
      <c r="B174" s="60" t="s">
        <v>574</v>
      </c>
      <c r="C174" s="60" t="s">
        <v>575</v>
      </c>
      <c r="D174" s="60" t="s">
        <v>576</v>
      </c>
      <c r="E174" s="61" t="s">
        <v>46</v>
      </c>
      <c r="F174" s="62" t="s">
        <v>46</v>
      </c>
      <c r="G174" s="63" t="s">
        <v>46</v>
      </c>
      <c r="H174" s="64"/>
      <c r="I174" s="64" t="s">
        <v>47</v>
      </c>
      <c r="J174" s="65">
        <v>100</v>
      </c>
      <c r="K174" s="66">
        <f>204</f>
        <v>204</v>
      </c>
      <c r="L174" s="67" t="s">
        <v>853</v>
      </c>
      <c r="M174" s="66">
        <f>215</f>
        <v>215</v>
      </c>
      <c r="N174" s="67" t="s">
        <v>77</v>
      </c>
      <c r="O174" s="66">
        <f>200</f>
        <v>200</v>
      </c>
      <c r="P174" s="67" t="s">
        <v>88</v>
      </c>
      <c r="Q174" s="66">
        <f>202</f>
        <v>202</v>
      </c>
      <c r="R174" s="67" t="s">
        <v>873</v>
      </c>
      <c r="S174" s="68">
        <f>207.25</f>
        <v>207.25</v>
      </c>
      <c r="T174" s="65">
        <f>663700</f>
        <v>663700</v>
      </c>
      <c r="U174" s="65">
        <f>200</f>
        <v>200</v>
      </c>
      <c r="V174" s="65">
        <f>137819800</f>
        <v>137819800</v>
      </c>
      <c r="W174" s="65">
        <f>40500</f>
        <v>40500</v>
      </c>
      <c r="X174" s="69">
        <f>20</f>
        <v>20</v>
      </c>
    </row>
    <row r="175" spans="1:24">
      <c r="A175" s="60" t="s">
        <v>926</v>
      </c>
      <c r="B175" s="60" t="s">
        <v>577</v>
      </c>
      <c r="C175" s="60" t="s">
        <v>578</v>
      </c>
      <c r="D175" s="60" t="s">
        <v>579</v>
      </c>
      <c r="E175" s="61" t="s">
        <v>46</v>
      </c>
      <c r="F175" s="62" t="s">
        <v>46</v>
      </c>
      <c r="G175" s="63" t="s">
        <v>46</v>
      </c>
      <c r="H175" s="64"/>
      <c r="I175" s="64" t="s">
        <v>47</v>
      </c>
      <c r="J175" s="65">
        <v>10</v>
      </c>
      <c r="K175" s="66">
        <f>1124</f>
        <v>1124</v>
      </c>
      <c r="L175" s="67" t="s">
        <v>857</v>
      </c>
      <c r="M175" s="66">
        <f>1146</f>
        <v>1146</v>
      </c>
      <c r="N175" s="67" t="s">
        <v>240</v>
      </c>
      <c r="O175" s="66">
        <f>1062</f>
        <v>1062</v>
      </c>
      <c r="P175" s="67" t="s">
        <v>371</v>
      </c>
      <c r="Q175" s="66">
        <f>1091</f>
        <v>1091</v>
      </c>
      <c r="R175" s="67" t="s">
        <v>240</v>
      </c>
      <c r="S175" s="68">
        <f>1092.5</f>
        <v>1092.5</v>
      </c>
      <c r="T175" s="65">
        <f>900</f>
        <v>900</v>
      </c>
      <c r="U175" s="65">
        <f>20</f>
        <v>20</v>
      </c>
      <c r="V175" s="65">
        <f>976860</f>
        <v>976860</v>
      </c>
      <c r="W175" s="65">
        <f>21680</f>
        <v>21680</v>
      </c>
      <c r="X175" s="69">
        <f>6</f>
        <v>6</v>
      </c>
    </row>
    <row r="176" spans="1:24">
      <c r="A176" s="60" t="s">
        <v>926</v>
      </c>
      <c r="B176" s="60" t="s">
        <v>580</v>
      </c>
      <c r="C176" s="60" t="s">
        <v>581</v>
      </c>
      <c r="D176" s="60" t="s">
        <v>582</v>
      </c>
      <c r="E176" s="61" t="s">
        <v>46</v>
      </c>
      <c r="F176" s="62" t="s">
        <v>46</v>
      </c>
      <c r="G176" s="63" t="s">
        <v>46</v>
      </c>
      <c r="H176" s="64"/>
      <c r="I176" s="64" t="s">
        <v>47</v>
      </c>
      <c r="J176" s="65">
        <v>10</v>
      </c>
      <c r="K176" s="66">
        <f>353</f>
        <v>353</v>
      </c>
      <c r="L176" s="67" t="s">
        <v>853</v>
      </c>
      <c r="M176" s="66">
        <f>358</f>
        <v>358</v>
      </c>
      <c r="N176" s="67" t="s">
        <v>857</v>
      </c>
      <c r="O176" s="66">
        <f>322</f>
        <v>322</v>
      </c>
      <c r="P176" s="67" t="s">
        <v>371</v>
      </c>
      <c r="Q176" s="66">
        <f>351</f>
        <v>351</v>
      </c>
      <c r="R176" s="67" t="s">
        <v>873</v>
      </c>
      <c r="S176" s="68">
        <f>344.45</f>
        <v>344.45</v>
      </c>
      <c r="T176" s="65">
        <f>61070</f>
        <v>61070</v>
      </c>
      <c r="U176" s="65" t="str">
        <f>"－"</f>
        <v>－</v>
      </c>
      <c r="V176" s="65">
        <f>21171220</f>
        <v>21171220</v>
      </c>
      <c r="W176" s="65" t="str">
        <f>"－"</f>
        <v>－</v>
      </c>
      <c r="X176" s="69">
        <f>20</f>
        <v>20</v>
      </c>
    </row>
    <row r="177" spans="1:24">
      <c r="A177" s="60" t="s">
        <v>926</v>
      </c>
      <c r="B177" s="60" t="s">
        <v>583</v>
      </c>
      <c r="C177" s="60" t="s">
        <v>584</v>
      </c>
      <c r="D177" s="60" t="s">
        <v>585</v>
      </c>
      <c r="E177" s="61" t="s">
        <v>46</v>
      </c>
      <c r="F177" s="62" t="s">
        <v>46</v>
      </c>
      <c r="G177" s="63" t="s">
        <v>46</v>
      </c>
      <c r="H177" s="64"/>
      <c r="I177" s="64" t="s">
        <v>47</v>
      </c>
      <c r="J177" s="65">
        <v>10</v>
      </c>
      <c r="K177" s="66">
        <f>1727</f>
        <v>1727</v>
      </c>
      <c r="L177" s="67" t="s">
        <v>853</v>
      </c>
      <c r="M177" s="66">
        <f>1747</f>
        <v>1747</v>
      </c>
      <c r="N177" s="67" t="s">
        <v>73</v>
      </c>
      <c r="O177" s="66">
        <f>1626</f>
        <v>1626</v>
      </c>
      <c r="P177" s="67" t="s">
        <v>371</v>
      </c>
      <c r="Q177" s="66">
        <f>1741</f>
        <v>1741</v>
      </c>
      <c r="R177" s="67" t="s">
        <v>88</v>
      </c>
      <c r="S177" s="68">
        <f>1692.56</f>
        <v>1692.56</v>
      </c>
      <c r="T177" s="65">
        <f>4630</f>
        <v>4630</v>
      </c>
      <c r="U177" s="65">
        <f>50</f>
        <v>50</v>
      </c>
      <c r="V177" s="65">
        <f>7943110</f>
        <v>7943110</v>
      </c>
      <c r="W177" s="65">
        <f>84400</f>
        <v>84400</v>
      </c>
      <c r="X177" s="69">
        <f>18</f>
        <v>18</v>
      </c>
    </row>
    <row r="178" spans="1:24">
      <c r="A178" s="60" t="s">
        <v>926</v>
      </c>
      <c r="B178" s="60" t="s">
        <v>586</v>
      </c>
      <c r="C178" s="60" t="s">
        <v>587</v>
      </c>
      <c r="D178" s="60" t="s">
        <v>588</v>
      </c>
      <c r="E178" s="61" t="s">
        <v>46</v>
      </c>
      <c r="F178" s="62" t="s">
        <v>46</v>
      </c>
      <c r="G178" s="63" t="s">
        <v>46</v>
      </c>
      <c r="H178" s="64"/>
      <c r="I178" s="64" t="s">
        <v>47</v>
      </c>
      <c r="J178" s="65">
        <v>10</v>
      </c>
      <c r="K178" s="66">
        <f>619</f>
        <v>619</v>
      </c>
      <c r="L178" s="67" t="s">
        <v>853</v>
      </c>
      <c r="M178" s="66">
        <f>635</f>
        <v>635</v>
      </c>
      <c r="N178" s="67" t="s">
        <v>77</v>
      </c>
      <c r="O178" s="66">
        <f>580</f>
        <v>580</v>
      </c>
      <c r="P178" s="67" t="s">
        <v>859</v>
      </c>
      <c r="Q178" s="66">
        <f>629</f>
        <v>629</v>
      </c>
      <c r="R178" s="67" t="s">
        <v>873</v>
      </c>
      <c r="S178" s="68">
        <f>612.15</f>
        <v>612.15</v>
      </c>
      <c r="T178" s="65">
        <f>53550</f>
        <v>53550</v>
      </c>
      <c r="U178" s="65">
        <f>80</f>
        <v>80</v>
      </c>
      <c r="V178" s="65">
        <f>32858820</f>
        <v>32858820</v>
      </c>
      <c r="W178" s="65">
        <f>48510</f>
        <v>48510</v>
      </c>
      <c r="X178" s="69">
        <f>20</f>
        <v>20</v>
      </c>
    </row>
    <row r="179" spans="1:24">
      <c r="A179" s="60" t="s">
        <v>926</v>
      </c>
      <c r="B179" s="60" t="s">
        <v>589</v>
      </c>
      <c r="C179" s="60" t="s">
        <v>590</v>
      </c>
      <c r="D179" s="60" t="s">
        <v>591</v>
      </c>
      <c r="E179" s="61" t="s">
        <v>46</v>
      </c>
      <c r="F179" s="62" t="s">
        <v>46</v>
      </c>
      <c r="G179" s="63" t="s">
        <v>46</v>
      </c>
      <c r="H179" s="64"/>
      <c r="I179" s="64" t="s">
        <v>47</v>
      </c>
      <c r="J179" s="65">
        <v>10</v>
      </c>
      <c r="K179" s="66">
        <f>468</f>
        <v>468</v>
      </c>
      <c r="L179" s="67" t="s">
        <v>853</v>
      </c>
      <c r="M179" s="66">
        <f>472</f>
        <v>472</v>
      </c>
      <c r="N179" s="67" t="s">
        <v>857</v>
      </c>
      <c r="O179" s="66">
        <f>421</f>
        <v>421</v>
      </c>
      <c r="P179" s="67" t="s">
        <v>859</v>
      </c>
      <c r="Q179" s="66">
        <f>448</f>
        <v>448</v>
      </c>
      <c r="R179" s="67" t="s">
        <v>873</v>
      </c>
      <c r="S179" s="68">
        <f>447.15</f>
        <v>447.15</v>
      </c>
      <c r="T179" s="65">
        <f>171200</f>
        <v>171200</v>
      </c>
      <c r="U179" s="65">
        <f>40</f>
        <v>40</v>
      </c>
      <c r="V179" s="65">
        <f>76878270</f>
        <v>76878270</v>
      </c>
      <c r="W179" s="65">
        <f>17880</f>
        <v>17880</v>
      </c>
      <c r="X179" s="69">
        <f>20</f>
        <v>20</v>
      </c>
    </row>
    <row r="180" spans="1:24">
      <c r="A180" s="60" t="s">
        <v>926</v>
      </c>
      <c r="B180" s="60" t="s">
        <v>592</v>
      </c>
      <c r="C180" s="60" t="s">
        <v>593</v>
      </c>
      <c r="D180" s="60" t="s">
        <v>594</v>
      </c>
      <c r="E180" s="61" t="s">
        <v>46</v>
      </c>
      <c r="F180" s="62" t="s">
        <v>46</v>
      </c>
      <c r="G180" s="63" t="s">
        <v>46</v>
      </c>
      <c r="H180" s="64"/>
      <c r="I180" s="64" t="s">
        <v>47</v>
      </c>
      <c r="J180" s="65">
        <v>100</v>
      </c>
      <c r="K180" s="66">
        <f>2</f>
        <v>2</v>
      </c>
      <c r="L180" s="67" t="s">
        <v>853</v>
      </c>
      <c r="M180" s="66">
        <f>2</f>
        <v>2</v>
      </c>
      <c r="N180" s="67" t="s">
        <v>853</v>
      </c>
      <c r="O180" s="66">
        <f>1</f>
        <v>1</v>
      </c>
      <c r="P180" s="67" t="s">
        <v>853</v>
      </c>
      <c r="Q180" s="66">
        <f>2</f>
        <v>2</v>
      </c>
      <c r="R180" s="67" t="s">
        <v>873</v>
      </c>
      <c r="S180" s="68">
        <f>1.55</f>
        <v>1.55</v>
      </c>
      <c r="T180" s="65">
        <f>238649700</f>
        <v>238649700</v>
      </c>
      <c r="U180" s="65" t="str">
        <f>"－"</f>
        <v>－</v>
      </c>
      <c r="V180" s="65">
        <f>405488400</f>
        <v>405488400</v>
      </c>
      <c r="W180" s="65" t="str">
        <f>"－"</f>
        <v>－</v>
      </c>
      <c r="X180" s="69">
        <f>20</f>
        <v>20</v>
      </c>
    </row>
    <row r="181" spans="1:24">
      <c r="A181" s="60" t="s">
        <v>926</v>
      </c>
      <c r="B181" s="60" t="s">
        <v>595</v>
      </c>
      <c r="C181" s="60" t="s">
        <v>596</v>
      </c>
      <c r="D181" s="60" t="s">
        <v>597</v>
      </c>
      <c r="E181" s="61" t="s">
        <v>46</v>
      </c>
      <c r="F181" s="62" t="s">
        <v>46</v>
      </c>
      <c r="G181" s="63" t="s">
        <v>46</v>
      </c>
      <c r="H181" s="64"/>
      <c r="I181" s="64" t="s">
        <v>47</v>
      </c>
      <c r="J181" s="65">
        <v>10</v>
      </c>
      <c r="K181" s="66">
        <f>730</f>
        <v>730</v>
      </c>
      <c r="L181" s="67" t="s">
        <v>853</v>
      </c>
      <c r="M181" s="66">
        <f>759</f>
        <v>759</v>
      </c>
      <c r="N181" s="67" t="s">
        <v>77</v>
      </c>
      <c r="O181" s="66">
        <f>662</f>
        <v>662</v>
      </c>
      <c r="P181" s="67" t="s">
        <v>371</v>
      </c>
      <c r="Q181" s="66">
        <f>727</f>
        <v>727</v>
      </c>
      <c r="R181" s="67" t="s">
        <v>873</v>
      </c>
      <c r="S181" s="68">
        <f>721.8</f>
        <v>721.8</v>
      </c>
      <c r="T181" s="65">
        <f>575540</f>
        <v>575540</v>
      </c>
      <c r="U181" s="65">
        <f>40</f>
        <v>40</v>
      </c>
      <c r="V181" s="65">
        <f>411765340</f>
        <v>411765340</v>
      </c>
      <c r="W181" s="65">
        <f>28780</f>
        <v>28780</v>
      </c>
      <c r="X181" s="69">
        <f>20</f>
        <v>20</v>
      </c>
    </row>
    <row r="182" spans="1:24">
      <c r="A182" s="60" t="s">
        <v>926</v>
      </c>
      <c r="B182" s="60" t="s">
        <v>598</v>
      </c>
      <c r="C182" s="60" t="s">
        <v>599</v>
      </c>
      <c r="D182" s="60" t="s">
        <v>600</v>
      </c>
      <c r="E182" s="61" t="s">
        <v>46</v>
      </c>
      <c r="F182" s="62" t="s">
        <v>46</v>
      </c>
      <c r="G182" s="63" t="s">
        <v>46</v>
      </c>
      <c r="H182" s="64"/>
      <c r="I182" s="64" t="s">
        <v>47</v>
      </c>
      <c r="J182" s="65">
        <v>1</v>
      </c>
      <c r="K182" s="66">
        <f>3085</f>
        <v>3085</v>
      </c>
      <c r="L182" s="67" t="s">
        <v>853</v>
      </c>
      <c r="M182" s="66">
        <f>3215</f>
        <v>3215</v>
      </c>
      <c r="N182" s="67" t="s">
        <v>84</v>
      </c>
      <c r="O182" s="66">
        <f>2899</f>
        <v>2899</v>
      </c>
      <c r="P182" s="67" t="s">
        <v>371</v>
      </c>
      <c r="Q182" s="66">
        <f>3175</f>
        <v>3175</v>
      </c>
      <c r="R182" s="67" t="s">
        <v>873</v>
      </c>
      <c r="S182" s="68">
        <f>3105.21</f>
        <v>3105.21</v>
      </c>
      <c r="T182" s="65">
        <f>1404</f>
        <v>1404</v>
      </c>
      <c r="U182" s="65">
        <f>7</f>
        <v>7</v>
      </c>
      <c r="V182" s="65">
        <f>4342356</f>
        <v>4342356</v>
      </c>
      <c r="W182" s="65">
        <f>21784</f>
        <v>21784</v>
      </c>
      <c r="X182" s="69">
        <f>19</f>
        <v>19</v>
      </c>
    </row>
    <row r="183" spans="1:24">
      <c r="A183" s="60" t="s">
        <v>926</v>
      </c>
      <c r="B183" s="60" t="s">
        <v>601</v>
      </c>
      <c r="C183" s="60" t="s">
        <v>602</v>
      </c>
      <c r="D183" s="60" t="s">
        <v>603</v>
      </c>
      <c r="E183" s="61" t="s">
        <v>46</v>
      </c>
      <c r="F183" s="62" t="s">
        <v>46</v>
      </c>
      <c r="G183" s="63" t="s">
        <v>46</v>
      </c>
      <c r="H183" s="64"/>
      <c r="I183" s="64" t="s">
        <v>47</v>
      </c>
      <c r="J183" s="65">
        <v>100</v>
      </c>
      <c r="K183" s="66">
        <f>398</f>
        <v>398</v>
      </c>
      <c r="L183" s="67" t="s">
        <v>853</v>
      </c>
      <c r="M183" s="66">
        <f>401</f>
        <v>401</v>
      </c>
      <c r="N183" s="67" t="s">
        <v>77</v>
      </c>
      <c r="O183" s="66">
        <f>374</f>
        <v>374</v>
      </c>
      <c r="P183" s="67" t="s">
        <v>371</v>
      </c>
      <c r="Q183" s="66">
        <f>399</f>
        <v>399</v>
      </c>
      <c r="R183" s="67" t="s">
        <v>873</v>
      </c>
      <c r="S183" s="68">
        <f>388.45</f>
        <v>388.45</v>
      </c>
      <c r="T183" s="65">
        <f>36100</f>
        <v>36100</v>
      </c>
      <c r="U183" s="65">
        <f>600</f>
        <v>600</v>
      </c>
      <c r="V183" s="65">
        <f>14116700</f>
        <v>14116700</v>
      </c>
      <c r="W183" s="65">
        <f>233000</f>
        <v>233000</v>
      </c>
      <c r="X183" s="69">
        <f>20</f>
        <v>20</v>
      </c>
    </row>
    <row r="184" spans="1:24">
      <c r="A184" s="60" t="s">
        <v>926</v>
      </c>
      <c r="B184" s="60" t="s">
        <v>604</v>
      </c>
      <c r="C184" s="60" t="s">
        <v>605</v>
      </c>
      <c r="D184" s="60" t="s">
        <v>606</v>
      </c>
      <c r="E184" s="61" t="s">
        <v>46</v>
      </c>
      <c r="F184" s="62" t="s">
        <v>46</v>
      </c>
      <c r="G184" s="63" t="s">
        <v>46</v>
      </c>
      <c r="H184" s="64"/>
      <c r="I184" s="64" t="s">
        <v>47</v>
      </c>
      <c r="J184" s="65">
        <v>10</v>
      </c>
      <c r="K184" s="66">
        <f>4170</f>
        <v>4170</v>
      </c>
      <c r="L184" s="67" t="s">
        <v>853</v>
      </c>
      <c r="M184" s="66">
        <f>4500</f>
        <v>4500</v>
      </c>
      <c r="N184" s="67" t="s">
        <v>73</v>
      </c>
      <c r="O184" s="66">
        <f>3935</f>
        <v>3935</v>
      </c>
      <c r="P184" s="67" t="s">
        <v>371</v>
      </c>
      <c r="Q184" s="66">
        <f>4345</f>
        <v>4345</v>
      </c>
      <c r="R184" s="67" t="s">
        <v>873</v>
      </c>
      <c r="S184" s="68">
        <f>4249.5</f>
        <v>4249.5</v>
      </c>
      <c r="T184" s="65">
        <f>40450</f>
        <v>40450</v>
      </c>
      <c r="U184" s="65">
        <f>70</f>
        <v>70</v>
      </c>
      <c r="V184" s="65">
        <f>172756650</f>
        <v>172756650</v>
      </c>
      <c r="W184" s="65">
        <f>296800</f>
        <v>296800</v>
      </c>
      <c r="X184" s="69">
        <f>20</f>
        <v>20</v>
      </c>
    </row>
    <row r="185" spans="1:24">
      <c r="A185" s="60" t="s">
        <v>926</v>
      </c>
      <c r="B185" s="60" t="s">
        <v>607</v>
      </c>
      <c r="C185" s="60" t="s">
        <v>608</v>
      </c>
      <c r="D185" s="60" t="s">
        <v>609</v>
      </c>
      <c r="E185" s="61" t="s">
        <v>46</v>
      </c>
      <c r="F185" s="62" t="s">
        <v>46</v>
      </c>
      <c r="G185" s="63" t="s">
        <v>46</v>
      </c>
      <c r="H185" s="64"/>
      <c r="I185" s="64" t="s">
        <v>47</v>
      </c>
      <c r="J185" s="65">
        <v>10</v>
      </c>
      <c r="K185" s="66">
        <f>2267</f>
        <v>2267</v>
      </c>
      <c r="L185" s="67" t="s">
        <v>853</v>
      </c>
      <c r="M185" s="66">
        <f>2299</f>
        <v>2299</v>
      </c>
      <c r="N185" s="67" t="s">
        <v>857</v>
      </c>
      <c r="O185" s="66">
        <f>1857</f>
        <v>1857</v>
      </c>
      <c r="P185" s="67" t="s">
        <v>371</v>
      </c>
      <c r="Q185" s="66">
        <f>2024</f>
        <v>2024</v>
      </c>
      <c r="R185" s="67" t="s">
        <v>873</v>
      </c>
      <c r="S185" s="68">
        <f>1985.85</f>
        <v>1985.85</v>
      </c>
      <c r="T185" s="65">
        <f>123760</f>
        <v>123760</v>
      </c>
      <c r="U185" s="65">
        <f>100</f>
        <v>100</v>
      </c>
      <c r="V185" s="65">
        <f>255094320</f>
        <v>255094320</v>
      </c>
      <c r="W185" s="65">
        <f>196880</f>
        <v>196880</v>
      </c>
      <c r="X185" s="69">
        <f>20</f>
        <v>20</v>
      </c>
    </row>
    <row r="186" spans="1:24">
      <c r="A186" s="60" t="s">
        <v>926</v>
      </c>
      <c r="B186" s="60" t="s">
        <v>610</v>
      </c>
      <c r="C186" s="60" t="s">
        <v>611</v>
      </c>
      <c r="D186" s="60" t="s">
        <v>612</v>
      </c>
      <c r="E186" s="61" t="s">
        <v>46</v>
      </c>
      <c r="F186" s="62" t="s">
        <v>46</v>
      </c>
      <c r="G186" s="63" t="s">
        <v>46</v>
      </c>
      <c r="H186" s="64"/>
      <c r="I186" s="64" t="s">
        <v>47</v>
      </c>
      <c r="J186" s="65">
        <v>100</v>
      </c>
      <c r="K186" s="66">
        <f>82</f>
        <v>82</v>
      </c>
      <c r="L186" s="67" t="s">
        <v>853</v>
      </c>
      <c r="M186" s="66">
        <f>86</f>
        <v>86</v>
      </c>
      <c r="N186" s="67" t="s">
        <v>613</v>
      </c>
      <c r="O186" s="66">
        <f>74</f>
        <v>74</v>
      </c>
      <c r="P186" s="67" t="s">
        <v>859</v>
      </c>
      <c r="Q186" s="66">
        <f>84</f>
        <v>84</v>
      </c>
      <c r="R186" s="67" t="s">
        <v>873</v>
      </c>
      <c r="S186" s="68">
        <f>80.55</f>
        <v>80.55</v>
      </c>
      <c r="T186" s="65">
        <f>5352000</f>
        <v>5352000</v>
      </c>
      <c r="U186" s="65" t="str">
        <f>"－"</f>
        <v>－</v>
      </c>
      <c r="V186" s="65">
        <f>430665500</f>
        <v>430665500</v>
      </c>
      <c r="W186" s="65" t="str">
        <f>"－"</f>
        <v>－</v>
      </c>
      <c r="X186" s="69">
        <f>20</f>
        <v>20</v>
      </c>
    </row>
    <row r="187" spans="1:24">
      <c r="A187" s="60" t="s">
        <v>926</v>
      </c>
      <c r="B187" s="60" t="s">
        <v>614</v>
      </c>
      <c r="C187" s="60" t="s">
        <v>615</v>
      </c>
      <c r="D187" s="60" t="s">
        <v>616</v>
      </c>
      <c r="E187" s="61" t="s">
        <v>46</v>
      </c>
      <c r="F187" s="62" t="s">
        <v>46</v>
      </c>
      <c r="G187" s="63" t="s">
        <v>46</v>
      </c>
      <c r="H187" s="64"/>
      <c r="I187" s="64" t="s">
        <v>47</v>
      </c>
      <c r="J187" s="65">
        <v>100</v>
      </c>
      <c r="K187" s="66">
        <f>129</f>
        <v>129</v>
      </c>
      <c r="L187" s="67" t="s">
        <v>853</v>
      </c>
      <c r="M187" s="66">
        <f>131</f>
        <v>131</v>
      </c>
      <c r="N187" s="67" t="s">
        <v>853</v>
      </c>
      <c r="O187" s="66">
        <f>112</f>
        <v>112</v>
      </c>
      <c r="P187" s="67" t="s">
        <v>131</v>
      </c>
      <c r="Q187" s="66">
        <f>118</f>
        <v>118</v>
      </c>
      <c r="R187" s="67" t="s">
        <v>873</v>
      </c>
      <c r="S187" s="68">
        <f>119.8</f>
        <v>119.8</v>
      </c>
      <c r="T187" s="65">
        <f>2166800</f>
        <v>2166800</v>
      </c>
      <c r="U187" s="65" t="str">
        <f>"－"</f>
        <v>－</v>
      </c>
      <c r="V187" s="65">
        <f>260802700</f>
        <v>260802700</v>
      </c>
      <c r="W187" s="65" t="str">
        <f>"－"</f>
        <v>－</v>
      </c>
      <c r="X187" s="69">
        <f>20</f>
        <v>20</v>
      </c>
    </row>
    <row r="188" spans="1:24">
      <c r="A188" s="60" t="s">
        <v>926</v>
      </c>
      <c r="B188" s="60" t="s">
        <v>617</v>
      </c>
      <c r="C188" s="60" t="s">
        <v>618</v>
      </c>
      <c r="D188" s="60" t="s">
        <v>619</v>
      </c>
      <c r="E188" s="61" t="s">
        <v>46</v>
      </c>
      <c r="F188" s="62" t="s">
        <v>46</v>
      </c>
      <c r="G188" s="63" t="s">
        <v>46</v>
      </c>
      <c r="H188" s="64"/>
      <c r="I188" s="64" t="s">
        <v>47</v>
      </c>
      <c r="J188" s="65">
        <v>10</v>
      </c>
      <c r="K188" s="66">
        <f>2878</f>
        <v>2878</v>
      </c>
      <c r="L188" s="67" t="s">
        <v>853</v>
      </c>
      <c r="M188" s="66">
        <f>2917</f>
        <v>2917</v>
      </c>
      <c r="N188" s="67" t="s">
        <v>857</v>
      </c>
      <c r="O188" s="66">
        <f>2682</f>
        <v>2682</v>
      </c>
      <c r="P188" s="67" t="s">
        <v>859</v>
      </c>
      <c r="Q188" s="66">
        <f>2784</f>
        <v>2784</v>
      </c>
      <c r="R188" s="67" t="s">
        <v>873</v>
      </c>
      <c r="S188" s="68">
        <f>2798.7</f>
        <v>2798.7</v>
      </c>
      <c r="T188" s="65">
        <f>19760</f>
        <v>19760</v>
      </c>
      <c r="U188" s="65">
        <f>70</f>
        <v>70</v>
      </c>
      <c r="V188" s="65">
        <f>55616580</f>
        <v>55616580</v>
      </c>
      <c r="W188" s="65">
        <f>196610</f>
        <v>196610</v>
      </c>
      <c r="X188" s="69">
        <f>20</f>
        <v>20</v>
      </c>
    </row>
    <row r="189" spans="1:24">
      <c r="A189" s="60" t="s">
        <v>926</v>
      </c>
      <c r="B189" s="60" t="s">
        <v>620</v>
      </c>
      <c r="C189" s="60" t="s">
        <v>621</v>
      </c>
      <c r="D189" s="60" t="s">
        <v>622</v>
      </c>
      <c r="E189" s="61" t="s">
        <v>46</v>
      </c>
      <c r="F189" s="62" t="s">
        <v>46</v>
      </c>
      <c r="G189" s="63" t="s">
        <v>46</v>
      </c>
      <c r="H189" s="64"/>
      <c r="I189" s="64" t="s">
        <v>47</v>
      </c>
      <c r="J189" s="65">
        <v>10</v>
      </c>
      <c r="K189" s="66">
        <f>1856</f>
        <v>1856</v>
      </c>
      <c r="L189" s="67" t="s">
        <v>853</v>
      </c>
      <c r="M189" s="66">
        <f>1875</f>
        <v>1875</v>
      </c>
      <c r="N189" s="67" t="s">
        <v>84</v>
      </c>
      <c r="O189" s="66">
        <f>1777</f>
        <v>1777</v>
      </c>
      <c r="P189" s="67" t="s">
        <v>859</v>
      </c>
      <c r="Q189" s="66">
        <f>1807</f>
        <v>1807</v>
      </c>
      <c r="R189" s="67" t="s">
        <v>873</v>
      </c>
      <c r="S189" s="68">
        <f>1828.5</f>
        <v>1828.5</v>
      </c>
      <c r="T189" s="65">
        <f>32500</f>
        <v>32500</v>
      </c>
      <c r="U189" s="65">
        <f>50</f>
        <v>50</v>
      </c>
      <c r="V189" s="65">
        <f>59468330</f>
        <v>59468330</v>
      </c>
      <c r="W189" s="65">
        <f>91680</f>
        <v>91680</v>
      </c>
      <c r="X189" s="69">
        <f>20</f>
        <v>20</v>
      </c>
    </row>
    <row r="190" spans="1:24">
      <c r="A190" s="60" t="s">
        <v>926</v>
      </c>
      <c r="B190" s="60" t="s">
        <v>623</v>
      </c>
      <c r="C190" s="60" t="s">
        <v>624</v>
      </c>
      <c r="D190" s="60" t="s">
        <v>625</v>
      </c>
      <c r="E190" s="61" t="s">
        <v>46</v>
      </c>
      <c r="F190" s="62" t="s">
        <v>46</v>
      </c>
      <c r="G190" s="63" t="s">
        <v>46</v>
      </c>
      <c r="H190" s="64"/>
      <c r="I190" s="64" t="s">
        <v>47</v>
      </c>
      <c r="J190" s="65">
        <v>10</v>
      </c>
      <c r="K190" s="66">
        <f>193</f>
        <v>193</v>
      </c>
      <c r="L190" s="67" t="s">
        <v>853</v>
      </c>
      <c r="M190" s="66">
        <f>200</f>
        <v>200</v>
      </c>
      <c r="N190" s="67" t="s">
        <v>77</v>
      </c>
      <c r="O190" s="66">
        <f>174</f>
        <v>174</v>
      </c>
      <c r="P190" s="67" t="s">
        <v>371</v>
      </c>
      <c r="Q190" s="66">
        <f>191</f>
        <v>191</v>
      </c>
      <c r="R190" s="67" t="s">
        <v>873</v>
      </c>
      <c r="S190" s="68">
        <f>189.95</f>
        <v>189.95</v>
      </c>
      <c r="T190" s="65">
        <f>82189600</f>
        <v>82189600</v>
      </c>
      <c r="U190" s="65">
        <f>66500</f>
        <v>66500</v>
      </c>
      <c r="V190" s="65">
        <f>15576306935</f>
        <v>15576306935</v>
      </c>
      <c r="W190" s="65">
        <f>12270355</f>
        <v>12270355</v>
      </c>
      <c r="X190" s="69">
        <f>20</f>
        <v>20</v>
      </c>
    </row>
    <row r="191" spans="1:24">
      <c r="A191" s="60" t="s">
        <v>926</v>
      </c>
      <c r="B191" s="60" t="s">
        <v>626</v>
      </c>
      <c r="C191" s="60" t="s">
        <v>627</v>
      </c>
      <c r="D191" s="60" t="s">
        <v>628</v>
      </c>
      <c r="E191" s="61" t="s">
        <v>46</v>
      </c>
      <c r="F191" s="62" t="s">
        <v>46</v>
      </c>
      <c r="G191" s="63" t="s">
        <v>46</v>
      </c>
      <c r="H191" s="64"/>
      <c r="I191" s="64" t="s">
        <v>629</v>
      </c>
      <c r="J191" s="65">
        <v>1</v>
      </c>
      <c r="K191" s="66">
        <f>11920</f>
        <v>11920</v>
      </c>
      <c r="L191" s="67" t="s">
        <v>853</v>
      </c>
      <c r="M191" s="66">
        <f>12100</f>
        <v>12100</v>
      </c>
      <c r="N191" s="67" t="s">
        <v>857</v>
      </c>
      <c r="O191" s="66">
        <f>8880</f>
        <v>8880</v>
      </c>
      <c r="P191" s="67" t="s">
        <v>88</v>
      </c>
      <c r="Q191" s="66">
        <f>9270</f>
        <v>9270</v>
      </c>
      <c r="R191" s="67" t="s">
        <v>873</v>
      </c>
      <c r="S191" s="68">
        <f>10709</f>
        <v>10709</v>
      </c>
      <c r="T191" s="65">
        <f>26247</f>
        <v>26247</v>
      </c>
      <c r="U191" s="65" t="str">
        <f>"－"</f>
        <v>－</v>
      </c>
      <c r="V191" s="65">
        <f>261833520</f>
        <v>261833520</v>
      </c>
      <c r="W191" s="65" t="str">
        <f>"－"</f>
        <v>－</v>
      </c>
      <c r="X191" s="69">
        <f>20</f>
        <v>20</v>
      </c>
    </row>
    <row r="192" spans="1:24">
      <c r="A192" s="60" t="s">
        <v>926</v>
      </c>
      <c r="B192" s="60" t="s">
        <v>630</v>
      </c>
      <c r="C192" s="60" t="s">
        <v>631</v>
      </c>
      <c r="D192" s="60" t="s">
        <v>632</v>
      </c>
      <c r="E192" s="61" t="s">
        <v>46</v>
      </c>
      <c r="F192" s="62" t="s">
        <v>46</v>
      </c>
      <c r="G192" s="63" t="s">
        <v>46</v>
      </c>
      <c r="H192" s="64"/>
      <c r="I192" s="64" t="s">
        <v>629</v>
      </c>
      <c r="J192" s="65">
        <v>1</v>
      </c>
      <c r="K192" s="66">
        <f>5230</f>
        <v>5230</v>
      </c>
      <c r="L192" s="67" t="s">
        <v>853</v>
      </c>
      <c r="M192" s="66">
        <f>6030</f>
        <v>6030</v>
      </c>
      <c r="N192" s="67" t="s">
        <v>88</v>
      </c>
      <c r="O192" s="66">
        <f>5230</f>
        <v>5230</v>
      </c>
      <c r="P192" s="67" t="s">
        <v>853</v>
      </c>
      <c r="Q192" s="66">
        <f>5680</f>
        <v>5680</v>
      </c>
      <c r="R192" s="67" t="s">
        <v>873</v>
      </c>
      <c r="S192" s="68">
        <f>5472</f>
        <v>5472</v>
      </c>
      <c r="T192" s="65">
        <f>9894</f>
        <v>9894</v>
      </c>
      <c r="U192" s="65">
        <f>2</f>
        <v>2</v>
      </c>
      <c r="V192" s="65">
        <f>55571260</f>
        <v>55571260</v>
      </c>
      <c r="W192" s="65">
        <f>11150</f>
        <v>11150</v>
      </c>
      <c r="X192" s="69">
        <f>20</f>
        <v>20</v>
      </c>
    </row>
    <row r="193" spans="1:24">
      <c r="A193" s="60" t="s">
        <v>926</v>
      </c>
      <c r="B193" s="60" t="s">
        <v>633</v>
      </c>
      <c r="C193" s="60" t="s">
        <v>634</v>
      </c>
      <c r="D193" s="60" t="s">
        <v>635</v>
      </c>
      <c r="E193" s="61" t="s">
        <v>46</v>
      </c>
      <c r="F193" s="62" t="s">
        <v>46</v>
      </c>
      <c r="G193" s="63" t="s">
        <v>46</v>
      </c>
      <c r="H193" s="64"/>
      <c r="I193" s="64" t="s">
        <v>629</v>
      </c>
      <c r="J193" s="65">
        <v>1</v>
      </c>
      <c r="K193" s="66">
        <f>21400</f>
        <v>21400</v>
      </c>
      <c r="L193" s="67" t="s">
        <v>853</v>
      </c>
      <c r="M193" s="66">
        <f>21400</f>
        <v>21400</v>
      </c>
      <c r="N193" s="67" t="s">
        <v>853</v>
      </c>
      <c r="O193" s="66">
        <f>18820</f>
        <v>18820</v>
      </c>
      <c r="P193" s="67" t="s">
        <v>859</v>
      </c>
      <c r="Q193" s="66">
        <f>19190</f>
        <v>19190</v>
      </c>
      <c r="R193" s="67" t="s">
        <v>873</v>
      </c>
      <c r="S193" s="68">
        <f>19765.29</f>
        <v>19765.29</v>
      </c>
      <c r="T193" s="65">
        <f>360</f>
        <v>360</v>
      </c>
      <c r="U193" s="65">
        <f>4</f>
        <v>4</v>
      </c>
      <c r="V193" s="65">
        <f>7084920</f>
        <v>7084920</v>
      </c>
      <c r="W193" s="65">
        <f>81730</f>
        <v>81730</v>
      </c>
      <c r="X193" s="69">
        <f>17</f>
        <v>17</v>
      </c>
    </row>
    <row r="194" spans="1:24">
      <c r="A194" s="60" t="s">
        <v>926</v>
      </c>
      <c r="B194" s="60" t="s">
        <v>636</v>
      </c>
      <c r="C194" s="60" t="s">
        <v>637</v>
      </c>
      <c r="D194" s="60" t="s">
        <v>638</v>
      </c>
      <c r="E194" s="61" t="s">
        <v>46</v>
      </c>
      <c r="F194" s="62" t="s">
        <v>46</v>
      </c>
      <c r="G194" s="63" t="s">
        <v>46</v>
      </c>
      <c r="H194" s="64"/>
      <c r="I194" s="64" t="s">
        <v>629</v>
      </c>
      <c r="J194" s="65">
        <v>1</v>
      </c>
      <c r="K194" s="66">
        <f>5840</f>
        <v>5840</v>
      </c>
      <c r="L194" s="67" t="s">
        <v>853</v>
      </c>
      <c r="M194" s="66">
        <f>5910</f>
        <v>5910</v>
      </c>
      <c r="N194" s="67" t="s">
        <v>84</v>
      </c>
      <c r="O194" s="66">
        <f>5660</f>
        <v>5660</v>
      </c>
      <c r="P194" s="67" t="s">
        <v>131</v>
      </c>
      <c r="Q194" s="66">
        <f>5800</f>
        <v>5800</v>
      </c>
      <c r="R194" s="67" t="s">
        <v>873</v>
      </c>
      <c r="S194" s="68">
        <f>5779</f>
        <v>5779</v>
      </c>
      <c r="T194" s="65">
        <f>13185</f>
        <v>13185</v>
      </c>
      <c r="U194" s="65">
        <f>4</f>
        <v>4</v>
      </c>
      <c r="V194" s="65">
        <f>76053250</f>
        <v>76053250</v>
      </c>
      <c r="W194" s="65">
        <f>23150</f>
        <v>23150</v>
      </c>
      <c r="X194" s="69">
        <f>20</f>
        <v>20</v>
      </c>
    </row>
    <row r="195" spans="1:24">
      <c r="A195" s="60" t="s">
        <v>926</v>
      </c>
      <c r="B195" s="60" t="s">
        <v>639</v>
      </c>
      <c r="C195" s="60" t="s">
        <v>640</v>
      </c>
      <c r="D195" s="60" t="s">
        <v>641</v>
      </c>
      <c r="E195" s="61" t="s">
        <v>46</v>
      </c>
      <c r="F195" s="62" t="s">
        <v>46</v>
      </c>
      <c r="G195" s="63" t="s">
        <v>46</v>
      </c>
      <c r="H195" s="64"/>
      <c r="I195" s="64" t="s">
        <v>629</v>
      </c>
      <c r="J195" s="65">
        <v>1</v>
      </c>
      <c r="K195" s="66">
        <f>183</f>
        <v>183</v>
      </c>
      <c r="L195" s="67" t="s">
        <v>853</v>
      </c>
      <c r="M195" s="66">
        <f>201</f>
        <v>201</v>
      </c>
      <c r="N195" s="67" t="s">
        <v>859</v>
      </c>
      <c r="O195" s="66">
        <f>171</f>
        <v>171</v>
      </c>
      <c r="P195" s="67" t="s">
        <v>92</v>
      </c>
      <c r="Q195" s="66">
        <f>186</f>
        <v>186</v>
      </c>
      <c r="R195" s="67" t="s">
        <v>873</v>
      </c>
      <c r="S195" s="68">
        <f>181.3</f>
        <v>181.3</v>
      </c>
      <c r="T195" s="65">
        <f>14216945</f>
        <v>14216945</v>
      </c>
      <c r="U195" s="65">
        <f>10</f>
        <v>10</v>
      </c>
      <c r="V195" s="65">
        <f>2599242845</f>
        <v>2599242845</v>
      </c>
      <c r="W195" s="65">
        <f>1808</f>
        <v>1808</v>
      </c>
      <c r="X195" s="69">
        <f>20</f>
        <v>20</v>
      </c>
    </row>
    <row r="196" spans="1:24">
      <c r="A196" s="60" t="s">
        <v>926</v>
      </c>
      <c r="B196" s="60" t="s">
        <v>642</v>
      </c>
      <c r="C196" s="60" t="s">
        <v>643</v>
      </c>
      <c r="D196" s="60" t="s">
        <v>644</v>
      </c>
      <c r="E196" s="61" t="s">
        <v>46</v>
      </c>
      <c r="F196" s="62" t="s">
        <v>46</v>
      </c>
      <c r="G196" s="63" t="s">
        <v>46</v>
      </c>
      <c r="H196" s="64"/>
      <c r="I196" s="64" t="s">
        <v>629</v>
      </c>
      <c r="J196" s="65">
        <v>1</v>
      </c>
      <c r="K196" s="66">
        <f>17510</f>
        <v>17510</v>
      </c>
      <c r="L196" s="67" t="s">
        <v>853</v>
      </c>
      <c r="M196" s="66">
        <f>18450</f>
        <v>18450</v>
      </c>
      <c r="N196" s="67" t="s">
        <v>69</v>
      </c>
      <c r="O196" s="66">
        <f>17430</f>
        <v>17430</v>
      </c>
      <c r="P196" s="67" t="s">
        <v>853</v>
      </c>
      <c r="Q196" s="66">
        <f>18010</f>
        <v>18010</v>
      </c>
      <c r="R196" s="67" t="s">
        <v>873</v>
      </c>
      <c r="S196" s="68">
        <f>17954.5</f>
        <v>17954.5</v>
      </c>
      <c r="T196" s="65">
        <f>51876</f>
        <v>51876</v>
      </c>
      <c r="U196" s="65">
        <f>8</f>
        <v>8</v>
      </c>
      <c r="V196" s="65">
        <f>931876880</f>
        <v>931876880</v>
      </c>
      <c r="W196" s="65">
        <f>143510</f>
        <v>143510</v>
      </c>
      <c r="X196" s="69">
        <f>20</f>
        <v>20</v>
      </c>
    </row>
    <row r="197" spans="1:24">
      <c r="A197" s="60" t="s">
        <v>926</v>
      </c>
      <c r="B197" s="60" t="s">
        <v>645</v>
      </c>
      <c r="C197" s="60" t="s">
        <v>646</v>
      </c>
      <c r="D197" s="60" t="s">
        <v>647</v>
      </c>
      <c r="E197" s="61" t="s">
        <v>46</v>
      </c>
      <c r="F197" s="62" t="s">
        <v>46</v>
      </c>
      <c r="G197" s="63" t="s">
        <v>46</v>
      </c>
      <c r="H197" s="64"/>
      <c r="I197" s="64" t="s">
        <v>629</v>
      </c>
      <c r="J197" s="65">
        <v>1</v>
      </c>
      <c r="K197" s="66">
        <f>5580</f>
        <v>5580</v>
      </c>
      <c r="L197" s="67" t="s">
        <v>853</v>
      </c>
      <c r="M197" s="66">
        <f>5580</f>
        <v>5580</v>
      </c>
      <c r="N197" s="67" t="s">
        <v>853</v>
      </c>
      <c r="O197" s="66">
        <f>5400</f>
        <v>5400</v>
      </c>
      <c r="P197" s="67" t="s">
        <v>854</v>
      </c>
      <c r="Q197" s="66">
        <f>5440</f>
        <v>5440</v>
      </c>
      <c r="R197" s="67" t="s">
        <v>873</v>
      </c>
      <c r="S197" s="68">
        <f>5470</f>
        <v>5470</v>
      </c>
      <c r="T197" s="65">
        <f>6171</f>
        <v>6171</v>
      </c>
      <c r="U197" s="65">
        <f>5</f>
        <v>5</v>
      </c>
      <c r="V197" s="65">
        <f>33786870</f>
        <v>33786870</v>
      </c>
      <c r="W197" s="65">
        <f>27410</f>
        <v>27410</v>
      </c>
      <c r="X197" s="69">
        <f>20</f>
        <v>20</v>
      </c>
    </row>
    <row r="198" spans="1:24">
      <c r="A198" s="60" t="s">
        <v>926</v>
      </c>
      <c r="B198" s="60" t="s">
        <v>648</v>
      </c>
      <c r="C198" s="60" t="s">
        <v>649</v>
      </c>
      <c r="D198" s="60" t="s">
        <v>650</v>
      </c>
      <c r="E198" s="61" t="s">
        <v>46</v>
      </c>
      <c r="F198" s="62" t="s">
        <v>46</v>
      </c>
      <c r="G198" s="63" t="s">
        <v>46</v>
      </c>
      <c r="H198" s="64"/>
      <c r="I198" s="64" t="s">
        <v>629</v>
      </c>
      <c r="J198" s="65">
        <v>1</v>
      </c>
      <c r="K198" s="66">
        <f>643</f>
        <v>643</v>
      </c>
      <c r="L198" s="67" t="s">
        <v>853</v>
      </c>
      <c r="M198" s="66">
        <f>678</f>
        <v>678</v>
      </c>
      <c r="N198" s="67" t="s">
        <v>77</v>
      </c>
      <c r="O198" s="66">
        <f>530</f>
        <v>530</v>
      </c>
      <c r="P198" s="67" t="s">
        <v>371</v>
      </c>
      <c r="Q198" s="66">
        <f>617</f>
        <v>617</v>
      </c>
      <c r="R198" s="67" t="s">
        <v>873</v>
      </c>
      <c r="S198" s="68">
        <f>618.55</f>
        <v>618.54999999999995</v>
      </c>
      <c r="T198" s="65">
        <f>150933627</f>
        <v>150933627</v>
      </c>
      <c r="U198" s="65">
        <f>4</f>
        <v>4</v>
      </c>
      <c r="V198" s="65">
        <f>93355248578</f>
        <v>93355248578</v>
      </c>
      <c r="W198" s="65">
        <f>2266</f>
        <v>2266</v>
      </c>
      <c r="X198" s="69">
        <f>20</f>
        <v>20</v>
      </c>
    </row>
    <row r="199" spans="1:24">
      <c r="A199" s="60" t="s">
        <v>926</v>
      </c>
      <c r="B199" s="60" t="s">
        <v>651</v>
      </c>
      <c r="C199" s="60" t="s">
        <v>652</v>
      </c>
      <c r="D199" s="60" t="s">
        <v>653</v>
      </c>
      <c r="E199" s="61" t="s">
        <v>46</v>
      </c>
      <c r="F199" s="62" t="s">
        <v>46</v>
      </c>
      <c r="G199" s="63" t="s">
        <v>46</v>
      </c>
      <c r="H199" s="64"/>
      <c r="I199" s="64" t="s">
        <v>629</v>
      </c>
      <c r="J199" s="65">
        <v>1</v>
      </c>
      <c r="K199" s="66">
        <f>3255</f>
        <v>3255</v>
      </c>
      <c r="L199" s="67" t="s">
        <v>853</v>
      </c>
      <c r="M199" s="66">
        <f>3525</f>
        <v>3525</v>
      </c>
      <c r="N199" s="67" t="s">
        <v>371</v>
      </c>
      <c r="O199" s="66">
        <f>3115</f>
        <v>3115</v>
      </c>
      <c r="P199" s="67" t="s">
        <v>77</v>
      </c>
      <c r="Q199" s="66">
        <f>3220</f>
        <v>3220</v>
      </c>
      <c r="R199" s="67" t="s">
        <v>873</v>
      </c>
      <c r="S199" s="68">
        <f>3280</f>
        <v>3280</v>
      </c>
      <c r="T199" s="65">
        <f>461741</f>
        <v>461741</v>
      </c>
      <c r="U199" s="65">
        <f>10</f>
        <v>10</v>
      </c>
      <c r="V199" s="65">
        <f>1532175820</f>
        <v>1532175820</v>
      </c>
      <c r="W199" s="65">
        <f>33520</f>
        <v>33520</v>
      </c>
      <c r="X199" s="69">
        <f>20</f>
        <v>20</v>
      </c>
    </row>
    <row r="200" spans="1:24">
      <c r="A200" s="60" t="s">
        <v>926</v>
      </c>
      <c r="B200" s="60" t="s">
        <v>654</v>
      </c>
      <c r="C200" s="60" t="s">
        <v>655</v>
      </c>
      <c r="D200" s="60" t="s">
        <v>656</v>
      </c>
      <c r="E200" s="61" t="s">
        <v>46</v>
      </c>
      <c r="F200" s="62" t="s">
        <v>46</v>
      </c>
      <c r="G200" s="63" t="s">
        <v>46</v>
      </c>
      <c r="H200" s="64"/>
      <c r="I200" s="64" t="s">
        <v>629</v>
      </c>
      <c r="J200" s="65">
        <v>1</v>
      </c>
      <c r="K200" s="66">
        <f>30850</f>
        <v>30850</v>
      </c>
      <c r="L200" s="67" t="s">
        <v>853</v>
      </c>
      <c r="M200" s="66">
        <f>31700</f>
        <v>31700</v>
      </c>
      <c r="N200" s="67" t="s">
        <v>73</v>
      </c>
      <c r="O200" s="66">
        <f>29890</f>
        <v>29890</v>
      </c>
      <c r="P200" s="67" t="s">
        <v>371</v>
      </c>
      <c r="Q200" s="66">
        <f>31300</f>
        <v>31300</v>
      </c>
      <c r="R200" s="67" t="s">
        <v>873</v>
      </c>
      <c r="S200" s="68">
        <f>31107.5</f>
        <v>31107.5</v>
      </c>
      <c r="T200" s="65">
        <f>134134</f>
        <v>134134</v>
      </c>
      <c r="U200" s="65">
        <f>4</f>
        <v>4</v>
      </c>
      <c r="V200" s="65">
        <f>4160254590</f>
        <v>4160254590</v>
      </c>
      <c r="W200" s="65">
        <f>123200</f>
        <v>123200</v>
      </c>
      <c r="X200" s="69">
        <f>20</f>
        <v>20</v>
      </c>
    </row>
    <row r="201" spans="1:24">
      <c r="A201" s="60" t="s">
        <v>926</v>
      </c>
      <c r="B201" s="60" t="s">
        <v>657</v>
      </c>
      <c r="C201" s="60" t="s">
        <v>658</v>
      </c>
      <c r="D201" s="60" t="s">
        <v>659</v>
      </c>
      <c r="E201" s="61" t="s">
        <v>46</v>
      </c>
      <c r="F201" s="62" t="s">
        <v>46</v>
      </c>
      <c r="G201" s="63" t="s">
        <v>46</v>
      </c>
      <c r="H201" s="64"/>
      <c r="I201" s="64" t="s">
        <v>629</v>
      </c>
      <c r="J201" s="65">
        <v>1</v>
      </c>
      <c r="K201" s="66">
        <f>2983</f>
        <v>2983</v>
      </c>
      <c r="L201" s="67" t="s">
        <v>853</v>
      </c>
      <c r="M201" s="66">
        <f>3060</f>
        <v>3060</v>
      </c>
      <c r="N201" s="67" t="s">
        <v>371</v>
      </c>
      <c r="O201" s="66">
        <f>2942</f>
        <v>2942</v>
      </c>
      <c r="P201" s="67" t="s">
        <v>92</v>
      </c>
      <c r="Q201" s="66">
        <f>2965</f>
        <v>2965</v>
      </c>
      <c r="R201" s="67" t="s">
        <v>873</v>
      </c>
      <c r="S201" s="68">
        <f>2976.3</f>
        <v>2976.3</v>
      </c>
      <c r="T201" s="65">
        <f>457935</f>
        <v>457935</v>
      </c>
      <c r="U201" s="65">
        <f>238</f>
        <v>238</v>
      </c>
      <c r="V201" s="65">
        <f>1365962016</f>
        <v>1365962016</v>
      </c>
      <c r="W201" s="65">
        <f>705308</f>
        <v>705308</v>
      </c>
      <c r="X201" s="69">
        <f>20</f>
        <v>20</v>
      </c>
    </row>
    <row r="202" spans="1:24">
      <c r="A202" s="60" t="s">
        <v>926</v>
      </c>
      <c r="B202" s="60" t="s">
        <v>660</v>
      </c>
      <c r="C202" s="60" t="s">
        <v>661</v>
      </c>
      <c r="D202" s="60" t="s">
        <v>662</v>
      </c>
      <c r="E202" s="61" t="s">
        <v>46</v>
      </c>
      <c r="F202" s="62" t="s">
        <v>46</v>
      </c>
      <c r="G202" s="63" t="s">
        <v>46</v>
      </c>
      <c r="H202" s="64"/>
      <c r="I202" s="64" t="s">
        <v>629</v>
      </c>
      <c r="J202" s="65">
        <v>1</v>
      </c>
      <c r="K202" s="66">
        <f>13040</f>
        <v>13040</v>
      </c>
      <c r="L202" s="67" t="s">
        <v>853</v>
      </c>
      <c r="M202" s="66">
        <f>13040</f>
        <v>13040</v>
      </c>
      <c r="N202" s="67" t="s">
        <v>853</v>
      </c>
      <c r="O202" s="66">
        <f>11690</f>
        <v>11690</v>
      </c>
      <c r="P202" s="67" t="s">
        <v>873</v>
      </c>
      <c r="Q202" s="66">
        <f>11740</f>
        <v>11740</v>
      </c>
      <c r="R202" s="67" t="s">
        <v>873</v>
      </c>
      <c r="S202" s="68">
        <f>12364</f>
        <v>12364</v>
      </c>
      <c r="T202" s="65">
        <f>31272</f>
        <v>31272</v>
      </c>
      <c r="U202" s="65">
        <f>5108</f>
        <v>5108</v>
      </c>
      <c r="V202" s="65">
        <f>384017290</f>
        <v>384017290</v>
      </c>
      <c r="W202" s="65">
        <f>62577100</f>
        <v>62577100</v>
      </c>
      <c r="X202" s="69">
        <f>20</f>
        <v>20</v>
      </c>
    </row>
    <row r="203" spans="1:24">
      <c r="A203" s="60" t="s">
        <v>926</v>
      </c>
      <c r="B203" s="60" t="s">
        <v>663</v>
      </c>
      <c r="C203" s="60" t="s">
        <v>664</v>
      </c>
      <c r="D203" s="60" t="s">
        <v>665</v>
      </c>
      <c r="E203" s="61" t="s">
        <v>46</v>
      </c>
      <c r="F203" s="62" t="s">
        <v>46</v>
      </c>
      <c r="G203" s="63" t="s">
        <v>46</v>
      </c>
      <c r="H203" s="64"/>
      <c r="I203" s="64" t="s">
        <v>629</v>
      </c>
      <c r="J203" s="65">
        <v>1</v>
      </c>
      <c r="K203" s="66">
        <f>13000</f>
        <v>13000</v>
      </c>
      <c r="L203" s="67" t="s">
        <v>853</v>
      </c>
      <c r="M203" s="66">
        <f>13230</f>
        <v>13230</v>
      </c>
      <c r="N203" s="67" t="s">
        <v>853</v>
      </c>
      <c r="O203" s="66">
        <f>12450</f>
        <v>12450</v>
      </c>
      <c r="P203" s="67" t="s">
        <v>371</v>
      </c>
      <c r="Q203" s="66">
        <f>12500</f>
        <v>12500</v>
      </c>
      <c r="R203" s="67" t="s">
        <v>50</v>
      </c>
      <c r="S203" s="68">
        <f>12764</f>
        <v>12764</v>
      </c>
      <c r="T203" s="65">
        <f>331</f>
        <v>331</v>
      </c>
      <c r="U203" s="65">
        <f>1</f>
        <v>1</v>
      </c>
      <c r="V203" s="65">
        <f>4211700</f>
        <v>4211700</v>
      </c>
      <c r="W203" s="65">
        <f>12700</f>
        <v>12700</v>
      </c>
      <c r="X203" s="69">
        <f>15</f>
        <v>15</v>
      </c>
    </row>
    <row r="204" spans="1:24">
      <c r="A204" s="60" t="s">
        <v>926</v>
      </c>
      <c r="B204" s="60" t="s">
        <v>666</v>
      </c>
      <c r="C204" s="60" t="s">
        <v>667</v>
      </c>
      <c r="D204" s="60" t="s">
        <v>668</v>
      </c>
      <c r="E204" s="61" t="s">
        <v>46</v>
      </c>
      <c r="F204" s="62" t="s">
        <v>46</v>
      </c>
      <c r="G204" s="63" t="s">
        <v>46</v>
      </c>
      <c r="H204" s="64"/>
      <c r="I204" s="64" t="s">
        <v>629</v>
      </c>
      <c r="J204" s="65">
        <v>1</v>
      </c>
      <c r="K204" s="66">
        <f>18860</f>
        <v>18860</v>
      </c>
      <c r="L204" s="67" t="s">
        <v>853</v>
      </c>
      <c r="M204" s="66">
        <f>19060</f>
        <v>19060</v>
      </c>
      <c r="N204" s="67" t="s">
        <v>857</v>
      </c>
      <c r="O204" s="66">
        <f>18320</f>
        <v>18320</v>
      </c>
      <c r="P204" s="67" t="s">
        <v>371</v>
      </c>
      <c r="Q204" s="66">
        <f>18850</f>
        <v>18850</v>
      </c>
      <c r="R204" s="67" t="s">
        <v>873</v>
      </c>
      <c r="S204" s="68">
        <f>18780.5</f>
        <v>18780.5</v>
      </c>
      <c r="T204" s="65">
        <f>13703</f>
        <v>13703</v>
      </c>
      <c r="U204" s="65">
        <f>8</f>
        <v>8</v>
      </c>
      <c r="V204" s="65">
        <f>257224500</f>
        <v>257224500</v>
      </c>
      <c r="W204" s="65">
        <f>151310</f>
        <v>151310</v>
      </c>
      <c r="X204" s="69">
        <f>20</f>
        <v>20</v>
      </c>
    </row>
    <row r="205" spans="1:24">
      <c r="A205" s="60" t="s">
        <v>926</v>
      </c>
      <c r="B205" s="60" t="s">
        <v>669</v>
      </c>
      <c r="C205" s="60" t="s">
        <v>670</v>
      </c>
      <c r="D205" s="60" t="s">
        <v>671</v>
      </c>
      <c r="E205" s="61" t="s">
        <v>46</v>
      </c>
      <c r="F205" s="62" t="s">
        <v>46</v>
      </c>
      <c r="G205" s="63" t="s">
        <v>46</v>
      </c>
      <c r="H205" s="64"/>
      <c r="I205" s="64" t="s">
        <v>629</v>
      </c>
      <c r="J205" s="65">
        <v>1</v>
      </c>
      <c r="K205" s="66">
        <f>13790</f>
        <v>13790</v>
      </c>
      <c r="L205" s="67" t="s">
        <v>853</v>
      </c>
      <c r="M205" s="66">
        <f>13900</f>
        <v>13900</v>
      </c>
      <c r="N205" s="67" t="s">
        <v>49</v>
      </c>
      <c r="O205" s="66">
        <f>13400</f>
        <v>13400</v>
      </c>
      <c r="P205" s="67" t="s">
        <v>371</v>
      </c>
      <c r="Q205" s="66">
        <f>13740</f>
        <v>13740</v>
      </c>
      <c r="R205" s="67" t="s">
        <v>873</v>
      </c>
      <c r="S205" s="68">
        <f>13701.76</f>
        <v>13701.76</v>
      </c>
      <c r="T205" s="65">
        <f>334</f>
        <v>334</v>
      </c>
      <c r="U205" s="65">
        <f>1</f>
        <v>1</v>
      </c>
      <c r="V205" s="65">
        <f>4588260</f>
        <v>4588260</v>
      </c>
      <c r="W205" s="65">
        <f>13670</f>
        <v>13670</v>
      </c>
      <c r="X205" s="69">
        <f>17</f>
        <v>17</v>
      </c>
    </row>
    <row r="206" spans="1:24">
      <c r="A206" s="60" t="s">
        <v>926</v>
      </c>
      <c r="B206" s="60" t="s">
        <v>672</v>
      </c>
      <c r="C206" s="60" t="s">
        <v>673</v>
      </c>
      <c r="D206" s="60" t="s">
        <v>674</v>
      </c>
      <c r="E206" s="61" t="s">
        <v>46</v>
      </c>
      <c r="F206" s="62" t="s">
        <v>46</v>
      </c>
      <c r="G206" s="63" t="s">
        <v>46</v>
      </c>
      <c r="H206" s="64"/>
      <c r="I206" s="64" t="s">
        <v>629</v>
      </c>
      <c r="J206" s="65">
        <v>1</v>
      </c>
      <c r="K206" s="66">
        <f>14700</f>
        <v>14700</v>
      </c>
      <c r="L206" s="67" t="s">
        <v>853</v>
      </c>
      <c r="M206" s="66">
        <f>14820</f>
        <v>14820</v>
      </c>
      <c r="N206" s="67" t="s">
        <v>853</v>
      </c>
      <c r="O206" s="66">
        <f>14020</f>
        <v>14020</v>
      </c>
      <c r="P206" s="67" t="s">
        <v>371</v>
      </c>
      <c r="Q206" s="66">
        <f>14370</f>
        <v>14370</v>
      </c>
      <c r="R206" s="67" t="s">
        <v>873</v>
      </c>
      <c r="S206" s="68">
        <f>14483</f>
        <v>14483</v>
      </c>
      <c r="T206" s="65">
        <f>20530</f>
        <v>20530</v>
      </c>
      <c r="U206" s="65">
        <f>13</f>
        <v>13</v>
      </c>
      <c r="V206" s="65">
        <f>296344640</f>
        <v>296344640</v>
      </c>
      <c r="W206" s="65">
        <f>189390</f>
        <v>189390</v>
      </c>
      <c r="X206" s="69">
        <f>20</f>
        <v>20</v>
      </c>
    </row>
    <row r="207" spans="1:24">
      <c r="A207" s="60" t="s">
        <v>926</v>
      </c>
      <c r="B207" s="60" t="s">
        <v>675</v>
      </c>
      <c r="C207" s="60" t="s">
        <v>676</v>
      </c>
      <c r="D207" s="60" t="s">
        <v>677</v>
      </c>
      <c r="E207" s="61" t="s">
        <v>46</v>
      </c>
      <c r="F207" s="62" t="s">
        <v>46</v>
      </c>
      <c r="G207" s="63" t="s">
        <v>46</v>
      </c>
      <c r="H207" s="64"/>
      <c r="I207" s="64" t="s">
        <v>629</v>
      </c>
      <c r="J207" s="65">
        <v>1</v>
      </c>
      <c r="K207" s="66">
        <f>4320</f>
        <v>4320</v>
      </c>
      <c r="L207" s="67" t="s">
        <v>853</v>
      </c>
      <c r="M207" s="66">
        <f>4420</f>
        <v>4420</v>
      </c>
      <c r="N207" s="67" t="s">
        <v>613</v>
      </c>
      <c r="O207" s="66">
        <f>4225</f>
        <v>4225</v>
      </c>
      <c r="P207" s="67" t="s">
        <v>240</v>
      </c>
      <c r="Q207" s="66">
        <f>4275</f>
        <v>4275</v>
      </c>
      <c r="R207" s="67" t="s">
        <v>873</v>
      </c>
      <c r="S207" s="68">
        <f>4311.05</f>
        <v>4311.05</v>
      </c>
      <c r="T207" s="65">
        <f>4604</f>
        <v>4604</v>
      </c>
      <c r="U207" s="65">
        <f>10</f>
        <v>10</v>
      </c>
      <c r="V207" s="65">
        <f>19941480</f>
        <v>19941480</v>
      </c>
      <c r="W207" s="65">
        <f>43075</f>
        <v>43075</v>
      </c>
      <c r="X207" s="69">
        <f>19</f>
        <v>19</v>
      </c>
    </row>
    <row r="208" spans="1:24">
      <c r="A208" s="60" t="s">
        <v>926</v>
      </c>
      <c r="B208" s="60" t="s">
        <v>678</v>
      </c>
      <c r="C208" s="60" t="s">
        <v>679</v>
      </c>
      <c r="D208" s="60" t="s">
        <v>680</v>
      </c>
      <c r="E208" s="61" t="s">
        <v>46</v>
      </c>
      <c r="F208" s="62" t="s">
        <v>46</v>
      </c>
      <c r="G208" s="63" t="s">
        <v>46</v>
      </c>
      <c r="H208" s="64"/>
      <c r="I208" s="64" t="s">
        <v>629</v>
      </c>
      <c r="J208" s="65">
        <v>1</v>
      </c>
      <c r="K208" s="66">
        <f>11080</f>
        <v>11080</v>
      </c>
      <c r="L208" s="67" t="s">
        <v>857</v>
      </c>
      <c r="M208" s="66">
        <f>11170</f>
        <v>11170</v>
      </c>
      <c r="N208" s="67" t="s">
        <v>857</v>
      </c>
      <c r="O208" s="66">
        <f>10620</f>
        <v>10620</v>
      </c>
      <c r="P208" s="67" t="s">
        <v>859</v>
      </c>
      <c r="Q208" s="66">
        <f>10730</f>
        <v>10730</v>
      </c>
      <c r="R208" s="67" t="s">
        <v>873</v>
      </c>
      <c r="S208" s="68">
        <f>10942.5</f>
        <v>10942.5</v>
      </c>
      <c r="T208" s="65">
        <f>1540</f>
        <v>1540</v>
      </c>
      <c r="U208" s="65">
        <f>2</f>
        <v>2</v>
      </c>
      <c r="V208" s="65">
        <f>16935910</f>
        <v>16935910</v>
      </c>
      <c r="W208" s="65">
        <f>21540</f>
        <v>21540</v>
      </c>
      <c r="X208" s="69">
        <f>12</f>
        <v>12</v>
      </c>
    </row>
    <row r="209" spans="1:24">
      <c r="A209" s="60" t="s">
        <v>926</v>
      </c>
      <c r="B209" s="60" t="s">
        <v>681</v>
      </c>
      <c r="C209" s="60" t="s">
        <v>682</v>
      </c>
      <c r="D209" s="60" t="s">
        <v>683</v>
      </c>
      <c r="E209" s="61" t="s">
        <v>46</v>
      </c>
      <c r="F209" s="62" t="s">
        <v>46</v>
      </c>
      <c r="G209" s="63" t="s">
        <v>46</v>
      </c>
      <c r="H209" s="64"/>
      <c r="I209" s="64" t="s">
        <v>629</v>
      </c>
      <c r="J209" s="65">
        <v>1</v>
      </c>
      <c r="K209" s="66">
        <f>12110</f>
        <v>12110</v>
      </c>
      <c r="L209" s="67" t="s">
        <v>859</v>
      </c>
      <c r="M209" s="66">
        <f>12760</f>
        <v>12760</v>
      </c>
      <c r="N209" s="67" t="s">
        <v>92</v>
      </c>
      <c r="O209" s="66">
        <f>12110</f>
        <v>12110</v>
      </c>
      <c r="P209" s="67" t="s">
        <v>859</v>
      </c>
      <c r="Q209" s="66">
        <f>12620</f>
        <v>12620</v>
      </c>
      <c r="R209" s="67" t="s">
        <v>92</v>
      </c>
      <c r="S209" s="68">
        <f>12365</f>
        <v>12365</v>
      </c>
      <c r="T209" s="65">
        <f>4</f>
        <v>4</v>
      </c>
      <c r="U209" s="65">
        <f>1</f>
        <v>1</v>
      </c>
      <c r="V209" s="65">
        <f>50110</f>
        <v>50110</v>
      </c>
      <c r="W209" s="65">
        <f>12620</f>
        <v>12620</v>
      </c>
      <c r="X209" s="69">
        <f>2</f>
        <v>2</v>
      </c>
    </row>
    <row r="210" spans="1:24">
      <c r="A210" s="60" t="s">
        <v>926</v>
      </c>
      <c r="B210" s="60" t="s">
        <v>684</v>
      </c>
      <c r="C210" s="60" t="s">
        <v>685</v>
      </c>
      <c r="D210" s="60" t="s">
        <v>686</v>
      </c>
      <c r="E210" s="61" t="s">
        <v>46</v>
      </c>
      <c r="F210" s="62" t="s">
        <v>46</v>
      </c>
      <c r="G210" s="63" t="s">
        <v>46</v>
      </c>
      <c r="H210" s="64"/>
      <c r="I210" s="64" t="s">
        <v>629</v>
      </c>
      <c r="J210" s="65">
        <v>1</v>
      </c>
      <c r="K210" s="66">
        <f>12740</f>
        <v>12740</v>
      </c>
      <c r="L210" s="67" t="s">
        <v>96</v>
      </c>
      <c r="M210" s="66">
        <f>13000</f>
        <v>13000</v>
      </c>
      <c r="N210" s="67" t="s">
        <v>92</v>
      </c>
      <c r="O210" s="66">
        <f>12580</f>
        <v>12580</v>
      </c>
      <c r="P210" s="67" t="s">
        <v>859</v>
      </c>
      <c r="Q210" s="66">
        <f>12800</f>
        <v>12800</v>
      </c>
      <c r="R210" s="67" t="s">
        <v>240</v>
      </c>
      <c r="S210" s="68">
        <f>12760</f>
        <v>12760</v>
      </c>
      <c r="T210" s="65">
        <f>378</f>
        <v>378</v>
      </c>
      <c r="U210" s="65">
        <f>1</f>
        <v>1</v>
      </c>
      <c r="V210" s="65">
        <f>4831490</f>
        <v>4831490</v>
      </c>
      <c r="W210" s="65">
        <f>12750</f>
        <v>12750</v>
      </c>
      <c r="X210" s="69">
        <f>5</f>
        <v>5</v>
      </c>
    </row>
    <row r="211" spans="1:24">
      <c r="A211" s="60" t="s">
        <v>926</v>
      </c>
      <c r="B211" s="60" t="s">
        <v>687</v>
      </c>
      <c r="C211" s="60" t="s">
        <v>688</v>
      </c>
      <c r="D211" s="60" t="s">
        <v>689</v>
      </c>
      <c r="E211" s="61" t="s">
        <v>46</v>
      </c>
      <c r="F211" s="62" t="s">
        <v>46</v>
      </c>
      <c r="G211" s="63" t="s">
        <v>46</v>
      </c>
      <c r="H211" s="64"/>
      <c r="I211" s="64" t="s">
        <v>629</v>
      </c>
      <c r="J211" s="65">
        <v>1</v>
      </c>
      <c r="K211" s="66">
        <f>14450</f>
        <v>14450</v>
      </c>
      <c r="L211" s="67" t="s">
        <v>857</v>
      </c>
      <c r="M211" s="66">
        <f>14470</f>
        <v>14470</v>
      </c>
      <c r="N211" s="67" t="s">
        <v>131</v>
      </c>
      <c r="O211" s="66">
        <f>14190</f>
        <v>14190</v>
      </c>
      <c r="P211" s="67" t="s">
        <v>240</v>
      </c>
      <c r="Q211" s="66">
        <f>14340</f>
        <v>14340</v>
      </c>
      <c r="R211" s="67" t="s">
        <v>873</v>
      </c>
      <c r="S211" s="68">
        <f>14342</f>
        <v>14342</v>
      </c>
      <c r="T211" s="65">
        <f>12</f>
        <v>12</v>
      </c>
      <c r="U211" s="65" t="str">
        <f>"－"</f>
        <v>－</v>
      </c>
      <c r="V211" s="65">
        <f>171300</f>
        <v>171300</v>
      </c>
      <c r="W211" s="65" t="str">
        <f>"－"</f>
        <v>－</v>
      </c>
      <c r="X211" s="69">
        <f>5</f>
        <v>5</v>
      </c>
    </row>
    <row r="212" spans="1:24">
      <c r="A212" s="60" t="s">
        <v>926</v>
      </c>
      <c r="B212" s="60" t="s">
        <v>690</v>
      </c>
      <c r="C212" s="60" t="s">
        <v>691</v>
      </c>
      <c r="D212" s="60" t="s">
        <v>692</v>
      </c>
      <c r="E212" s="61" t="s">
        <v>46</v>
      </c>
      <c r="F212" s="62" t="s">
        <v>46</v>
      </c>
      <c r="G212" s="63" t="s">
        <v>46</v>
      </c>
      <c r="H212" s="64"/>
      <c r="I212" s="64" t="s">
        <v>629</v>
      </c>
      <c r="J212" s="65">
        <v>1</v>
      </c>
      <c r="K212" s="66">
        <f>12790</f>
        <v>12790</v>
      </c>
      <c r="L212" s="67" t="s">
        <v>853</v>
      </c>
      <c r="M212" s="66">
        <f>12990</f>
        <v>12990</v>
      </c>
      <c r="N212" s="67" t="s">
        <v>92</v>
      </c>
      <c r="O212" s="66">
        <f>12400</f>
        <v>12400</v>
      </c>
      <c r="P212" s="67" t="s">
        <v>371</v>
      </c>
      <c r="Q212" s="66">
        <f>12430</f>
        <v>12430</v>
      </c>
      <c r="R212" s="67" t="s">
        <v>873</v>
      </c>
      <c r="S212" s="68">
        <f>12685</f>
        <v>12685</v>
      </c>
      <c r="T212" s="65">
        <f>1970</f>
        <v>1970</v>
      </c>
      <c r="U212" s="65" t="str">
        <f>"－"</f>
        <v>－</v>
      </c>
      <c r="V212" s="65">
        <f>25138340</f>
        <v>25138340</v>
      </c>
      <c r="W212" s="65" t="str">
        <f>"－"</f>
        <v>－</v>
      </c>
      <c r="X212" s="69">
        <f>16</f>
        <v>16</v>
      </c>
    </row>
    <row r="213" spans="1:24">
      <c r="A213" s="60" t="s">
        <v>926</v>
      </c>
      <c r="B213" s="60" t="s">
        <v>693</v>
      </c>
      <c r="C213" s="60" t="s">
        <v>694</v>
      </c>
      <c r="D213" s="60" t="s">
        <v>695</v>
      </c>
      <c r="E213" s="61" t="s">
        <v>46</v>
      </c>
      <c r="F213" s="62" t="s">
        <v>46</v>
      </c>
      <c r="G213" s="63" t="s">
        <v>46</v>
      </c>
      <c r="H213" s="64"/>
      <c r="I213" s="64" t="s">
        <v>629</v>
      </c>
      <c r="J213" s="65">
        <v>1</v>
      </c>
      <c r="K213" s="66">
        <f>13160</f>
        <v>13160</v>
      </c>
      <c r="L213" s="67" t="s">
        <v>77</v>
      </c>
      <c r="M213" s="66">
        <f>13160</f>
        <v>13160</v>
      </c>
      <c r="N213" s="67" t="s">
        <v>77</v>
      </c>
      <c r="O213" s="66">
        <f>12440</f>
        <v>12440</v>
      </c>
      <c r="P213" s="67" t="s">
        <v>371</v>
      </c>
      <c r="Q213" s="66">
        <f>12670</f>
        <v>12670</v>
      </c>
      <c r="R213" s="67" t="s">
        <v>88</v>
      </c>
      <c r="S213" s="68">
        <f>12790</f>
        <v>12790</v>
      </c>
      <c r="T213" s="65">
        <f>371</f>
        <v>371</v>
      </c>
      <c r="U213" s="65" t="str">
        <f>"－"</f>
        <v>－</v>
      </c>
      <c r="V213" s="65">
        <f>4695800</f>
        <v>4695800</v>
      </c>
      <c r="W213" s="65" t="str">
        <f>"－"</f>
        <v>－</v>
      </c>
      <c r="X213" s="69">
        <f>5</f>
        <v>5</v>
      </c>
    </row>
    <row r="214" spans="1:24">
      <c r="A214" s="60" t="s">
        <v>926</v>
      </c>
      <c r="B214" s="60" t="s">
        <v>696</v>
      </c>
      <c r="C214" s="60" t="s">
        <v>697</v>
      </c>
      <c r="D214" s="60" t="s">
        <v>698</v>
      </c>
      <c r="E214" s="61" t="s">
        <v>46</v>
      </c>
      <c r="F214" s="62" t="s">
        <v>46</v>
      </c>
      <c r="G214" s="63" t="s">
        <v>46</v>
      </c>
      <c r="H214" s="64"/>
      <c r="I214" s="64" t="s">
        <v>629</v>
      </c>
      <c r="J214" s="65">
        <v>1</v>
      </c>
      <c r="K214" s="66">
        <f>12650</f>
        <v>12650</v>
      </c>
      <c r="L214" s="67" t="s">
        <v>96</v>
      </c>
      <c r="M214" s="66">
        <f>12650</f>
        <v>12650</v>
      </c>
      <c r="N214" s="67" t="s">
        <v>96</v>
      </c>
      <c r="O214" s="66">
        <f>12500</f>
        <v>12500</v>
      </c>
      <c r="P214" s="67" t="s">
        <v>859</v>
      </c>
      <c r="Q214" s="66">
        <f>12500</f>
        <v>12500</v>
      </c>
      <c r="R214" s="67" t="s">
        <v>859</v>
      </c>
      <c r="S214" s="68">
        <f>12575</f>
        <v>12575</v>
      </c>
      <c r="T214" s="65">
        <f>177</f>
        <v>177</v>
      </c>
      <c r="U214" s="65" t="str">
        <f>"－"</f>
        <v>－</v>
      </c>
      <c r="V214" s="65">
        <f>2238000</f>
        <v>2238000</v>
      </c>
      <c r="W214" s="65" t="str">
        <f>"－"</f>
        <v>－</v>
      </c>
      <c r="X214" s="69">
        <f>2</f>
        <v>2</v>
      </c>
    </row>
    <row r="215" spans="1:24">
      <c r="A215" s="60" t="s">
        <v>926</v>
      </c>
      <c r="B215" s="60" t="s">
        <v>699</v>
      </c>
      <c r="C215" s="60" t="s">
        <v>700</v>
      </c>
      <c r="D215" s="60" t="s">
        <v>701</v>
      </c>
      <c r="E215" s="61" t="s">
        <v>46</v>
      </c>
      <c r="F215" s="62" t="s">
        <v>46</v>
      </c>
      <c r="G215" s="63" t="s">
        <v>46</v>
      </c>
      <c r="H215" s="64"/>
      <c r="I215" s="64" t="s">
        <v>629</v>
      </c>
      <c r="J215" s="65">
        <v>1</v>
      </c>
      <c r="K215" s="66">
        <f>10250</f>
        <v>10250</v>
      </c>
      <c r="L215" s="67" t="s">
        <v>853</v>
      </c>
      <c r="M215" s="66">
        <f>10400</f>
        <v>10400</v>
      </c>
      <c r="N215" s="67" t="s">
        <v>92</v>
      </c>
      <c r="O215" s="66">
        <f>10030</f>
        <v>10030</v>
      </c>
      <c r="P215" s="67" t="s">
        <v>873</v>
      </c>
      <c r="Q215" s="66">
        <f>10030</f>
        <v>10030</v>
      </c>
      <c r="R215" s="67" t="s">
        <v>873</v>
      </c>
      <c r="S215" s="68">
        <f>10240</f>
        <v>10240</v>
      </c>
      <c r="T215" s="65">
        <f>6086</f>
        <v>6086</v>
      </c>
      <c r="U215" s="65">
        <f>3</f>
        <v>3</v>
      </c>
      <c r="V215" s="65">
        <f>62075670</f>
        <v>62075670</v>
      </c>
      <c r="W215" s="65">
        <f>30800</f>
        <v>30800</v>
      </c>
      <c r="X215" s="69">
        <f>13</f>
        <v>13</v>
      </c>
    </row>
    <row r="216" spans="1:24">
      <c r="A216" s="60" t="s">
        <v>926</v>
      </c>
      <c r="B216" s="60" t="s">
        <v>702</v>
      </c>
      <c r="C216" s="60" t="s">
        <v>703</v>
      </c>
      <c r="D216" s="60" t="s">
        <v>704</v>
      </c>
      <c r="E216" s="61" t="s">
        <v>46</v>
      </c>
      <c r="F216" s="62" t="s">
        <v>46</v>
      </c>
      <c r="G216" s="63" t="s">
        <v>46</v>
      </c>
      <c r="H216" s="64"/>
      <c r="I216" s="64" t="s">
        <v>629</v>
      </c>
      <c r="J216" s="65">
        <v>1</v>
      </c>
      <c r="K216" s="66">
        <f>10830</f>
        <v>10830</v>
      </c>
      <c r="L216" s="67" t="s">
        <v>853</v>
      </c>
      <c r="M216" s="66">
        <f>11030</f>
        <v>11030</v>
      </c>
      <c r="N216" s="67" t="s">
        <v>92</v>
      </c>
      <c r="O216" s="66">
        <f>10560</f>
        <v>10560</v>
      </c>
      <c r="P216" s="67" t="s">
        <v>859</v>
      </c>
      <c r="Q216" s="66">
        <f>10800</f>
        <v>10800</v>
      </c>
      <c r="R216" s="67" t="s">
        <v>873</v>
      </c>
      <c r="S216" s="68">
        <f>10829.5</f>
        <v>10829.5</v>
      </c>
      <c r="T216" s="65">
        <f>34362</f>
        <v>34362</v>
      </c>
      <c r="U216" s="65">
        <f>2</f>
        <v>2</v>
      </c>
      <c r="V216" s="65">
        <f>372755700</f>
        <v>372755700</v>
      </c>
      <c r="W216" s="65">
        <f>21870</f>
        <v>21870</v>
      </c>
      <c r="X216" s="69">
        <f>20</f>
        <v>20</v>
      </c>
    </row>
    <row r="217" spans="1:24">
      <c r="A217" s="60" t="s">
        <v>926</v>
      </c>
      <c r="B217" s="60" t="s">
        <v>705</v>
      </c>
      <c r="C217" s="60" t="s">
        <v>706</v>
      </c>
      <c r="D217" s="60" t="s">
        <v>707</v>
      </c>
      <c r="E217" s="61" t="s">
        <v>46</v>
      </c>
      <c r="F217" s="62" t="s">
        <v>46</v>
      </c>
      <c r="G217" s="63" t="s">
        <v>46</v>
      </c>
      <c r="H217" s="64"/>
      <c r="I217" s="64" t="s">
        <v>629</v>
      </c>
      <c r="J217" s="65">
        <v>1</v>
      </c>
      <c r="K217" s="66">
        <f>10610</f>
        <v>10610</v>
      </c>
      <c r="L217" s="67" t="s">
        <v>853</v>
      </c>
      <c r="M217" s="66">
        <f>10700</f>
        <v>10700</v>
      </c>
      <c r="N217" s="67" t="s">
        <v>49</v>
      </c>
      <c r="O217" s="66">
        <f>10210</f>
        <v>10210</v>
      </c>
      <c r="P217" s="67" t="s">
        <v>859</v>
      </c>
      <c r="Q217" s="66">
        <f>10350</f>
        <v>10350</v>
      </c>
      <c r="R217" s="67" t="s">
        <v>873</v>
      </c>
      <c r="S217" s="68">
        <f>10462.14</f>
        <v>10462.14</v>
      </c>
      <c r="T217" s="65">
        <f>8405</f>
        <v>8405</v>
      </c>
      <c r="U217" s="65">
        <f>2</f>
        <v>2</v>
      </c>
      <c r="V217" s="65">
        <f>88204630</f>
        <v>88204630</v>
      </c>
      <c r="W217" s="65">
        <f>20920</f>
        <v>20920</v>
      </c>
      <c r="X217" s="69">
        <f>14</f>
        <v>14</v>
      </c>
    </row>
    <row r="218" spans="1:24">
      <c r="A218" s="60" t="s">
        <v>926</v>
      </c>
      <c r="B218" s="60" t="s">
        <v>708</v>
      </c>
      <c r="C218" s="60" t="s">
        <v>709</v>
      </c>
      <c r="D218" s="60" t="s">
        <v>710</v>
      </c>
      <c r="E218" s="61" t="s">
        <v>46</v>
      </c>
      <c r="F218" s="62" t="s">
        <v>46</v>
      </c>
      <c r="G218" s="63" t="s">
        <v>46</v>
      </c>
      <c r="H218" s="64"/>
      <c r="I218" s="64" t="s">
        <v>47</v>
      </c>
      <c r="J218" s="65">
        <v>10</v>
      </c>
      <c r="K218" s="66">
        <f>996</f>
        <v>996</v>
      </c>
      <c r="L218" s="67" t="s">
        <v>853</v>
      </c>
      <c r="M218" s="66">
        <f>1001</f>
        <v>1001</v>
      </c>
      <c r="N218" s="67" t="s">
        <v>371</v>
      </c>
      <c r="O218" s="66">
        <f>994</f>
        <v>994</v>
      </c>
      <c r="P218" s="67" t="s">
        <v>853</v>
      </c>
      <c r="Q218" s="66">
        <f>1000</f>
        <v>1000</v>
      </c>
      <c r="R218" s="67" t="s">
        <v>873</v>
      </c>
      <c r="S218" s="68">
        <f>998.25</f>
        <v>998.25</v>
      </c>
      <c r="T218" s="65">
        <f>4510840</f>
        <v>4510840</v>
      </c>
      <c r="U218" s="65">
        <f>3408730</f>
        <v>3408730</v>
      </c>
      <c r="V218" s="65">
        <f>4509357148</f>
        <v>4509357148</v>
      </c>
      <c r="W218" s="65">
        <f>3407494498</f>
        <v>3407494498</v>
      </c>
      <c r="X218" s="69">
        <f>20</f>
        <v>20</v>
      </c>
    </row>
    <row r="219" spans="1:24">
      <c r="A219" s="60" t="s">
        <v>926</v>
      </c>
      <c r="B219" s="60" t="s">
        <v>711</v>
      </c>
      <c r="C219" s="60" t="s">
        <v>712</v>
      </c>
      <c r="D219" s="60" t="s">
        <v>713</v>
      </c>
      <c r="E219" s="61" t="s">
        <v>46</v>
      </c>
      <c r="F219" s="62" t="s">
        <v>46</v>
      </c>
      <c r="G219" s="63" t="s">
        <v>46</v>
      </c>
      <c r="H219" s="64"/>
      <c r="I219" s="64" t="s">
        <v>47</v>
      </c>
      <c r="J219" s="65">
        <v>10</v>
      </c>
      <c r="K219" s="66">
        <f>1026</f>
        <v>1026</v>
      </c>
      <c r="L219" s="67" t="s">
        <v>853</v>
      </c>
      <c r="M219" s="66">
        <f>1045</f>
        <v>1045</v>
      </c>
      <c r="N219" s="67" t="s">
        <v>84</v>
      </c>
      <c r="O219" s="66">
        <f>1018</f>
        <v>1018</v>
      </c>
      <c r="P219" s="67" t="s">
        <v>854</v>
      </c>
      <c r="Q219" s="66">
        <f>1027</f>
        <v>1027</v>
      </c>
      <c r="R219" s="67" t="s">
        <v>873</v>
      </c>
      <c r="S219" s="68">
        <f>1027.3</f>
        <v>1027.3</v>
      </c>
      <c r="T219" s="65">
        <f>4053340</f>
        <v>4053340</v>
      </c>
      <c r="U219" s="65">
        <f>3177540</f>
        <v>3177540</v>
      </c>
      <c r="V219" s="65">
        <f>4162288378</f>
        <v>4162288378</v>
      </c>
      <c r="W219" s="65">
        <f>3265564678</f>
        <v>3265564678</v>
      </c>
      <c r="X219" s="69">
        <f>20</f>
        <v>20</v>
      </c>
    </row>
    <row r="220" spans="1:24">
      <c r="A220" s="60" t="s">
        <v>926</v>
      </c>
      <c r="B220" s="60" t="s">
        <v>714</v>
      </c>
      <c r="C220" s="60" t="s">
        <v>715</v>
      </c>
      <c r="D220" s="60" t="s">
        <v>716</v>
      </c>
      <c r="E220" s="61" t="s">
        <v>46</v>
      </c>
      <c r="F220" s="62" t="s">
        <v>46</v>
      </c>
      <c r="G220" s="63" t="s">
        <v>46</v>
      </c>
      <c r="H220" s="64"/>
      <c r="I220" s="64" t="s">
        <v>47</v>
      </c>
      <c r="J220" s="65">
        <v>10</v>
      </c>
      <c r="K220" s="66">
        <f>1020</f>
        <v>1020</v>
      </c>
      <c r="L220" s="67" t="s">
        <v>853</v>
      </c>
      <c r="M220" s="66">
        <f>1039</f>
        <v>1039</v>
      </c>
      <c r="N220" s="67" t="s">
        <v>50</v>
      </c>
      <c r="O220" s="66">
        <f>1019</f>
        <v>1019</v>
      </c>
      <c r="P220" s="67" t="s">
        <v>853</v>
      </c>
      <c r="Q220" s="66">
        <f>1038</f>
        <v>1038</v>
      </c>
      <c r="R220" s="67" t="s">
        <v>873</v>
      </c>
      <c r="S220" s="68">
        <f>1029.75</f>
        <v>1029.75</v>
      </c>
      <c r="T220" s="65">
        <f>12529520</f>
        <v>12529520</v>
      </c>
      <c r="U220" s="65">
        <f>11591340</f>
        <v>11591340</v>
      </c>
      <c r="V220" s="65">
        <f>12938940114</f>
        <v>12938940114</v>
      </c>
      <c r="W220" s="65">
        <f>11971083784</f>
        <v>11971083784</v>
      </c>
      <c r="X220" s="69">
        <f>20</f>
        <v>20</v>
      </c>
    </row>
    <row r="221" spans="1:24">
      <c r="A221" s="60" t="s">
        <v>926</v>
      </c>
      <c r="B221" s="60" t="s">
        <v>717</v>
      </c>
      <c r="C221" s="60" t="s">
        <v>718</v>
      </c>
      <c r="D221" s="60" t="s">
        <v>719</v>
      </c>
      <c r="E221" s="61" t="s">
        <v>46</v>
      </c>
      <c r="F221" s="62" t="s">
        <v>46</v>
      </c>
      <c r="G221" s="63" t="s">
        <v>46</v>
      </c>
      <c r="H221" s="64"/>
      <c r="I221" s="64" t="s">
        <v>47</v>
      </c>
      <c r="J221" s="65">
        <v>10</v>
      </c>
      <c r="K221" s="66">
        <f>1524</f>
        <v>1524</v>
      </c>
      <c r="L221" s="67" t="s">
        <v>853</v>
      </c>
      <c r="M221" s="66">
        <f>1542</f>
        <v>1542</v>
      </c>
      <c r="N221" s="67" t="s">
        <v>240</v>
      </c>
      <c r="O221" s="66">
        <f>1474</f>
        <v>1474</v>
      </c>
      <c r="P221" s="67" t="s">
        <v>371</v>
      </c>
      <c r="Q221" s="66">
        <f>1518</f>
        <v>1518</v>
      </c>
      <c r="R221" s="67" t="s">
        <v>873</v>
      </c>
      <c r="S221" s="68">
        <f>1519.2</f>
        <v>1519.2</v>
      </c>
      <c r="T221" s="65">
        <f>2638650</f>
        <v>2638650</v>
      </c>
      <c r="U221" s="65">
        <f>1903030</f>
        <v>1903030</v>
      </c>
      <c r="V221" s="65">
        <f>4016073998</f>
        <v>4016073998</v>
      </c>
      <c r="W221" s="65">
        <f>2897552108</f>
        <v>2897552108</v>
      </c>
      <c r="X221" s="69">
        <f>20</f>
        <v>20</v>
      </c>
    </row>
    <row r="222" spans="1:24">
      <c r="A222" s="60" t="s">
        <v>926</v>
      </c>
      <c r="B222" s="60" t="s">
        <v>720</v>
      </c>
      <c r="C222" s="60" t="s">
        <v>721</v>
      </c>
      <c r="D222" s="60" t="s">
        <v>722</v>
      </c>
      <c r="E222" s="61" t="s">
        <v>46</v>
      </c>
      <c r="F222" s="62" t="s">
        <v>46</v>
      </c>
      <c r="G222" s="63" t="s">
        <v>46</v>
      </c>
      <c r="H222" s="64"/>
      <c r="I222" s="64" t="s">
        <v>47</v>
      </c>
      <c r="J222" s="65">
        <v>10</v>
      </c>
      <c r="K222" s="66">
        <f>1482</f>
        <v>1482</v>
      </c>
      <c r="L222" s="67" t="s">
        <v>853</v>
      </c>
      <c r="M222" s="66">
        <f>1517</f>
        <v>1517</v>
      </c>
      <c r="N222" s="67" t="s">
        <v>240</v>
      </c>
      <c r="O222" s="66">
        <f>1470</f>
        <v>1470</v>
      </c>
      <c r="P222" s="67" t="s">
        <v>371</v>
      </c>
      <c r="Q222" s="66">
        <f>1503</f>
        <v>1503</v>
      </c>
      <c r="R222" s="67" t="s">
        <v>873</v>
      </c>
      <c r="S222" s="68">
        <f>1496.25</f>
        <v>1496.25</v>
      </c>
      <c r="T222" s="65">
        <f>1100600</f>
        <v>1100600</v>
      </c>
      <c r="U222" s="65">
        <f>985010</f>
        <v>985010</v>
      </c>
      <c r="V222" s="65">
        <f>1652632144</f>
        <v>1652632144</v>
      </c>
      <c r="W222" s="65">
        <f>1480323524</f>
        <v>1480323524</v>
      </c>
      <c r="X222" s="69">
        <f>20</f>
        <v>20</v>
      </c>
    </row>
    <row r="223" spans="1:24">
      <c r="A223" s="60" t="s">
        <v>926</v>
      </c>
      <c r="B223" s="60" t="s">
        <v>723</v>
      </c>
      <c r="C223" s="60" t="s">
        <v>724</v>
      </c>
      <c r="D223" s="60" t="s">
        <v>725</v>
      </c>
      <c r="E223" s="61" t="s">
        <v>46</v>
      </c>
      <c r="F223" s="62" t="s">
        <v>46</v>
      </c>
      <c r="G223" s="63" t="s">
        <v>46</v>
      </c>
      <c r="H223" s="64"/>
      <c r="I223" s="64" t="s">
        <v>47</v>
      </c>
      <c r="J223" s="65">
        <v>10</v>
      </c>
      <c r="K223" s="66">
        <f>1145</f>
        <v>1145</v>
      </c>
      <c r="L223" s="67" t="s">
        <v>853</v>
      </c>
      <c r="M223" s="66">
        <f>1174</f>
        <v>1174</v>
      </c>
      <c r="N223" s="67" t="s">
        <v>88</v>
      </c>
      <c r="O223" s="66">
        <f>1130</f>
        <v>1130</v>
      </c>
      <c r="P223" s="67" t="s">
        <v>371</v>
      </c>
      <c r="Q223" s="66">
        <f>1165</f>
        <v>1165</v>
      </c>
      <c r="R223" s="67" t="s">
        <v>873</v>
      </c>
      <c r="S223" s="68">
        <f>1156.05</f>
        <v>1156.05</v>
      </c>
      <c r="T223" s="65">
        <f>801800</f>
        <v>801800</v>
      </c>
      <c r="U223" s="65">
        <f>379820</f>
        <v>379820</v>
      </c>
      <c r="V223" s="65">
        <f>932019130</f>
        <v>932019130</v>
      </c>
      <c r="W223" s="65">
        <f>442414390</f>
        <v>442414390</v>
      </c>
      <c r="X223" s="69">
        <f>20</f>
        <v>20</v>
      </c>
    </row>
    <row r="224" spans="1:24">
      <c r="A224" s="60" t="s">
        <v>926</v>
      </c>
      <c r="B224" s="60" t="s">
        <v>726</v>
      </c>
      <c r="C224" s="60" t="s">
        <v>727</v>
      </c>
      <c r="D224" s="60" t="s">
        <v>728</v>
      </c>
      <c r="E224" s="61" t="s">
        <v>46</v>
      </c>
      <c r="F224" s="62" t="s">
        <v>46</v>
      </c>
      <c r="G224" s="63" t="s">
        <v>46</v>
      </c>
      <c r="H224" s="64"/>
      <c r="I224" s="64" t="s">
        <v>47</v>
      </c>
      <c r="J224" s="65">
        <v>10</v>
      </c>
      <c r="K224" s="66">
        <f>927</f>
        <v>927</v>
      </c>
      <c r="L224" s="67" t="s">
        <v>853</v>
      </c>
      <c r="M224" s="66">
        <f>927</f>
        <v>927</v>
      </c>
      <c r="N224" s="67" t="s">
        <v>853</v>
      </c>
      <c r="O224" s="66">
        <f>840</f>
        <v>840</v>
      </c>
      <c r="P224" s="67" t="s">
        <v>873</v>
      </c>
      <c r="Q224" s="66">
        <f>842</f>
        <v>842</v>
      </c>
      <c r="R224" s="67" t="s">
        <v>873</v>
      </c>
      <c r="S224" s="68">
        <f>891.7</f>
        <v>891.7</v>
      </c>
      <c r="T224" s="65">
        <f>7591510</f>
        <v>7591510</v>
      </c>
      <c r="U224" s="65">
        <f>3850</f>
        <v>3850</v>
      </c>
      <c r="V224" s="65">
        <f>6717577652</f>
        <v>6717577652</v>
      </c>
      <c r="W224" s="65">
        <f>3447712</f>
        <v>3447712</v>
      </c>
      <c r="X224" s="69">
        <f>20</f>
        <v>20</v>
      </c>
    </row>
    <row r="225" spans="1:24">
      <c r="A225" s="60" t="s">
        <v>926</v>
      </c>
      <c r="B225" s="60" t="s">
        <v>729</v>
      </c>
      <c r="C225" s="60" t="s">
        <v>730</v>
      </c>
      <c r="D225" s="60" t="s">
        <v>731</v>
      </c>
      <c r="E225" s="61" t="s">
        <v>46</v>
      </c>
      <c r="F225" s="62" t="s">
        <v>46</v>
      </c>
      <c r="G225" s="63" t="s">
        <v>46</v>
      </c>
      <c r="H225" s="64"/>
      <c r="I225" s="64" t="s">
        <v>47</v>
      </c>
      <c r="J225" s="65">
        <v>10</v>
      </c>
      <c r="K225" s="66">
        <f>1262</f>
        <v>1262</v>
      </c>
      <c r="L225" s="67" t="s">
        <v>853</v>
      </c>
      <c r="M225" s="66">
        <f>1290</f>
        <v>1290</v>
      </c>
      <c r="N225" s="67" t="s">
        <v>92</v>
      </c>
      <c r="O225" s="66">
        <f>1250</f>
        <v>1250</v>
      </c>
      <c r="P225" s="67" t="s">
        <v>371</v>
      </c>
      <c r="Q225" s="66">
        <f>1273</f>
        <v>1273</v>
      </c>
      <c r="R225" s="67" t="s">
        <v>873</v>
      </c>
      <c r="S225" s="68">
        <f>1273.1</f>
        <v>1273.0999999999999</v>
      </c>
      <c r="T225" s="65">
        <f>381520</f>
        <v>381520</v>
      </c>
      <c r="U225" s="65">
        <f>155100</f>
        <v>155100</v>
      </c>
      <c r="V225" s="65">
        <f>486964040</f>
        <v>486964040</v>
      </c>
      <c r="W225" s="65">
        <f>198535180</f>
        <v>198535180</v>
      </c>
      <c r="X225" s="69">
        <f>20</f>
        <v>20</v>
      </c>
    </row>
    <row r="226" spans="1:24">
      <c r="A226" s="60" t="s">
        <v>926</v>
      </c>
      <c r="B226" s="60" t="s">
        <v>732</v>
      </c>
      <c r="C226" s="60" t="s">
        <v>733</v>
      </c>
      <c r="D226" s="60" t="s">
        <v>734</v>
      </c>
      <c r="E226" s="61" t="s">
        <v>46</v>
      </c>
      <c r="F226" s="62" t="s">
        <v>46</v>
      </c>
      <c r="G226" s="63" t="s">
        <v>46</v>
      </c>
      <c r="H226" s="64"/>
      <c r="I226" s="64" t="s">
        <v>47</v>
      </c>
      <c r="J226" s="65">
        <v>1</v>
      </c>
      <c r="K226" s="66">
        <f>1118</f>
        <v>1118</v>
      </c>
      <c r="L226" s="67" t="s">
        <v>853</v>
      </c>
      <c r="M226" s="66">
        <f>1131</f>
        <v>1131</v>
      </c>
      <c r="N226" s="67" t="s">
        <v>92</v>
      </c>
      <c r="O226" s="66">
        <f>1079</f>
        <v>1079</v>
      </c>
      <c r="P226" s="67" t="s">
        <v>859</v>
      </c>
      <c r="Q226" s="66">
        <f>1087</f>
        <v>1087</v>
      </c>
      <c r="R226" s="67" t="s">
        <v>873</v>
      </c>
      <c r="S226" s="68">
        <f>1108.65</f>
        <v>1108.6500000000001</v>
      </c>
      <c r="T226" s="65">
        <f>69446</f>
        <v>69446</v>
      </c>
      <c r="U226" s="65">
        <f>45010</f>
        <v>45010</v>
      </c>
      <c r="V226" s="65">
        <f>77431689</f>
        <v>77431689</v>
      </c>
      <c r="W226" s="65">
        <f>50239481</f>
        <v>50239481</v>
      </c>
      <c r="X226" s="69">
        <f>20</f>
        <v>20</v>
      </c>
    </row>
    <row r="227" spans="1:24">
      <c r="A227" s="60" t="s">
        <v>926</v>
      </c>
      <c r="B227" s="60" t="s">
        <v>735</v>
      </c>
      <c r="C227" s="60" t="s">
        <v>736</v>
      </c>
      <c r="D227" s="60" t="s">
        <v>737</v>
      </c>
      <c r="E227" s="61" t="s">
        <v>46</v>
      </c>
      <c r="F227" s="62" t="s">
        <v>46</v>
      </c>
      <c r="G227" s="63" t="s">
        <v>46</v>
      </c>
      <c r="H227" s="64"/>
      <c r="I227" s="64" t="s">
        <v>47</v>
      </c>
      <c r="J227" s="65">
        <v>10</v>
      </c>
      <c r="K227" s="66">
        <f>1059</f>
        <v>1059</v>
      </c>
      <c r="L227" s="67" t="s">
        <v>853</v>
      </c>
      <c r="M227" s="66">
        <f>1064</f>
        <v>1064</v>
      </c>
      <c r="N227" s="67" t="s">
        <v>857</v>
      </c>
      <c r="O227" s="66">
        <f>1045</f>
        <v>1045</v>
      </c>
      <c r="P227" s="67" t="s">
        <v>859</v>
      </c>
      <c r="Q227" s="66">
        <f>1050</f>
        <v>1050</v>
      </c>
      <c r="R227" s="67" t="s">
        <v>873</v>
      </c>
      <c r="S227" s="68">
        <f>1053.2</f>
        <v>1053.2</v>
      </c>
      <c r="T227" s="65">
        <f>215240</f>
        <v>215240</v>
      </c>
      <c r="U227" s="65">
        <f>149040</f>
        <v>149040</v>
      </c>
      <c r="V227" s="65">
        <f>227087535</f>
        <v>227087535</v>
      </c>
      <c r="W227" s="65">
        <f>157344535</f>
        <v>157344535</v>
      </c>
      <c r="X227" s="69">
        <f>20</f>
        <v>20</v>
      </c>
    </row>
    <row r="228" spans="1:24">
      <c r="A228" s="60" t="s">
        <v>926</v>
      </c>
      <c r="B228" s="60" t="s">
        <v>738</v>
      </c>
      <c r="C228" s="60" t="s">
        <v>739</v>
      </c>
      <c r="D228" s="60" t="s">
        <v>740</v>
      </c>
      <c r="E228" s="61" t="s">
        <v>46</v>
      </c>
      <c r="F228" s="62" t="s">
        <v>46</v>
      </c>
      <c r="G228" s="63" t="s">
        <v>46</v>
      </c>
      <c r="H228" s="64"/>
      <c r="I228" s="64" t="s">
        <v>47</v>
      </c>
      <c r="J228" s="65">
        <v>10</v>
      </c>
      <c r="K228" s="66">
        <f>1319</f>
        <v>1319</v>
      </c>
      <c r="L228" s="67" t="s">
        <v>853</v>
      </c>
      <c r="M228" s="66">
        <f>1322</f>
        <v>1322</v>
      </c>
      <c r="N228" s="67" t="s">
        <v>853</v>
      </c>
      <c r="O228" s="66">
        <f>1184</f>
        <v>1184</v>
      </c>
      <c r="P228" s="67" t="s">
        <v>88</v>
      </c>
      <c r="Q228" s="66">
        <f>1214</f>
        <v>1214</v>
      </c>
      <c r="R228" s="67" t="s">
        <v>873</v>
      </c>
      <c r="S228" s="68">
        <f>1260.7</f>
        <v>1260.7</v>
      </c>
      <c r="T228" s="65">
        <f>205590</f>
        <v>205590</v>
      </c>
      <c r="U228" s="65">
        <f>112960</f>
        <v>112960</v>
      </c>
      <c r="V228" s="65">
        <f>257214828</f>
        <v>257214828</v>
      </c>
      <c r="W228" s="65">
        <f>140850378</f>
        <v>140850378</v>
      </c>
      <c r="X228" s="69">
        <f>20</f>
        <v>20</v>
      </c>
    </row>
    <row r="229" spans="1:24">
      <c r="A229" s="60" t="s">
        <v>926</v>
      </c>
      <c r="B229" s="60" t="s">
        <v>741</v>
      </c>
      <c r="C229" s="60" t="s">
        <v>742</v>
      </c>
      <c r="D229" s="60" t="s">
        <v>743</v>
      </c>
      <c r="E229" s="61" t="s">
        <v>46</v>
      </c>
      <c r="F229" s="62" t="s">
        <v>46</v>
      </c>
      <c r="G229" s="63" t="s">
        <v>46</v>
      </c>
      <c r="H229" s="64"/>
      <c r="I229" s="64" t="s">
        <v>47</v>
      </c>
      <c r="J229" s="65">
        <v>10</v>
      </c>
      <c r="K229" s="66">
        <f>1502</f>
        <v>1502</v>
      </c>
      <c r="L229" s="67" t="s">
        <v>853</v>
      </c>
      <c r="M229" s="66">
        <f>1543</f>
        <v>1543</v>
      </c>
      <c r="N229" s="67" t="s">
        <v>73</v>
      </c>
      <c r="O229" s="66">
        <f>1489</f>
        <v>1489</v>
      </c>
      <c r="P229" s="67" t="s">
        <v>371</v>
      </c>
      <c r="Q229" s="66">
        <f>1529</f>
        <v>1529</v>
      </c>
      <c r="R229" s="67" t="s">
        <v>873</v>
      </c>
      <c r="S229" s="68">
        <f>1519.2</f>
        <v>1519.2</v>
      </c>
      <c r="T229" s="65">
        <f>9536110</f>
        <v>9536110</v>
      </c>
      <c r="U229" s="65">
        <f>3613540</f>
        <v>3613540</v>
      </c>
      <c r="V229" s="65">
        <f>14485536563</f>
        <v>14485536563</v>
      </c>
      <c r="W229" s="65">
        <f>5488806633</f>
        <v>5488806633</v>
      </c>
      <c r="X229" s="69">
        <f>20</f>
        <v>20</v>
      </c>
    </row>
    <row r="230" spans="1:24">
      <c r="A230" s="60" t="s">
        <v>926</v>
      </c>
      <c r="B230" s="60" t="s">
        <v>744</v>
      </c>
      <c r="C230" s="60" t="s">
        <v>745</v>
      </c>
      <c r="D230" s="60" t="s">
        <v>746</v>
      </c>
      <c r="E230" s="61" t="s">
        <v>46</v>
      </c>
      <c r="F230" s="62" t="s">
        <v>46</v>
      </c>
      <c r="G230" s="63" t="s">
        <v>46</v>
      </c>
      <c r="H230" s="64"/>
      <c r="I230" s="64" t="s">
        <v>47</v>
      </c>
      <c r="J230" s="65">
        <v>1</v>
      </c>
      <c r="K230" s="66">
        <f>3895</f>
        <v>3895</v>
      </c>
      <c r="L230" s="67" t="s">
        <v>853</v>
      </c>
      <c r="M230" s="66">
        <f>3895</f>
        <v>3895</v>
      </c>
      <c r="N230" s="67" t="s">
        <v>853</v>
      </c>
      <c r="O230" s="66">
        <f>3660</f>
        <v>3660</v>
      </c>
      <c r="P230" s="67" t="s">
        <v>371</v>
      </c>
      <c r="Q230" s="66">
        <f>3845</f>
        <v>3845</v>
      </c>
      <c r="R230" s="67" t="s">
        <v>873</v>
      </c>
      <c r="S230" s="68">
        <f>3820.75</f>
        <v>3820.75</v>
      </c>
      <c r="T230" s="65">
        <f>37796</f>
        <v>37796</v>
      </c>
      <c r="U230" s="65">
        <f>4</f>
        <v>4</v>
      </c>
      <c r="V230" s="65">
        <f>144193950</f>
        <v>144193950</v>
      </c>
      <c r="W230" s="65">
        <f>15135</f>
        <v>15135</v>
      </c>
      <c r="X230" s="69">
        <f>20</f>
        <v>20</v>
      </c>
    </row>
    <row r="231" spans="1:24">
      <c r="A231" s="60" t="s">
        <v>926</v>
      </c>
      <c r="B231" s="60" t="s">
        <v>747</v>
      </c>
      <c r="C231" s="60" t="s">
        <v>748</v>
      </c>
      <c r="D231" s="60" t="s">
        <v>749</v>
      </c>
      <c r="E231" s="61" t="s">
        <v>46</v>
      </c>
      <c r="F231" s="62" t="s">
        <v>46</v>
      </c>
      <c r="G231" s="63" t="s">
        <v>46</v>
      </c>
      <c r="H231" s="64"/>
      <c r="I231" s="64" t="s">
        <v>47</v>
      </c>
      <c r="J231" s="65">
        <v>10</v>
      </c>
      <c r="K231" s="66">
        <f>1710</f>
        <v>1710</v>
      </c>
      <c r="L231" s="67" t="s">
        <v>853</v>
      </c>
      <c r="M231" s="66">
        <f>1731</f>
        <v>1731</v>
      </c>
      <c r="N231" s="67" t="s">
        <v>131</v>
      </c>
      <c r="O231" s="66">
        <f>1595</f>
        <v>1595</v>
      </c>
      <c r="P231" s="67" t="s">
        <v>268</v>
      </c>
      <c r="Q231" s="66">
        <f>1669</f>
        <v>1669</v>
      </c>
      <c r="R231" s="67" t="s">
        <v>873</v>
      </c>
      <c r="S231" s="68">
        <f>1688.32</f>
        <v>1688.32</v>
      </c>
      <c r="T231" s="65">
        <f>10100</f>
        <v>10100</v>
      </c>
      <c r="U231" s="65">
        <f>70</f>
        <v>70</v>
      </c>
      <c r="V231" s="65">
        <f>17026470</f>
        <v>17026470</v>
      </c>
      <c r="W231" s="65">
        <f>118050</f>
        <v>118050</v>
      </c>
      <c r="X231" s="69">
        <f>19</f>
        <v>19</v>
      </c>
    </row>
    <row r="232" spans="1:24">
      <c r="A232" s="60" t="s">
        <v>926</v>
      </c>
      <c r="B232" s="60" t="s">
        <v>750</v>
      </c>
      <c r="C232" s="60" t="s">
        <v>751</v>
      </c>
      <c r="D232" s="60" t="s">
        <v>752</v>
      </c>
      <c r="E232" s="61" t="s">
        <v>46</v>
      </c>
      <c r="F232" s="62" t="s">
        <v>46</v>
      </c>
      <c r="G232" s="63" t="s">
        <v>46</v>
      </c>
      <c r="H232" s="64"/>
      <c r="I232" s="64" t="s">
        <v>47</v>
      </c>
      <c r="J232" s="65">
        <v>10</v>
      </c>
      <c r="K232" s="66">
        <f>1992</f>
        <v>1992</v>
      </c>
      <c r="L232" s="67" t="s">
        <v>84</v>
      </c>
      <c r="M232" s="66">
        <f>2010</f>
        <v>2010</v>
      </c>
      <c r="N232" s="67" t="s">
        <v>92</v>
      </c>
      <c r="O232" s="66">
        <f>1930</f>
        <v>1930</v>
      </c>
      <c r="P232" s="67" t="s">
        <v>859</v>
      </c>
      <c r="Q232" s="66">
        <f>1984</f>
        <v>1984</v>
      </c>
      <c r="R232" s="67" t="s">
        <v>73</v>
      </c>
      <c r="S232" s="68">
        <f>1981.67</f>
        <v>1981.67</v>
      </c>
      <c r="T232" s="65">
        <f>47900</f>
        <v>47900</v>
      </c>
      <c r="U232" s="65" t="str">
        <f>"－"</f>
        <v>－</v>
      </c>
      <c r="V232" s="65">
        <f>94064970</f>
        <v>94064970</v>
      </c>
      <c r="W232" s="65" t="str">
        <f>"－"</f>
        <v>－</v>
      </c>
      <c r="X232" s="69">
        <f>9</f>
        <v>9</v>
      </c>
    </row>
    <row r="233" spans="1:24">
      <c r="A233" s="60" t="s">
        <v>926</v>
      </c>
      <c r="B233" s="60" t="s">
        <v>753</v>
      </c>
      <c r="C233" s="60" t="s">
        <v>754</v>
      </c>
      <c r="D233" s="60" t="s">
        <v>755</v>
      </c>
      <c r="E233" s="61" t="s">
        <v>46</v>
      </c>
      <c r="F233" s="62" t="s">
        <v>46</v>
      </c>
      <c r="G233" s="63" t="s">
        <v>46</v>
      </c>
      <c r="H233" s="64"/>
      <c r="I233" s="64" t="s">
        <v>47</v>
      </c>
      <c r="J233" s="65">
        <v>1</v>
      </c>
      <c r="K233" s="66">
        <f>29020</f>
        <v>29020</v>
      </c>
      <c r="L233" s="67" t="s">
        <v>84</v>
      </c>
      <c r="M233" s="66">
        <f>29050</f>
        <v>29050</v>
      </c>
      <c r="N233" s="67" t="s">
        <v>84</v>
      </c>
      <c r="O233" s="66">
        <f>27650</f>
        <v>27650</v>
      </c>
      <c r="P233" s="67" t="s">
        <v>873</v>
      </c>
      <c r="Q233" s="66">
        <f>27650</f>
        <v>27650</v>
      </c>
      <c r="R233" s="67" t="s">
        <v>873</v>
      </c>
      <c r="S233" s="68">
        <f>28262.5</f>
        <v>28262.5</v>
      </c>
      <c r="T233" s="65">
        <f>11082</f>
        <v>11082</v>
      </c>
      <c r="U233" s="65" t="str">
        <f>"－"</f>
        <v>－</v>
      </c>
      <c r="V233" s="65">
        <f>315031090</f>
        <v>315031090</v>
      </c>
      <c r="W233" s="65" t="str">
        <f>"－"</f>
        <v>－</v>
      </c>
      <c r="X233" s="69">
        <f>12</f>
        <v>12</v>
      </c>
    </row>
    <row r="234" spans="1:24">
      <c r="A234" s="60" t="s">
        <v>926</v>
      </c>
      <c r="B234" s="60" t="s">
        <v>756</v>
      </c>
      <c r="C234" s="60" t="s">
        <v>757</v>
      </c>
      <c r="D234" s="60" t="s">
        <v>758</v>
      </c>
      <c r="E234" s="61" t="s">
        <v>46</v>
      </c>
      <c r="F234" s="62" t="s">
        <v>46</v>
      </c>
      <c r="G234" s="63" t="s">
        <v>46</v>
      </c>
      <c r="H234" s="64"/>
      <c r="I234" s="64" t="s">
        <v>47</v>
      </c>
      <c r="J234" s="65">
        <v>1</v>
      </c>
      <c r="K234" s="66">
        <f>17800</f>
        <v>17800</v>
      </c>
      <c r="L234" s="67" t="s">
        <v>853</v>
      </c>
      <c r="M234" s="66">
        <f>18010</f>
        <v>18010</v>
      </c>
      <c r="N234" s="67" t="s">
        <v>92</v>
      </c>
      <c r="O234" s="66">
        <f>17250</f>
        <v>17250</v>
      </c>
      <c r="P234" s="67" t="s">
        <v>371</v>
      </c>
      <c r="Q234" s="66">
        <f>17430</f>
        <v>17430</v>
      </c>
      <c r="R234" s="67" t="s">
        <v>873</v>
      </c>
      <c r="S234" s="68">
        <f>17670.59</f>
        <v>17670.59</v>
      </c>
      <c r="T234" s="65">
        <f>50909</f>
        <v>50909</v>
      </c>
      <c r="U234" s="65">
        <f>7000</f>
        <v>7000</v>
      </c>
      <c r="V234" s="65">
        <f>900569490</f>
        <v>900569490</v>
      </c>
      <c r="W234" s="65">
        <f>123585000</f>
        <v>123585000</v>
      </c>
      <c r="X234" s="69">
        <f>17</f>
        <v>17</v>
      </c>
    </row>
    <row r="235" spans="1:24">
      <c r="A235" s="60" t="s">
        <v>926</v>
      </c>
      <c r="B235" s="60" t="s">
        <v>759</v>
      </c>
      <c r="C235" s="60" t="s">
        <v>760</v>
      </c>
      <c r="D235" s="60" t="s">
        <v>761</v>
      </c>
      <c r="E235" s="61" t="s">
        <v>46</v>
      </c>
      <c r="F235" s="62" t="s">
        <v>46</v>
      </c>
      <c r="G235" s="63" t="s">
        <v>46</v>
      </c>
      <c r="H235" s="64"/>
      <c r="I235" s="64" t="s">
        <v>47</v>
      </c>
      <c r="J235" s="65">
        <v>10</v>
      </c>
      <c r="K235" s="66">
        <f>1273</f>
        <v>1273</v>
      </c>
      <c r="L235" s="67" t="s">
        <v>853</v>
      </c>
      <c r="M235" s="66">
        <f>1308</f>
        <v>1308</v>
      </c>
      <c r="N235" s="67" t="s">
        <v>92</v>
      </c>
      <c r="O235" s="66">
        <f>1255</f>
        <v>1255</v>
      </c>
      <c r="P235" s="67" t="s">
        <v>371</v>
      </c>
      <c r="Q235" s="66">
        <f>1274</f>
        <v>1274</v>
      </c>
      <c r="R235" s="67" t="s">
        <v>88</v>
      </c>
      <c r="S235" s="68">
        <f>1282.83</f>
        <v>1282.83</v>
      </c>
      <c r="T235" s="65">
        <f>519810</f>
        <v>519810</v>
      </c>
      <c r="U235" s="65">
        <f>204010</f>
        <v>204010</v>
      </c>
      <c r="V235" s="65">
        <f>670683010</f>
        <v>670683010</v>
      </c>
      <c r="W235" s="65">
        <f>264632570</f>
        <v>264632570</v>
      </c>
      <c r="X235" s="69">
        <f>12</f>
        <v>12</v>
      </c>
    </row>
    <row r="236" spans="1:24">
      <c r="A236" s="60" t="s">
        <v>926</v>
      </c>
      <c r="B236" s="60" t="s">
        <v>762</v>
      </c>
      <c r="C236" s="60" t="s">
        <v>763</v>
      </c>
      <c r="D236" s="60" t="s">
        <v>764</v>
      </c>
      <c r="E236" s="61" t="s">
        <v>46</v>
      </c>
      <c r="F236" s="62" t="s">
        <v>46</v>
      </c>
      <c r="G236" s="63" t="s">
        <v>46</v>
      </c>
      <c r="H236" s="64"/>
      <c r="I236" s="64" t="s">
        <v>47</v>
      </c>
      <c r="J236" s="65">
        <v>10</v>
      </c>
      <c r="K236" s="66">
        <f>1263</f>
        <v>1263</v>
      </c>
      <c r="L236" s="67" t="s">
        <v>853</v>
      </c>
      <c r="M236" s="66">
        <f>1289</f>
        <v>1289</v>
      </c>
      <c r="N236" s="67" t="s">
        <v>92</v>
      </c>
      <c r="O236" s="66">
        <f>1250</f>
        <v>1250</v>
      </c>
      <c r="P236" s="67" t="s">
        <v>371</v>
      </c>
      <c r="Q236" s="66">
        <f>1273</f>
        <v>1273</v>
      </c>
      <c r="R236" s="67" t="s">
        <v>873</v>
      </c>
      <c r="S236" s="68">
        <f>1271.65</f>
        <v>1271.6500000000001</v>
      </c>
      <c r="T236" s="65">
        <f>26820</f>
        <v>26820</v>
      </c>
      <c r="U236" s="65">
        <f>60</f>
        <v>60</v>
      </c>
      <c r="V236" s="65">
        <f>33876800</f>
        <v>33876800</v>
      </c>
      <c r="W236" s="65">
        <f>76240</f>
        <v>76240</v>
      </c>
      <c r="X236" s="69">
        <f>20</f>
        <v>20</v>
      </c>
    </row>
    <row r="237" spans="1:24">
      <c r="A237" s="60" t="s">
        <v>926</v>
      </c>
      <c r="B237" s="60" t="s">
        <v>765</v>
      </c>
      <c r="C237" s="60" t="s">
        <v>766</v>
      </c>
      <c r="D237" s="60" t="s">
        <v>767</v>
      </c>
      <c r="E237" s="61" t="s">
        <v>46</v>
      </c>
      <c r="F237" s="62" t="s">
        <v>46</v>
      </c>
      <c r="G237" s="63" t="s">
        <v>46</v>
      </c>
      <c r="H237" s="64"/>
      <c r="I237" s="64" t="s">
        <v>47</v>
      </c>
      <c r="J237" s="65">
        <v>1</v>
      </c>
      <c r="K237" s="66">
        <f>1110</f>
        <v>1110</v>
      </c>
      <c r="L237" s="67" t="s">
        <v>853</v>
      </c>
      <c r="M237" s="66">
        <f>1117</f>
        <v>1117</v>
      </c>
      <c r="N237" s="67" t="s">
        <v>49</v>
      </c>
      <c r="O237" s="66">
        <f>1065</f>
        <v>1065</v>
      </c>
      <c r="P237" s="67" t="s">
        <v>859</v>
      </c>
      <c r="Q237" s="66">
        <f>1081</f>
        <v>1081</v>
      </c>
      <c r="R237" s="67" t="s">
        <v>873</v>
      </c>
      <c r="S237" s="68">
        <f>1097.9</f>
        <v>1097.9000000000001</v>
      </c>
      <c r="T237" s="65">
        <f>36217</f>
        <v>36217</v>
      </c>
      <c r="U237" s="65">
        <f>8</f>
        <v>8</v>
      </c>
      <c r="V237" s="65">
        <f>39681605</f>
        <v>39681605</v>
      </c>
      <c r="W237" s="65">
        <f>8756</f>
        <v>8756</v>
      </c>
      <c r="X237" s="69">
        <f>20</f>
        <v>20</v>
      </c>
    </row>
    <row r="238" spans="1:24">
      <c r="A238" s="60" t="s">
        <v>926</v>
      </c>
      <c r="B238" s="60" t="s">
        <v>768</v>
      </c>
      <c r="C238" s="60" t="s">
        <v>769</v>
      </c>
      <c r="D238" s="60" t="s">
        <v>770</v>
      </c>
      <c r="E238" s="61" t="s">
        <v>46</v>
      </c>
      <c r="F238" s="62" t="s">
        <v>46</v>
      </c>
      <c r="G238" s="63" t="s">
        <v>46</v>
      </c>
      <c r="H238" s="64"/>
      <c r="I238" s="64" t="s">
        <v>47</v>
      </c>
      <c r="J238" s="65">
        <v>1</v>
      </c>
      <c r="K238" s="66">
        <f>13940</f>
        <v>13940</v>
      </c>
      <c r="L238" s="67" t="s">
        <v>853</v>
      </c>
      <c r="M238" s="66">
        <f>13940</f>
        <v>13940</v>
      </c>
      <c r="N238" s="67" t="s">
        <v>853</v>
      </c>
      <c r="O238" s="66">
        <f>12750</f>
        <v>12750</v>
      </c>
      <c r="P238" s="67" t="s">
        <v>50</v>
      </c>
      <c r="Q238" s="66">
        <f>12820</f>
        <v>12820</v>
      </c>
      <c r="R238" s="67" t="s">
        <v>873</v>
      </c>
      <c r="S238" s="68">
        <f>13454.5</f>
        <v>13454.5</v>
      </c>
      <c r="T238" s="65">
        <f>3147</f>
        <v>3147</v>
      </c>
      <c r="U238" s="65">
        <f>13</f>
        <v>13</v>
      </c>
      <c r="V238" s="65">
        <f>41674500</f>
        <v>41674500</v>
      </c>
      <c r="W238" s="65">
        <f>175330</f>
        <v>175330</v>
      </c>
      <c r="X238" s="69">
        <f>20</f>
        <v>20</v>
      </c>
    </row>
    <row r="239" spans="1:24">
      <c r="A239" s="60" t="s">
        <v>926</v>
      </c>
      <c r="B239" s="60" t="s">
        <v>771</v>
      </c>
      <c r="C239" s="60" t="s">
        <v>772</v>
      </c>
      <c r="D239" s="60" t="s">
        <v>773</v>
      </c>
      <c r="E239" s="61" t="s">
        <v>46</v>
      </c>
      <c r="F239" s="62" t="s">
        <v>46</v>
      </c>
      <c r="G239" s="63" t="s">
        <v>46</v>
      </c>
      <c r="H239" s="64"/>
      <c r="I239" s="64" t="s">
        <v>47</v>
      </c>
      <c r="J239" s="65">
        <v>1</v>
      </c>
      <c r="K239" s="66">
        <f>2302</f>
        <v>2302</v>
      </c>
      <c r="L239" s="67" t="s">
        <v>853</v>
      </c>
      <c r="M239" s="66">
        <f>2356</f>
        <v>2356</v>
      </c>
      <c r="N239" s="67" t="s">
        <v>92</v>
      </c>
      <c r="O239" s="66">
        <f>2272</f>
        <v>2272</v>
      </c>
      <c r="P239" s="67" t="s">
        <v>371</v>
      </c>
      <c r="Q239" s="66">
        <f>2313</f>
        <v>2313</v>
      </c>
      <c r="R239" s="67" t="s">
        <v>873</v>
      </c>
      <c r="S239" s="68">
        <f>2312.1</f>
        <v>2312.1</v>
      </c>
      <c r="T239" s="65">
        <f>39281</f>
        <v>39281</v>
      </c>
      <c r="U239" s="65">
        <f>2</f>
        <v>2</v>
      </c>
      <c r="V239" s="65">
        <f>91502452</f>
        <v>91502452</v>
      </c>
      <c r="W239" s="65">
        <f>4646</f>
        <v>4646</v>
      </c>
      <c r="X239" s="69">
        <f>20</f>
        <v>20</v>
      </c>
    </row>
    <row r="240" spans="1:24">
      <c r="A240" s="60" t="s">
        <v>926</v>
      </c>
      <c r="B240" s="60" t="s">
        <v>774</v>
      </c>
      <c r="C240" s="60" t="s">
        <v>775</v>
      </c>
      <c r="D240" s="60" t="s">
        <v>776</v>
      </c>
      <c r="E240" s="61" t="s">
        <v>46</v>
      </c>
      <c r="F240" s="62" t="s">
        <v>46</v>
      </c>
      <c r="G240" s="63" t="s">
        <v>46</v>
      </c>
      <c r="H240" s="64"/>
      <c r="I240" s="64" t="s">
        <v>47</v>
      </c>
      <c r="J240" s="65">
        <v>10</v>
      </c>
      <c r="K240" s="66">
        <f>1500</f>
        <v>1500</v>
      </c>
      <c r="L240" s="67" t="s">
        <v>853</v>
      </c>
      <c r="M240" s="66">
        <f>1625</f>
        <v>1625</v>
      </c>
      <c r="N240" s="67" t="s">
        <v>613</v>
      </c>
      <c r="O240" s="66">
        <f>1470</f>
        <v>1470</v>
      </c>
      <c r="P240" s="67" t="s">
        <v>873</v>
      </c>
      <c r="Q240" s="66">
        <f>1499</f>
        <v>1499</v>
      </c>
      <c r="R240" s="67" t="s">
        <v>873</v>
      </c>
      <c r="S240" s="68">
        <f>1533.06</f>
        <v>1533.06</v>
      </c>
      <c r="T240" s="65">
        <f>154390</f>
        <v>154390</v>
      </c>
      <c r="U240" s="65">
        <f>150020</f>
        <v>150020</v>
      </c>
      <c r="V240" s="65">
        <f>230827850</f>
        <v>230827850</v>
      </c>
      <c r="W240" s="65">
        <f>224131170</f>
        <v>224131170</v>
      </c>
      <c r="X240" s="69">
        <f>18</f>
        <v>18</v>
      </c>
    </row>
    <row r="241" spans="1:24">
      <c r="A241" s="60" t="s">
        <v>926</v>
      </c>
      <c r="B241" s="60" t="s">
        <v>777</v>
      </c>
      <c r="C241" s="60" t="s">
        <v>778</v>
      </c>
      <c r="D241" s="60" t="s">
        <v>779</v>
      </c>
      <c r="E241" s="61" t="s">
        <v>46</v>
      </c>
      <c r="F241" s="62" t="s">
        <v>46</v>
      </c>
      <c r="G241" s="63" t="s">
        <v>46</v>
      </c>
      <c r="H241" s="64"/>
      <c r="I241" s="64" t="s">
        <v>47</v>
      </c>
      <c r="J241" s="65">
        <v>10</v>
      </c>
      <c r="K241" s="66">
        <f>1013</f>
        <v>1013</v>
      </c>
      <c r="L241" s="67" t="s">
        <v>853</v>
      </c>
      <c r="M241" s="66">
        <f>1021</f>
        <v>1021</v>
      </c>
      <c r="N241" s="67" t="s">
        <v>268</v>
      </c>
      <c r="O241" s="66">
        <f>1010</f>
        <v>1010</v>
      </c>
      <c r="P241" s="67" t="s">
        <v>857</v>
      </c>
      <c r="Q241" s="66">
        <f>1018</f>
        <v>1018</v>
      </c>
      <c r="R241" s="67" t="s">
        <v>873</v>
      </c>
      <c r="S241" s="68">
        <f>1015.9</f>
        <v>1015.9</v>
      </c>
      <c r="T241" s="65">
        <f>677390</f>
        <v>677390</v>
      </c>
      <c r="U241" s="65">
        <f>635990</f>
        <v>635990</v>
      </c>
      <c r="V241" s="65">
        <f>688629594</f>
        <v>688629594</v>
      </c>
      <c r="W241" s="65">
        <f>646553684</f>
        <v>646553684</v>
      </c>
      <c r="X241" s="69">
        <f>20</f>
        <v>20</v>
      </c>
    </row>
    <row r="242" spans="1:24">
      <c r="A242" s="60" t="s">
        <v>926</v>
      </c>
      <c r="B242" s="60" t="s">
        <v>780</v>
      </c>
      <c r="C242" s="60" t="s">
        <v>781</v>
      </c>
      <c r="D242" s="60" t="s">
        <v>782</v>
      </c>
      <c r="E242" s="61" t="s">
        <v>46</v>
      </c>
      <c r="F242" s="62" t="s">
        <v>46</v>
      </c>
      <c r="G242" s="63" t="s">
        <v>46</v>
      </c>
      <c r="H242" s="64"/>
      <c r="I242" s="64" t="s">
        <v>47</v>
      </c>
      <c r="J242" s="65">
        <v>10</v>
      </c>
      <c r="K242" s="66">
        <f>2203</f>
        <v>2203</v>
      </c>
      <c r="L242" s="67" t="s">
        <v>853</v>
      </c>
      <c r="M242" s="66">
        <f>2245</f>
        <v>2245</v>
      </c>
      <c r="N242" s="67" t="s">
        <v>77</v>
      </c>
      <c r="O242" s="66">
        <f>2161</f>
        <v>2161</v>
      </c>
      <c r="P242" s="67" t="s">
        <v>371</v>
      </c>
      <c r="Q242" s="66">
        <f>2197</f>
        <v>2197</v>
      </c>
      <c r="R242" s="67" t="s">
        <v>873</v>
      </c>
      <c r="S242" s="68">
        <f>2205.3</f>
        <v>2205.3000000000002</v>
      </c>
      <c r="T242" s="65">
        <f>49370</f>
        <v>49370</v>
      </c>
      <c r="U242" s="65">
        <f>70</f>
        <v>70</v>
      </c>
      <c r="V242" s="65">
        <f>108460300</f>
        <v>108460300</v>
      </c>
      <c r="W242" s="65">
        <f>154240</f>
        <v>154240</v>
      </c>
      <c r="X242" s="69">
        <f>20</f>
        <v>20</v>
      </c>
    </row>
    <row r="243" spans="1:24">
      <c r="A243" s="60" t="s">
        <v>926</v>
      </c>
      <c r="B243" s="60" t="s">
        <v>783</v>
      </c>
      <c r="C243" s="60" t="s">
        <v>784</v>
      </c>
      <c r="D243" s="60" t="s">
        <v>785</v>
      </c>
      <c r="E243" s="61" t="s">
        <v>46</v>
      </c>
      <c r="F243" s="62" t="s">
        <v>46</v>
      </c>
      <c r="G243" s="63" t="s">
        <v>46</v>
      </c>
      <c r="H243" s="64"/>
      <c r="I243" s="64" t="s">
        <v>47</v>
      </c>
      <c r="J243" s="65">
        <v>10</v>
      </c>
      <c r="K243" s="66">
        <f>2204</f>
        <v>2204</v>
      </c>
      <c r="L243" s="67" t="s">
        <v>853</v>
      </c>
      <c r="M243" s="66">
        <f>2242</f>
        <v>2242</v>
      </c>
      <c r="N243" s="67" t="s">
        <v>77</v>
      </c>
      <c r="O243" s="66">
        <f>2160</f>
        <v>2160</v>
      </c>
      <c r="P243" s="67" t="s">
        <v>371</v>
      </c>
      <c r="Q243" s="66">
        <f>2202</f>
        <v>2202</v>
      </c>
      <c r="R243" s="67" t="s">
        <v>873</v>
      </c>
      <c r="S243" s="68">
        <f>2201.9</f>
        <v>2201.9</v>
      </c>
      <c r="T243" s="65">
        <f>1396770</f>
        <v>1396770</v>
      </c>
      <c r="U243" s="65">
        <f>157540</f>
        <v>157540</v>
      </c>
      <c r="V243" s="65">
        <f>3074151174</f>
        <v>3074151174</v>
      </c>
      <c r="W243" s="65">
        <f>344688944</f>
        <v>344688944</v>
      </c>
      <c r="X243" s="69">
        <f>20</f>
        <v>20</v>
      </c>
    </row>
    <row r="244" spans="1:24">
      <c r="A244" s="60" t="s">
        <v>926</v>
      </c>
      <c r="B244" s="60" t="s">
        <v>786</v>
      </c>
      <c r="C244" s="60" t="s">
        <v>787</v>
      </c>
      <c r="D244" s="60" t="s">
        <v>788</v>
      </c>
      <c r="E244" s="61" t="s">
        <v>46</v>
      </c>
      <c r="F244" s="62" t="s">
        <v>46</v>
      </c>
      <c r="G244" s="63" t="s">
        <v>46</v>
      </c>
      <c r="H244" s="64"/>
      <c r="I244" s="64" t="s">
        <v>47</v>
      </c>
      <c r="J244" s="65">
        <v>10</v>
      </c>
      <c r="K244" s="66">
        <f>1959</f>
        <v>1959</v>
      </c>
      <c r="L244" s="67" t="s">
        <v>84</v>
      </c>
      <c r="M244" s="66">
        <f>1982</f>
        <v>1982</v>
      </c>
      <c r="N244" s="67" t="s">
        <v>92</v>
      </c>
      <c r="O244" s="66">
        <f>1892</f>
        <v>1892</v>
      </c>
      <c r="P244" s="67" t="s">
        <v>859</v>
      </c>
      <c r="Q244" s="66">
        <f>1918</f>
        <v>1918</v>
      </c>
      <c r="R244" s="67" t="s">
        <v>873</v>
      </c>
      <c r="S244" s="68">
        <f>1931.54</f>
        <v>1931.54</v>
      </c>
      <c r="T244" s="65">
        <f>82650</f>
        <v>82650</v>
      </c>
      <c r="U244" s="65" t="str">
        <f>"－"</f>
        <v>－</v>
      </c>
      <c r="V244" s="65">
        <f>158465290</f>
        <v>158465290</v>
      </c>
      <c r="W244" s="65" t="str">
        <f>"－"</f>
        <v>－</v>
      </c>
      <c r="X244" s="69">
        <f>13</f>
        <v>13</v>
      </c>
    </row>
    <row r="245" spans="1:24">
      <c r="A245" s="60" t="s">
        <v>926</v>
      </c>
      <c r="B245" s="60" t="s">
        <v>789</v>
      </c>
      <c r="C245" s="60" t="s">
        <v>790</v>
      </c>
      <c r="D245" s="60" t="s">
        <v>791</v>
      </c>
      <c r="E245" s="61" t="s">
        <v>46</v>
      </c>
      <c r="F245" s="62" t="s">
        <v>46</v>
      </c>
      <c r="G245" s="63" t="s">
        <v>46</v>
      </c>
      <c r="H245" s="64"/>
      <c r="I245" s="64" t="s">
        <v>47</v>
      </c>
      <c r="J245" s="65">
        <v>1</v>
      </c>
      <c r="K245" s="66">
        <f>13700</f>
        <v>13700</v>
      </c>
      <c r="L245" s="67" t="s">
        <v>853</v>
      </c>
      <c r="M245" s="66">
        <f>13960</f>
        <v>13960</v>
      </c>
      <c r="N245" s="67" t="s">
        <v>240</v>
      </c>
      <c r="O245" s="66">
        <f>13350</f>
        <v>13350</v>
      </c>
      <c r="P245" s="67" t="s">
        <v>371</v>
      </c>
      <c r="Q245" s="66">
        <f>13750</f>
        <v>13750</v>
      </c>
      <c r="R245" s="67" t="s">
        <v>873</v>
      </c>
      <c r="S245" s="68">
        <f>13747</f>
        <v>13747</v>
      </c>
      <c r="T245" s="65">
        <f>426809</f>
        <v>426809</v>
      </c>
      <c r="U245" s="65">
        <f>14700</f>
        <v>14700</v>
      </c>
      <c r="V245" s="65">
        <f>5859536790</f>
        <v>5859536790</v>
      </c>
      <c r="W245" s="65">
        <f>199765650</f>
        <v>199765650</v>
      </c>
      <c r="X245" s="69">
        <f>20</f>
        <v>20</v>
      </c>
    </row>
    <row r="246" spans="1:24">
      <c r="A246" s="60" t="s">
        <v>926</v>
      </c>
      <c r="B246" s="60" t="s">
        <v>792</v>
      </c>
      <c r="C246" s="60" t="s">
        <v>793</v>
      </c>
      <c r="D246" s="60" t="s">
        <v>794</v>
      </c>
      <c r="E246" s="61" t="s">
        <v>46</v>
      </c>
      <c r="F246" s="62" t="s">
        <v>46</v>
      </c>
      <c r="G246" s="63" t="s">
        <v>46</v>
      </c>
      <c r="H246" s="64"/>
      <c r="I246" s="64" t="s">
        <v>47</v>
      </c>
      <c r="J246" s="65">
        <v>1</v>
      </c>
      <c r="K246" s="66">
        <f>13220</f>
        <v>13220</v>
      </c>
      <c r="L246" s="67" t="s">
        <v>853</v>
      </c>
      <c r="M246" s="66">
        <f>13270</f>
        <v>13270</v>
      </c>
      <c r="N246" s="67" t="s">
        <v>84</v>
      </c>
      <c r="O246" s="66">
        <f>12740</f>
        <v>12740</v>
      </c>
      <c r="P246" s="67" t="s">
        <v>371</v>
      </c>
      <c r="Q246" s="66">
        <f>12990</f>
        <v>12990</v>
      </c>
      <c r="R246" s="67" t="s">
        <v>873</v>
      </c>
      <c r="S246" s="68">
        <f>13079</f>
        <v>13079</v>
      </c>
      <c r="T246" s="65">
        <f>288621</f>
        <v>288621</v>
      </c>
      <c r="U246" s="65">
        <f>82109</f>
        <v>82109</v>
      </c>
      <c r="V246" s="65">
        <f>3775814091</f>
        <v>3775814091</v>
      </c>
      <c r="W246" s="65">
        <f>1078749411</f>
        <v>1078749411</v>
      </c>
      <c r="X246" s="69">
        <f>20</f>
        <v>20</v>
      </c>
    </row>
    <row r="247" spans="1:24">
      <c r="A247" s="60" t="s">
        <v>926</v>
      </c>
      <c r="B247" s="60" t="s">
        <v>795</v>
      </c>
      <c r="C247" s="60" t="s">
        <v>796</v>
      </c>
      <c r="D247" s="60" t="s">
        <v>797</v>
      </c>
      <c r="E247" s="61" t="s">
        <v>46</v>
      </c>
      <c r="F247" s="62" t="s">
        <v>46</v>
      </c>
      <c r="G247" s="63" t="s">
        <v>46</v>
      </c>
      <c r="H247" s="64"/>
      <c r="I247" s="64" t="s">
        <v>47</v>
      </c>
      <c r="J247" s="65">
        <v>1</v>
      </c>
      <c r="K247" s="66">
        <f>25860</f>
        <v>25860</v>
      </c>
      <c r="L247" s="67" t="s">
        <v>853</v>
      </c>
      <c r="M247" s="66">
        <f>26170</f>
        <v>26170</v>
      </c>
      <c r="N247" s="67" t="s">
        <v>92</v>
      </c>
      <c r="O247" s="66">
        <f>24960</f>
        <v>24960</v>
      </c>
      <c r="P247" s="67" t="s">
        <v>859</v>
      </c>
      <c r="Q247" s="66">
        <f>25270</f>
        <v>25270</v>
      </c>
      <c r="R247" s="67" t="s">
        <v>873</v>
      </c>
      <c r="S247" s="68">
        <f>25602.35</f>
        <v>25602.35</v>
      </c>
      <c r="T247" s="65">
        <f>276</f>
        <v>276</v>
      </c>
      <c r="U247" s="65">
        <f>6</f>
        <v>6</v>
      </c>
      <c r="V247" s="65">
        <f>7072250</f>
        <v>7072250</v>
      </c>
      <c r="W247" s="65">
        <f>154130</f>
        <v>154130</v>
      </c>
      <c r="X247" s="69">
        <f>17</f>
        <v>17</v>
      </c>
    </row>
    <row r="248" spans="1:24">
      <c r="A248" s="60" t="s">
        <v>926</v>
      </c>
      <c r="B248" s="60" t="s">
        <v>798</v>
      </c>
      <c r="C248" s="60" t="s">
        <v>799</v>
      </c>
      <c r="D248" s="60" t="s">
        <v>800</v>
      </c>
      <c r="E248" s="61" t="s">
        <v>46</v>
      </c>
      <c r="F248" s="62" t="s">
        <v>46</v>
      </c>
      <c r="G248" s="63" t="s">
        <v>46</v>
      </c>
      <c r="H248" s="64"/>
      <c r="I248" s="64" t="s">
        <v>47</v>
      </c>
      <c r="J248" s="65">
        <v>1</v>
      </c>
      <c r="K248" s="66">
        <f>2718</f>
        <v>2718</v>
      </c>
      <c r="L248" s="67" t="s">
        <v>853</v>
      </c>
      <c r="M248" s="66">
        <f>2750</f>
        <v>2750</v>
      </c>
      <c r="N248" s="67" t="s">
        <v>131</v>
      </c>
      <c r="O248" s="66">
        <f>2715</f>
        <v>2715</v>
      </c>
      <c r="P248" s="67" t="s">
        <v>853</v>
      </c>
      <c r="Q248" s="66">
        <f>2727</f>
        <v>2727</v>
      </c>
      <c r="R248" s="67" t="s">
        <v>873</v>
      </c>
      <c r="S248" s="68">
        <f>2723.35</f>
        <v>2723.35</v>
      </c>
      <c r="T248" s="65">
        <f>1575686</f>
        <v>1575686</v>
      </c>
      <c r="U248" s="65">
        <f>464223</f>
        <v>464223</v>
      </c>
      <c r="V248" s="65">
        <f>4294599327</f>
        <v>4294599327</v>
      </c>
      <c r="W248" s="65">
        <f>1264723711</f>
        <v>1264723711</v>
      </c>
      <c r="X248" s="69">
        <f>20</f>
        <v>20</v>
      </c>
    </row>
    <row r="249" spans="1:24">
      <c r="A249" s="60" t="s">
        <v>926</v>
      </c>
      <c r="B249" s="60" t="s">
        <v>801</v>
      </c>
      <c r="C249" s="60" t="s">
        <v>802</v>
      </c>
      <c r="D249" s="60" t="s">
        <v>803</v>
      </c>
      <c r="E249" s="61" t="s">
        <v>46</v>
      </c>
      <c r="F249" s="62" t="s">
        <v>46</v>
      </c>
      <c r="G249" s="63" t="s">
        <v>46</v>
      </c>
      <c r="H249" s="64"/>
      <c r="I249" s="64" t="s">
        <v>47</v>
      </c>
      <c r="J249" s="65">
        <v>10</v>
      </c>
      <c r="K249" s="66">
        <f>2993</f>
        <v>2993</v>
      </c>
      <c r="L249" s="67" t="s">
        <v>853</v>
      </c>
      <c r="M249" s="66">
        <f>3050</f>
        <v>3050</v>
      </c>
      <c r="N249" s="67" t="s">
        <v>84</v>
      </c>
      <c r="O249" s="66">
        <f>2930</f>
        <v>2930</v>
      </c>
      <c r="P249" s="67" t="s">
        <v>371</v>
      </c>
      <c r="Q249" s="66">
        <f>3010</f>
        <v>3010</v>
      </c>
      <c r="R249" s="67" t="s">
        <v>873</v>
      </c>
      <c r="S249" s="68">
        <f>2998</f>
        <v>2998</v>
      </c>
      <c r="T249" s="65">
        <f>5829510</f>
        <v>5829510</v>
      </c>
      <c r="U249" s="65">
        <f>2145120</f>
        <v>2145120</v>
      </c>
      <c r="V249" s="65">
        <f>17432140516</f>
        <v>17432140516</v>
      </c>
      <c r="W249" s="65">
        <f>6401635776</f>
        <v>6401635776</v>
      </c>
      <c r="X249" s="69">
        <f>20</f>
        <v>20</v>
      </c>
    </row>
    <row r="250" spans="1:24">
      <c r="A250" s="60" t="s">
        <v>926</v>
      </c>
      <c r="B250" s="60" t="s">
        <v>804</v>
      </c>
      <c r="C250" s="60" t="s">
        <v>805</v>
      </c>
      <c r="D250" s="60" t="s">
        <v>806</v>
      </c>
      <c r="E250" s="61" t="s">
        <v>46</v>
      </c>
      <c r="F250" s="62" t="s">
        <v>46</v>
      </c>
      <c r="G250" s="63" t="s">
        <v>46</v>
      </c>
      <c r="H250" s="64"/>
      <c r="I250" s="64" t="s">
        <v>47</v>
      </c>
      <c r="J250" s="65">
        <v>1</v>
      </c>
      <c r="K250" s="66">
        <f>2798</f>
        <v>2798</v>
      </c>
      <c r="L250" s="67" t="s">
        <v>853</v>
      </c>
      <c r="M250" s="66">
        <f>2877</f>
        <v>2877</v>
      </c>
      <c r="N250" s="67" t="s">
        <v>73</v>
      </c>
      <c r="O250" s="66">
        <f>2775</f>
        <v>2775</v>
      </c>
      <c r="P250" s="67" t="s">
        <v>371</v>
      </c>
      <c r="Q250" s="66">
        <f>2850</f>
        <v>2850</v>
      </c>
      <c r="R250" s="67" t="s">
        <v>873</v>
      </c>
      <c r="S250" s="68">
        <f>2833.3</f>
        <v>2833.3</v>
      </c>
      <c r="T250" s="65">
        <f>3581052</f>
        <v>3581052</v>
      </c>
      <c r="U250" s="65">
        <f>1377000</f>
        <v>1377000</v>
      </c>
      <c r="V250" s="65">
        <f>10125704458</f>
        <v>10125704458</v>
      </c>
      <c r="W250" s="65">
        <f>3883611970</f>
        <v>3883611970</v>
      </c>
      <c r="X250" s="69">
        <f>20</f>
        <v>20</v>
      </c>
    </row>
    <row r="251" spans="1:24">
      <c r="A251" s="60" t="s">
        <v>926</v>
      </c>
      <c r="B251" s="60" t="s">
        <v>807</v>
      </c>
      <c r="C251" s="60" t="s">
        <v>808</v>
      </c>
      <c r="D251" s="60" t="s">
        <v>809</v>
      </c>
      <c r="E251" s="61" t="s">
        <v>46</v>
      </c>
      <c r="F251" s="62" t="s">
        <v>46</v>
      </c>
      <c r="G251" s="63" t="s">
        <v>46</v>
      </c>
      <c r="H251" s="64"/>
      <c r="I251" s="64" t="s">
        <v>47</v>
      </c>
      <c r="J251" s="65">
        <v>1</v>
      </c>
      <c r="K251" s="66">
        <f>1869</f>
        <v>1869</v>
      </c>
      <c r="L251" s="67" t="s">
        <v>853</v>
      </c>
      <c r="M251" s="66">
        <f>1899</f>
        <v>1899</v>
      </c>
      <c r="N251" s="67" t="s">
        <v>49</v>
      </c>
      <c r="O251" s="66">
        <f>1824</f>
        <v>1824</v>
      </c>
      <c r="P251" s="67" t="s">
        <v>859</v>
      </c>
      <c r="Q251" s="66">
        <f>1841</f>
        <v>1841</v>
      </c>
      <c r="R251" s="67" t="s">
        <v>873</v>
      </c>
      <c r="S251" s="68">
        <f>1866.95</f>
        <v>1866.95</v>
      </c>
      <c r="T251" s="65">
        <f>261898</f>
        <v>261898</v>
      </c>
      <c r="U251" s="65">
        <f>12</f>
        <v>12</v>
      </c>
      <c r="V251" s="65">
        <f>489287032</f>
        <v>489287032</v>
      </c>
      <c r="W251" s="65">
        <f>22375</f>
        <v>22375</v>
      </c>
      <c r="X251" s="69">
        <f>20</f>
        <v>20</v>
      </c>
    </row>
    <row r="252" spans="1:24">
      <c r="A252" s="60" t="s">
        <v>926</v>
      </c>
      <c r="B252" s="60" t="s">
        <v>810</v>
      </c>
      <c r="C252" s="60" t="s">
        <v>811</v>
      </c>
      <c r="D252" s="60" t="s">
        <v>812</v>
      </c>
      <c r="E252" s="61" t="s">
        <v>46</v>
      </c>
      <c r="F252" s="62" t="s">
        <v>46</v>
      </c>
      <c r="G252" s="63" t="s">
        <v>46</v>
      </c>
      <c r="H252" s="64"/>
      <c r="I252" s="64" t="s">
        <v>47</v>
      </c>
      <c r="J252" s="65">
        <v>1</v>
      </c>
      <c r="K252" s="66">
        <f>1196</f>
        <v>1196</v>
      </c>
      <c r="L252" s="67" t="s">
        <v>853</v>
      </c>
      <c r="M252" s="66">
        <f>1242</f>
        <v>1242</v>
      </c>
      <c r="N252" s="67" t="s">
        <v>88</v>
      </c>
      <c r="O252" s="66">
        <f>1180</f>
        <v>1180</v>
      </c>
      <c r="P252" s="67" t="s">
        <v>853</v>
      </c>
      <c r="Q252" s="66">
        <f>1228</f>
        <v>1228</v>
      </c>
      <c r="R252" s="67" t="s">
        <v>873</v>
      </c>
      <c r="S252" s="68">
        <f>1210.35</f>
        <v>1210.3499999999999</v>
      </c>
      <c r="T252" s="65">
        <f>126381</f>
        <v>126381</v>
      </c>
      <c r="U252" s="65">
        <f>2</f>
        <v>2</v>
      </c>
      <c r="V252" s="65">
        <f>154924670</f>
        <v>154924670</v>
      </c>
      <c r="W252" s="65">
        <f>2421</f>
        <v>2421</v>
      </c>
      <c r="X252" s="69">
        <f>20</f>
        <v>20</v>
      </c>
    </row>
    <row r="253" spans="1:24">
      <c r="A253" s="60" t="s">
        <v>926</v>
      </c>
      <c r="B253" s="60" t="s">
        <v>813</v>
      </c>
      <c r="C253" s="60" t="s">
        <v>814</v>
      </c>
      <c r="D253" s="60" t="s">
        <v>815</v>
      </c>
      <c r="E253" s="61" t="s">
        <v>46</v>
      </c>
      <c r="F253" s="62" t="s">
        <v>46</v>
      </c>
      <c r="G253" s="63" t="s">
        <v>46</v>
      </c>
      <c r="H253" s="64"/>
      <c r="I253" s="64" t="s">
        <v>47</v>
      </c>
      <c r="J253" s="65">
        <v>10</v>
      </c>
      <c r="K253" s="66">
        <f>1218</f>
        <v>1218</v>
      </c>
      <c r="L253" s="67" t="s">
        <v>853</v>
      </c>
      <c r="M253" s="66">
        <f>1236</f>
        <v>1236</v>
      </c>
      <c r="N253" s="67" t="s">
        <v>77</v>
      </c>
      <c r="O253" s="66">
        <f>1195</f>
        <v>1195</v>
      </c>
      <c r="P253" s="67" t="s">
        <v>371</v>
      </c>
      <c r="Q253" s="66">
        <f>1217</f>
        <v>1217</v>
      </c>
      <c r="R253" s="67" t="s">
        <v>873</v>
      </c>
      <c r="S253" s="68">
        <f>1216.5</f>
        <v>1216.5</v>
      </c>
      <c r="T253" s="65">
        <f>21240</f>
        <v>21240</v>
      </c>
      <c r="U253" s="65">
        <f>40</f>
        <v>40</v>
      </c>
      <c r="V253" s="65">
        <f>25827640</f>
        <v>25827640</v>
      </c>
      <c r="W253" s="65">
        <f>48470</f>
        <v>48470</v>
      </c>
      <c r="X253" s="69">
        <f>20</f>
        <v>20</v>
      </c>
    </row>
    <row r="254" spans="1:24">
      <c r="A254" s="60" t="s">
        <v>926</v>
      </c>
      <c r="B254" s="60" t="s">
        <v>816</v>
      </c>
      <c r="C254" s="60" t="s">
        <v>817</v>
      </c>
      <c r="D254" s="60" t="s">
        <v>818</v>
      </c>
      <c r="E254" s="61" t="s">
        <v>46</v>
      </c>
      <c r="F254" s="62" t="s">
        <v>46</v>
      </c>
      <c r="G254" s="63" t="s">
        <v>46</v>
      </c>
      <c r="H254" s="64"/>
      <c r="I254" s="64" t="s">
        <v>47</v>
      </c>
      <c r="J254" s="65">
        <v>10</v>
      </c>
      <c r="K254" s="66">
        <f>259</f>
        <v>259</v>
      </c>
      <c r="L254" s="67" t="s">
        <v>853</v>
      </c>
      <c r="M254" s="66">
        <f>260</f>
        <v>260</v>
      </c>
      <c r="N254" s="67" t="s">
        <v>853</v>
      </c>
      <c r="O254" s="66">
        <f>250</f>
        <v>250</v>
      </c>
      <c r="P254" s="67" t="s">
        <v>854</v>
      </c>
      <c r="Q254" s="66">
        <f>254</f>
        <v>254</v>
      </c>
      <c r="R254" s="67" t="s">
        <v>873</v>
      </c>
      <c r="S254" s="68">
        <f>255.55</f>
        <v>255.55</v>
      </c>
      <c r="T254" s="65">
        <f>13230</f>
        <v>13230</v>
      </c>
      <c r="U254" s="65">
        <f>60</f>
        <v>60</v>
      </c>
      <c r="V254" s="65">
        <f>3365800</f>
        <v>3365800</v>
      </c>
      <c r="W254" s="65">
        <f>15290</f>
        <v>15290</v>
      </c>
      <c r="X254" s="69">
        <f>20</f>
        <v>20</v>
      </c>
    </row>
    <row r="255" spans="1:24">
      <c r="A255" s="60" t="s">
        <v>926</v>
      </c>
      <c r="B255" s="60" t="s">
        <v>819</v>
      </c>
      <c r="C255" s="60" t="s">
        <v>820</v>
      </c>
      <c r="D255" s="60" t="s">
        <v>821</v>
      </c>
      <c r="E255" s="61" t="s">
        <v>46</v>
      </c>
      <c r="F255" s="62" t="s">
        <v>46</v>
      </c>
      <c r="G255" s="63" t="s">
        <v>46</v>
      </c>
      <c r="H255" s="64"/>
      <c r="I255" s="64" t="s">
        <v>47</v>
      </c>
      <c r="J255" s="65">
        <v>10</v>
      </c>
      <c r="K255" s="66">
        <f>2791</f>
        <v>2791</v>
      </c>
      <c r="L255" s="67" t="s">
        <v>853</v>
      </c>
      <c r="M255" s="66">
        <f>2880</f>
        <v>2880</v>
      </c>
      <c r="N255" s="67" t="s">
        <v>240</v>
      </c>
      <c r="O255" s="66">
        <f>2748</f>
        <v>2748</v>
      </c>
      <c r="P255" s="67" t="s">
        <v>371</v>
      </c>
      <c r="Q255" s="66">
        <f>2798</f>
        <v>2798</v>
      </c>
      <c r="R255" s="67" t="s">
        <v>873</v>
      </c>
      <c r="S255" s="68">
        <f>2810.15</f>
        <v>2810.15</v>
      </c>
      <c r="T255" s="65">
        <f>1686920</f>
        <v>1686920</v>
      </c>
      <c r="U255" s="65" t="str">
        <f>"－"</f>
        <v>－</v>
      </c>
      <c r="V255" s="65">
        <f>4730965920</f>
        <v>4730965920</v>
      </c>
      <c r="W255" s="65" t="str">
        <f>"－"</f>
        <v>－</v>
      </c>
      <c r="X255" s="69">
        <f>20</f>
        <v>20</v>
      </c>
    </row>
    <row r="256" spans="1:24">
      <c r="A256" s="60" t="s">
        <v>926</v>
      </c>
      <c r="B256" s="60" t="s">
        <v>822</v>
      </c>
      <c r="C256" s="60" t="s">
        <v>823</v>
      </c>
      <c r="D256" s="60" t="s">
        <v>824</v>
      </c>
      <c r="E256" s="61" t="s">
        <v>46</v>
      </c>
      <c r="F256" s="62" t="s">
        <v>46</v>
      </c>
      <c r="G256" s="63" t="s">
        <v>46</v>
      </c>
      <c r="H256" s="64"/>
      <c r="I256" s="64" t="s">
        <v>47</v>
      </c>
      <c r="J256" s="65">
        <v>10</v>
      </c>
      <c r="K256" s="66">
        <f>2622</f>
        <v>2622</v>
      </c>
      <c r="L256" s="67" t="s">
        <v>853</v>
      </c>
      <c r="M256" s="66">
        <f>2720</f>
        <v>2720</v>
      </c>
      <c r="N256" s="67" t="s">
        <v>240</v>
      </c>
      <c r="O256" s="66">
        <f>2613</f>
        <v>2613</v>
      </c>
      <c r="P256" s="67" t="s">
        <v>857</v>
      </c>
      <c r="Q256" s="66">
        <f>2664</f>
        <v>2664</v>
      </c>
      <c r="R256" s="67" t="s">
        <v>873</v>
      </c>
      <c r="S256" s="68">
        <f>2660.5</f>
        <v>2660.5</v>
      </c>
      <c r="T256" s="65">
        <f>4189300</f>
        <v>4189300</v>
      </c>
      <c r="U256" s="65">
        <f>2096300</f>
        <v>2096300</v>
      </c>
      <c r="V256" s="65">
        <f>11109183506</f>
        <v>11109183506</v>
      </c>
      <c r="W256" s="65">
        <f>5554063916</f>
        <v>5554063916</v>
      </c>
      <c r="X256" s="69">
        <f>20</f>
        <v>20</v>
      </c>
    </row>
    <row r="257" spans="1:24">
      <c r="A257" s="60" t="s">
        <v>926</v>
      </c>
      <c r="B257" s="60" t="s">
        <v>825</v>
      </c>
      <c r="C257" s="60" t="s">
        <v>826</v>
      </c>
      <c r="D257" s="60" t="s">
        <v>827</v>
      </c>
      <c r="E257" s="61" t="s">
        <v>46</v>
      </c>
      <c r="F257" s="62" t="s">
        <v>46</v>
      </c>
      <c r="G257" s="63" t="s">
        <v>46</v>
      </c>
      <c r="H257" s="64"/>
      <c r="I257" s="64" t="s">
        <v>47</v>
      </c>
      <c r="J257" s="65">
        <v>1</v>
      </c>
      <c r="K257" s="66">
        <f>2624</f>
        <v>2624</v>
      </c>
      <c r="L257" s="67" t="s">
        <v>853</v>
      </c>
      <c r="M257" s="66">
        <f>2643</f>
        <v>2643</v>
      </c>
      <c r="N257" s="67" t="s">
        <v>84</v>
      </c>
      <c r="O257" s="66">
        <f>2578</f>
        <v>2578</v>
      </c>
      <c r="P257" s="67" t="s">
        <v>371</v>
      </c>
      <c r="Q257" s="66">
        <f>2583</f>
        <v>2583</v>
      </c>
      <c r="R257" s="67" t="s">
        <v>873</v>
      </c>
      <c r="S257" s="68">
        <f>2600.65</f>
        <v>2600.65</v>
      </c>
      <c r="T257" s="65">
        <f>1419256</f>
        <v>1419256</v>
      </c>
      <c r="U257" s="65">
        <f>1200002</f>
        <v>1200002</v>
      </c>
      <c r="V257" s="65">
        <f>3683872038</f>
        <v>3683872038</v>
      </c>
      <c r="W257" s="65">
        <f>3114423201</f>
        <v>3114423201</v>
      </c>
      <c r="X257" s="69">
        <f>20</f>
        <v>20</v>
      </c>
    </row>
    <row r="258" spans="1:24">
      <c r="A258" s="60" t="s">
        <v>926</v>
      </c>
      <c r="B258" s="60" t="s">
        <v>828</v>
      </c>
      <c r="C258" s="60" t="s">
        <v>829</v>
      </c>
      <c r="D258" s="60" t="s">
        <v>830</v>
      </c>
      <c r="E258" s="61" t="s">
        <v>46</v>
      </c>
      <c r="F258" s="62" t="s">
        <v>46</v>
      </c>
      <c r="G258" s="63" t="s">
        <v>46</v>
      </c>
      <c r="H258" s="64"/>
      <c r="I258" s="64" t="s">
        <v>47</v>
      </c>
      <c r="J258" s="65">
        <v>1</v>
      </c>
      <c r="K258" s="66">
        <f>2210</f>
        <v>2210</v>
      </c>
      <c r="L258" s="67" t="s">
        <v>853</v>
      </c>
      <c r="M258" s="66">
        <f>2320</f>
        <v>2320</v>
      </c>
      <c r="N258" s="67" t="s">
        <v>371</v>
      </c>
      <c r="O258" s="66">
        <f>2209</f>
        <v>2209</v>
      </c>
      <c r="P258" s="67" t="s">
        <v>853</v>
      </c>
      <c r="Q258" s="66">
        <f>2290</f>
        <v>2290</v>
      </c>
      <c r="R258" s="67" t="s">
        <v>873</v>
      </c>
      <c r="S258" s="68">
        <f>2262.25</f>
        <v>2262.25</v>
      </c>
      <c r="T258" s="65">
        <f>524991</f>
        <v>524991</v>
      </c>
      <c r="U258" s="65">
        <f>1</f>
        <v>1</v>
      </c>
      <c r="V258" s="65">
        <f>1194216523</f>
        <v>1194216523</v>
      </c>
      <c r="W258" s="65">
        <f>2212</f>
        <v>2212</v>
      </c>
      <c r="X258" s="69">
        <f>20</f>
        <v>20</v>
      </c>
    </row>
    <row r="259" spans="1:24">
      <c r="A259" s="60" t="s">
        <v>926</v>
      </c>
      <c r="B259" s="60" t="s">
        <v>831</v>
      </c>
      <c r="C259" s="60" t="s">
        <v>832</v>
      </c>
      <c r="D259" s="60" t="s">
        <v>833</v>
      </c>
      <c r="E259" s="61" t="s">
        <v>46</v>
      </c>
      <c r="F259" s="62" t="s">
        <v>46</v>
      </c>
      <c r="G259" s="63" t="s">
        <v>46</v>
      </c>
      <c r="H259" s="64"/>
      <c r="I259" s="64" t="s">
        <v>47</v>
      </c>
      <c r="J259" s="65">
        <v>1</v>
      </c>
      <c r="K259" s="66">
        <f>2552</f>
        <v>2552</v>
      </c>
      <c r="L259" s="67" t="s">
        <v>853</v>
      </c>
      <c r="M259" s="66">
        <f>2552</f>
        <v>2552</v>
      </c>
      <c r="N259" s="67" t="s">
        <v>853</v>
      </c>
      <c r="O259" s="66">
        <f>2503</f>
        <v>2503</v>
      </c>
      <c r="P259" s="67" t="s">
        <v>73</v>
      </c>
      <c r="Q259" s="66">
        <f>2517</f>
        <v>2517</v>
      </c>
      <c r="R259" s="67" t="s">
        <v>873</v>
      </c>
      <c r="S259" s="68">
        <f>2521.1</f>
        <v>2521.1</v>
      </c>
      <c r="T259" s="65">
        <f>2483</f>
        <v>2483</v>
      </c>
      <c r="U259" s="65">
        <f>3</f>
        <v>3</v>
      </c>
      <c r="V259" s="65">
        <f>6259651</f>
        <v>6259651</v>
      </c>
      <c r="W259" s="65">
        <f>7541</f>
        <v>7541</v>
      </c>
      <c r="X259" s="69">
        <f>20</f>
        <v>20</v>
      </c>
    </row>
    <row r="260" spans="1:24">
      <c r="A260" s="60" t="s">
        <v>926</v>
      </c>
      <c r="B260" s="60" t="s">
        <v>834</v>
      </c>
      <c r="C260" s="60" t="s">
        <v>835</v>
      </c>
      <c r="D260" s="60" t="s">
        <v>836</v>
      </c>
      <c r="E260" s="61" t="s">
        <v>46</v>
      </c>
      <c r="F260" s="62" t="s">
        <v>46</v>
      </c>
      <c r="G260" s="63" t="s">
        <v>46</v>
      </c>
      <c r="H260" s="64"/>
      <c r="I260" s="64" t="s">
        <v>47</v>
      </c>
      <c r="J260" s="65">
        <v>1</v>
      </c>
      <c r="K260" s="66">
        <f>2515</f>
        <v>2515</v>
      </c>
      <c r="L260" s="67" t="s">
        <v>853</v>
      </c>
      <c r="M260" s="66">
        <f>2559</f>
        <v>2559</v>
      </c>
      <c r="N260" s="67" t="s">
        <v>371</v>
      </c>
      <c r="O260" s="66">
        <f>2513</f>
        <v>2513</v>
      </c>
      <c r="P260" s="67" t="s">
        <v>853</v>
      </c>
      <c r="Q260" s="66">
        <f>2538</f>
        <v>2538</v>
      </c>
      <c r="R260" s="67" t="s">
        <v>873</v>
      </c>
      <c r="S260" s="68">
        <f>2531.89</f>
        <v>2531.89</v>
      </c>
      <c r="T260" s="65">
        <f>1111</f>
        <v>1111</v>
      </c>
      <c r="U260" s="65">
        <f>2</f>
        <v>2</v>
      </c>
      <c r="V260" s="65">
        <f>2808014</f>
        <v>2808014</v>
      </c>
      <c r="W260" s="65">
        <f>5074</f>
        <v>5074</v>
      </c>
      <c r="X260" s="69">
        <f>19</f>
        <v>19</v>
      </c>
    </row>
    <row r="261" spans="1:24">
      <c r="A261" s="60" t="s">
        <v>926</v>
      </c>
      <c r="B261" s="60" t="s">
        <v>837</v>
      </c>
      <c r="C261" s="60" t="s">
        <v>838</v>
      </c>
      <c r="D261" s="60" t="s">
        <v>839</v>
      </c>
      <c r="E261" s="61" t="s">
        <v>46</v>
      </c>
      <c r="F261" s="62" t="s">
        <v>46</v>
      </c>
      <c r="G261" s="63" t="s">
        <v>46</v>
      </c>
      <c r="H261" s="64"/>
      <c r="I261" s="64" t="s">
        <v>47</v>
      </c>
      <c r="J261" s="65">
        <v>1</v>
      </c>
      <c r="K261" s="66">
        <f>2889</f>
        <v>2889</v>
      </c>
      <c r="L261" s="67" t="s">
        <v>853</v>
      </c>
      <c r="M261" s="66">
        <f>2890</f>
        <v>2890</v>
      </c>
      <c r="N261" s="67" t="s">
        <v>853</v>
      </c>
      <c r="O261" s="66">
        <f>2731</f>
        <v>2731</v>
      </c>
      <c r="P261" s="67" t="s">
        <v>873</v>
      </c>
      <c r="Q261" s="66">
        <f>2731</f>
        <v>2731</v>
      </c>
      <c r="R261" s="67" t="s">
        <v>873</v>
      </c>
      <c r="S261" s="68">
        <f>2816.5</f>
        <v>2816.5</v>
      </c>
      <c r="T261" s="65">
        <f>22287</f>
        <v>22287</v>
      </c>
      <c r="U261" s="65" t="str">
        <f>"－"</f>
        <v>－</v>
      </c>
      <c r="V261" s="65">
        <f>62533819</f>
        <v>62533819</v>
      </c>
      <c r="W261" s="65" t="str">
        <f>"－"</f>
        <v>－</v>
      </c>
      <c r="X261" s="69">
        <f>20</f>
        <v>20</v>
      </c>
    </row>
    <row r="262" spans="1:24">
      <c r="A262" s="60" t="s">
        <v>926</v>
      </c>
      <c r="B262" s="60" t="s">
        <v>840</v>
      </c>
      <c r="C262" s="60" t="s">
        <v>841</v>
      </c>
      <c r="D262" s="60" t="s">
        <v>842</v>
      </c>
      <c r="E262" s="61" t="s">
        <v>46</v>
      </c>
      <c r="F262" s="62" t="s">
        <v>46</v>
      </c>
      <c r="G262" s="63" t="s">
        <v>46</v>
      </c>
      <c r="H262" s="64"/>
      <c r="I262" s="64" t="s">
        <v>47</v>
      </c>
      <c r="J262" s="65">
        <v>1</v>
      </c>
      <c r="K262" s="66">
        <f>1952</f>
        <v>1952</v>
      </c>
      <c r="L262" s="67" t="s">
        <v>853</v>
      </c>
      <c r="M262" s="66">
        <f>1975</f>
        <v>1975</v>
      </c>
      <c r="N262" s="67" t="s">
        <v>92</v>
      </c>
      <c r="O262" s="66">
        <f>1883</f>
        <v>1883</v>
      </c>
      <c r="P262" s="67" t="s">
        <v>859</v>
      </c>
      <c r="Q262" s="66">
        <f>1903</f>
        <v>1903</v>
      </c>
      <c r="R262" s="67" t="s">
        <v>873</v>
      </c>
      <c r="S262" s="68">
        <f>1934.85</f>
        <v>1934.85</v>
      </c>
      <c r="T262" s="65">
        <f>1677502</f>
        <v>1677502</v>
      </c>
      <c r="U262" s="65">
        <f>1458000</f>
        <v>1458000</v>
      </c>
      <c r="V262" s="65">
        <f>3265897661</f>
        <v>3265897661</v>
      </c>
      <c r="W262" s="65">
        <f>2843544115</f>
        <v>2843544115</v>
      </c>
      <c r="X262" s="69">
        <f>20</f>
        <v>20</v>
      </c>
    </row>
    <row r="263" spans="1:24">
      <c r="A263" s="60" t="s">
        <v>926</v>
      </c>
      <c r="B263" s="60" t="s">
        <v>843</v>
      </c>
      <c r="C263" s="60" t="s">
        <v>844</v>
      </c>
      <c r="D263" s="60" t="s">
        <v>845</v>
      </c>
      <c r="E263" s="61" t="s">
        <v>46</v>
      </c>
      <c r="F263" s="62" t="s">
        <v>46</v>
      </c>
      <c r="G263" s="63" t="s">
        <v>46</v>
      </c>
      <c r="H263" s="64"/>
      <c r="I263" s="64" t="s">
        <v>47</v>
      </c>
      <c r="J263" s="65">
        <v>1</v>
      </c>
      <c r="K263" s="66">
        <f>2099</f>
        <v>2099</v>
      </c>
      <c r="L263" s="67" t="s">
        <v>853</v>
      </c>
      <c r="M263" s="66">
        <f>2099</f>
        <v>2099</v>
      </c>
      <c r="N263" s="67" t="s">
        <v>853</v>
      </c>
      <c r="O263" s="66">
        <f>1963</f>
        <v>1963</v>
      </c>
      <c r="P263" s="67" t="s">
        <v>873</v>
      </c>
      <c r="Q263" s="66">
        <f>1968</f>
        <v>1968</v>
      </c>
      <c r="R263" s="67" t="s">
        <v>873</v>
      </c>
      <c r="S263" s="68">
        <f>2044.8</f>
        <v>2044.8</v>
      </c>
      <c r="T263" s="65">
        <f>393509</f>
        <v>393509</v>
      </c>
      <c r="U263" s="65">
        <f>1</f>
        <v>1</v>
      </c>
      <c r="V263" s="65">
        <f>801748732</f>
        <v>801748732</v>
      </c>
      <c r="W263" s="65">
        <f>2002</f>
        <v>2002</v>
      </c>
      <c r="X263" s="69">
        <f>20</f>
        <v>20</v>
      </c>
    </row>
    <row r="264" spans="1:24">
      <c r="A264" s="60" t="s">
        <v>926</v>
      </c>
      <c r="B264" s="60" t="s">
        <v>849</v>
      </c>
      <c r="C264" s="60" t="s">
        <v>850</v>
      </c>
      <c r="D264" s="60" t="s">
        <v>851</v>
      </c>
      <c r="E264" s="61" t="s">
        <v>46</v>
      </c>
      <c r="F264" s="62" t="s">
        <v>46</v>
      </c>
      <c r="G264" s="63" t="s">
        <v>46</v>
      </c>
      <c r="H264" s="64"/>
      <c r="I264" s="64" t="s">
        <v>47</v>
      </c>
      <c r="J264" s="65">
        <v>1</v>
      </c>
      <c r="K264" s="66">
        <f>2266</f>
        <v>2266</v>
      </c>
      <c r="L264" s="67" t="s">
        <v>853</v>
      </c>
      <c r="M264" s="66">
        <f>2285</f>
        <v>2285</v>
      </c>
      <c r="N264" s="67" t="s">
        <v>84</v>
      </c>
      <c r="O264" s="66">
        <f>2132</f>
        <v>2132</v>
      </c>
      <c r="P264" s="67" t="s">
        <v>873</v>
      </c>
      <c r="Q264" s="66">
        <f>2136</f>
        <v>2136</v>
      </c>
      <c r="R264" s="67" t="s">
        <v>873</v>
      </c>
      <c r="S264" s="68">
        <f>2224</f>
        <v>2224</v>
      </c>
      <c r="T264" s="65">
        <f>315471</f>
        <v>315471</v>
      </c>
      <c r="U264" s="65">
        <f>2</f>
        <v>2</v>
      </c>
      <c r="V264" s="65">
        <f>696226140</f>
        <v>696226140</v>
      </c>
      <c r="W264" s="65">
        <f>4502</f>
        <v>4502</v>
      </c>
      <c r="X264" s="69">
        <f>20</f>
        <v>20</v>
      </c>
    </row>
    <row r="265" spans="1:24">
      <c r="A265" s="60" t="s">
        <v>926</v>
      </c>
      <c r="B265" s="60" t="s">
        <v>899</v>
      </c>
      <c r="C265" s="60" t="s">
        <v>900</v>
      </c>
      <c r="D265" s="60" t="s">
        <v>901</v>
      </c>
      <c r="E265" s="61" t="s">
        <v>46</v>
      </c>
      <c r="F265" s="62" t="s">
        <v>46</v>
      </c>
      <c r="G265" s="63" t="s">
        <v>46</v>
      </c>
      <c r="H265" s="64"/>
      <c r="I265" s="64" t="s">
        <v>47</v>
      </c>
      <c r="J265" s="65">
        <v>1</v>
      </c>
      <c r="K265" s="66">
        <f>2787</f>
        <v>2787</v>
      </c>
      <c r="L265" s="67" t="s">
        <v>853</v>
      </c>
      <c r="M265" s="66">
        <f>2789</f>
        <v>2789</v>
      </c>
      <c r="N265" s="67" t="s">
        <v>131</v>
      </c>
      <c r="O265" s="66">
        <f>2522</f>
        <v>2522</v>
      </c>
      <c r="P265" s="67" t="s">
        <v>88</v>
      </c>
      <c r="Q265" s="66">
        <f>2701</f>
        <v>2701</v>
      </c>
      <c r="R265" s="67" t="s">
        <v>873</v>
      </c>
      <c r="S265" s="68">
        <f>2688.35</f>
        <v>2688.35</v>
      </c>
      <c r="T265" s="65">
        <f>57632</f>
        <v>57632</v>
      </c>
      <c r="U265" s="65">
        <f>10</f>
        <v>10</v>
      </c>
      <c r="V265" s="65">
        <f>154881405</f>
        <v>154881405</v>
      </c>
      <c r="W265" s="65">
        <f>27014</f>
        <v>27014</v>
      </c>
      <c r="X265" s="69">
        <f>20</f>
        <v>20</v>
      </c>
    </row>
    <row r="266" spans="1:24">
      <c r="A266" s="60" t="s">
        <v>926</v>
      </c>
      <c r="B266" s="60" t="s">
        <v>903</v>
      </c>
      <c r="C266" s="60" t="s">
        <v>904</v>
      </c>
      <c r="D266" s="60" t="s">
        <v>905</v>
      </c>
      <c r="E266" s="61" t="s">
        <v>46</v>
      </c>
      <c r="F266" s="62" t="s">
        <v>46</v>
      </c>
      <c r="G266" s="63" t="s">
        <v>46</v>
      </c>
      <c r="H266" s="64"/>
      <c r="I266" s="64" t="s">
        <v>47</v>
      </c>
      <c r="J266" s="65">
        <v>1</v>
      </c>
      <c r="K266" s="66">
        <f>2948</f>
        <v>2948</v>
      </c>
      <c r="L266" s="67" t="s">
        <v>853</v>
      </c>
      <c r="M266" s="66">
        <f>2948</f>
        <v>2948</v>
      </c>
      <c r="N266" s="67" t="s">
        <v>853</v>
      </c>
      <c r="O266" s="66">
        <f>2526</f>
        <v>2526</v>
      </c>
      <c r="P266" s="67" t="s">
        <v>88</v>
      </c>
      <c r="Q266" s="66">
        <f>2630</f>
        <v>2630</v>
      </c>
      <c r="R266" s="67" t="s">
        <v>873</v>
      </c>
      <c r="S266" s="68">
        <f>2784.65</f>
        <v>2784.65</v>
      </c>
      <c r="T266" s="65">
        <f>25785</f>
        <v>25785</v>
      </c>
      <c r="U266" s="65" t="str">
        <f>"－"</f>
        <v>－</v>
      </c>
      <c r="V266" s="65">
        <f>69971575</f>
        <v>69971575</v>
      </c>
      <c r="W266" s="65" t="str">
        <f>"－"</f>
        <v>－</v>
      </c>
      <c r="X266" s="69">
        <f>20</f>
        <v>20</v>
      </c>
    </row>
    <row r="267" spans="1:24">
      <c r="A267" s="60" t="s">
        <v>926</v>
      </c>
      <c r="B267" s="60" t="s">
        <v>861</v>
      </c>
      <c r="C267" s="60" t="s">
        <v>862</v>
      </c>
      <c r="D267" s="60" t="s">
        <v>863</v>
      </c>
      <c r="E267" s="61" t="s">
        <v>46</v>
      </c>
      <c r="F267" s="62" t="s">
        <v>46</v>
      </c>
      <c r="G267" s="63" t="s">
        <v>46</v>
      </c>
      <c r="H267" s="64"/>
      <c r="I267" s="64" t="s">
        <v>47</v>
      </c>
      <c r="J267" s="65">
        <v>1</v>
      </c>
      <c r="K267" s="66">
        <f>11100</f>
        <v>11100</v>
      </c>
      <c r="L267" s="67" t="s">
        <v>853</v>
      </c>
      <c r="M267" s="66">
        <f>11410</f>
        <v>11410</v>
      </c>
      <c r="N267" s="67" t="s">
        <v>73</v>
      </c>
      <c r="O267" s="66">
        <f>11010</f>
        <v>11010</v>
      </c>
      <c r="P267" s="67" t="s">
        <v>371</v>
      </c>
      <c r="Q267" s="66">
        <f>11310</f>
        <v>11310</v>
      </c>
      <c r="R267" s="67" t="s">
        <v>873</v>
      </c>
      <c r="S267" s="68">
        <f>11236.5</f>
        <v>11236.5</v>
      </c>
      <c r="T267" s="65">
        <f>58998</f>
        <v>58998</v>
      </c>
      <c r="U267" s="65">
        <f>44340</f>
        <v>44340</v>
      </c>
      <c r="V267" s="65">
        <f>663944295</f>
        <v>663944295</v>
      </c>
      <c r="W267" s="65">
        <f>499775635</f>
        <v>499775635</v>
      </c>
      <c r="X267" s="69">
        <f>20</f>
        <v>20</v>
      </c>
    </row>
    <row r="268" spans="1:24">
      <c r="A268" s="60" t="s">
        <v>926</v>
      </c>
      <c r="B268" s="60" t="s">
        <v>865</v>
      </c>
      <c r="C268" s="60" t="s">
        <v>866</v>
      </c>
      <c r="D268" s="60" t="s">
        <v>867</v>
      </c>
      <c r="E268" s="61" t="s">
        <v>46</v>
      </c>
      <c r="F268" s="62" t="s">
        <v>46</v>
      </c>
      <c r="G268" s="63" t="s">
        <v>46</v>
      </c>
      <c r="H268" s="64"/>
      <c r="I268" s="64" t="s">
        <v>47</v>
      </c>
      <c r="J268" s="65">
        <v>1</v>
      </c>
      <c r="K268" s="66">
        <f>11640</f>
        <v>11640</v>
      </c>
      <c r="L268" s="67" t="s">
        <v>853</v>
      </c>
      <c r="M268" s="66">
        <f>12020</f>
        <v>12020</v>
      </c>
      <c r="N268" s="67" t="s">
        <v>240</v>
      </c>
      <c r="O268" s="66">
        <f>11470</f>
        <v>11470</v>
      </c>
      <c r="P268" s="67" t="s">
        <v>371</v>
      </c>
      <c r="Q268" s="66">
        <f>11670</f>
        <v>11670</v>
      </c>
      <c r="R268" s="67" t="s">
        <v>873</v>
      </c>
      <c r="S268" s="68">
        <f>11733</f>
        <v>11733</v>
      </c>
      <c r="T268" s="65">
        <f>622352</f>
        <v>622352</v>
      </c>
      <c r="U268" s="65">
        <f>171005</f>
        <v>171005</v>
      </c>
      <c r="V268" s="65">
        <f>7287834170</f>
        <v>7287834170</v>
      </c>
      <c r="W268" s="65">
        <f>1992491140</f>
        <v>1992491140</v>
      </c>
      <c r="X268" s="69">
        <f>20</f>
        <v>20</v>
      </c>
    </row>
    <row r="269" spans="1:24">
      <c r="A269" s="60" t="s">
        <v>926</v>
      </c>
      <c r="B269" s="60" t="s">
        <v>868</v>
      </c>
      <c r="C269" s="60" t="s">
        <v>869</v>
      </c>
      <c r="D269" s="60" t="s">
        <v>870</v>
      </c>
      <c r="E269" s="61" t="s">
        <v>46</v>
      </c>
      <c r="F269" s="62" t="s">
        <v>46</v>
      </c>
      <c r="G269" s="63" t="s">
        <v>46</v>
      </c>
      <c r="H269" s="64"/>
      <c r="I269" s="64" t="s">
        <v>47</v>
      </c>
      <c r="J269" s="65">
        <v>1</v>
      </c>
      <c r="K269" s="66">
        <f>11040</f>
        <v>11040</v>
      </c>
      <c r="L269" s="67" t="s">
        <v>853</v>
      </c>
      <c r="M269" s="66">
        <f>11450</f>
        <v>11450</v>
      </c>
      <c r="N269" s="67" t="s">
        <v>240</v>
      </c>
      <c r="O269" s="66">
        <f>10980</f>
        <v>10980</v>
      </c>
      <c r="P269" s="67" t="s">
        <v>857</v>
      </c>
      <c r="Q269" s="66">
        <f>11210</f>
        <v>11210</v>
      </c>
      <c r="R269" s="67" t="s">
        <v>873</v>
      </c>
      <c r="S269" s="68">
        <f>11196.5</f>
        <v>11196.5</v>
      </c>
      <c r="T269" s="65">
        <f>293172</f>
        <v>293172</v>
      </c>
      <c r="U269" s="65">
        <f>194001</f>
        <v>194001</v>
      </c>
      <c r="V269" s="65">
        <f>3242028125</f>
        <v>3242028125</v>
      </c>
      <c r="W269" s="65">
        <f>2134524885</f>
        <v>2134524885</v>
      </c>
      <c r="X269" s="69">
        <f>20</f>
        <v>20</v>
      </c>
    </row>
    <row r="270" spans="1:24">
      <c r="A270" s="60" t="s">
        <v>926</v>
      </c>
      <c r="B270" s="60" t="s">
        <v>879</v>
      </c>
      <c r="C270" s="60" t="s">
        <v>880</v>
      </c>
      <c r="D270" s="60" t="s">
        <v>881</v>
      </c>
      <c r="E270" s="61" t="s">
        <v>46</v>
      </c>
      <c r="F270" s="62" t="s">
        <v>46</v>
      </c>
      <c r="G270" s="63" t="s">
        <v>46</v>
      </c>
      <c r="H270" s="64"/>
      <c r="I270" s="64" t="s">
        <v>47</v>
      </c>
      <c r="J270" s="65">
        <v>10</v>
      </c>
      <c r="K270" s="66">
        <f>2210</f>
        <v>2210</v>
      </c>
      <c r="L270" s="67" t="s">
        <v>853</v>
      </c>
      <c r="M270" s="66">
        <f>2265</f>
        <v>2265</v>
      </c>
      <c r="N270" s="67" t="s">
        <v>96</v>
      </c>
      <c r="O270" s="66">
        <f>2156</f>
        <v>2156</v>
      </c>
      <c r="P270" s="67" t="s">
        <v>371</v>
      </c>
      <c r="Q270" s="66">
        <f>2218</f>
        <v>2218</v>
      </c>
      <c r="R270" s="67" t="s">
        <v>873</v>
      </c>
      <c r="S270" s="68">
        <f>2219.75</f>
        <v>2219.75</v>
      </c>
      <c r="T270" s="65">
        <f>942590</f>
        <v>942590</v>
      </c>
      <c r="U270" s="65" t="str">
        <f>"－"</f>
        <v>－</v>
      </c>
      <c r="V270" s="65">
        <f>2092826700</f>
        <v>2092826700</v>
      </c>
      <c r="W270" s="65" t="str">
        <f>"－"</f>
        <v>－</v>
      </c>
      <c r="X270" s="69">
        <f>20</f>
        <v>20</v>
      </c>
    </row>
    <row r="271" spans="1:24">
      <c r="A271" s="60" t="s">
        <v>926</v>
      </c>
      <c r="B271" s="60" t="s">
        <v>883</v>
      </c>
      <c r="C271" s="60" t="s">
        <v>884</v>
      </c>
      <c r="D271" s="60" t="s">
        <v>885</v>
      </c>
      <c r="E271" s="61" t="s">
        <v>46</v>
      </c>
      <c r="F271" s="62" t="s">
        <v>46</v>
      </c>
      <c r="G271" s="63" t="s">
        <v>46</v>
      </c>
      <c r="H271" s="64"/>
      <c r="I271" s="64" t="s">
        <v>47</v>
      </c>
      <c r="J271" s="65">
        <v>10</v>
      </c>
      <c r="K271" s="66">
        <f>2176</f>
        <v>2176</v>
      </c>
      <c r="L271" s="67" t="s">
        <v>853</v>
      </c>
      <c r="M271" s="66">
        <f>2235</f>
        <v>2235</v>
      </c>
      <c r="N271" s="67" t="s">
        <v>73</v>
      </c>
      <c r="O271" s="66">
        <f>2156</f>
        <v>2156</v>
      </c>
      <c r="P271" s="67" t="s">
        <v>371</v>
      </c>
      <c r="Q271" s="66">
        <f>2215</f>
        <v>2215</v>
      </c>
      <c r="R271" s="67" t="s">
        <v>873</v>
      </c>
      <c r="S271" s="68">
        <f>2201.6</f>
        <v>2201.6</v>
      </c>
      <c r="T271" s="65">
        <f>2037210</f>
        <v>2037210</v>
      </c>
      <c r="U271" s="65">
        <f>1332700</f>
        <v>1332700</v>
      </c>
      <c r="V271" s="65">
        <f>4477274243</f>
        <v>4477274243</v>
      </c>
      <c r="W271" s="65">
        <f>2933825603</f>
        <v>2933825603</v>
      </c>
      <c r="X271" s="69">
        <f>20</f>
        <v>20</v>
      </c>
    </row>
    <row r="272" spans="1:24">
      <c r="A272" s="60" t="s">
        <v>926</v>
      </c>
      <c r="B272" s="60" t="s">
        <v>886</v>
      </c>
      <c r="C272" s="60" t="s">
        <v>887</v>
      </c>
      <c r="D272" s="60" t="s">
        <v>888</v>
      </c>
      <c r="E272" s="61" t="s">
        <v>46</v>
      </c>
      <c r="F272" s="62" t="s">
        <v>46</v>
      </c>
      <c r="G272" s="63" t="s">
        <v>46</v>
      </c>
      <c r="H272" s="64"/>
      <c r="I272" s="64" t="s">
        <v>47</v>
      </c>
      <c r="J272" s="65">
        <v>10</v>
      </c>
      <c r="K272" s="66">
        <f>2218</f>
        <v>2218</v>
      </c>
      <c r="L272" s="67" t="s">
        <v>853</v>
      </c>
      <c r="M272" s="66">
        <f>2335</f>
        <v>2335</v>
      </c>
      <c r="N272" s="67" t="s">
        <v>84</v>
      </c>
      <c r="O272" s="66">
        <f>2170</f>
        <v>2170</v>
      </c>
      <c r="P272" s="67" t="s">
        <v>371</v>
      </c>
      <c r="Q272" s="66">
        <f>2231</f>
        <v>2231</v>
      </c>
      <c r="R272" s="67" t="s">
        <v>873</v>
      </c>
      <c r="S272" s="68">
        <f>2229.95</f>
        <v>2229.9499999999998</v>
      </c>
      <c r="T272" s="65">
        <f>449220</f>
        <v>449220</v>
      </c>
      <c r="U272" s="65">
        <f>40</f>
        <v>40</v>
      </c>
      <c r="V272" s="65">
        <f>1004991500</f>
        <v>1004991500</v>
      </c>
      <c r="W272" s="65">
        <f>89380</f>
        <v>89380</v>
      </c>
      <c r="X272" s="69">
        <f>20</f>
        <v>20</v>
      </c>
    </row>
    <row r="273" spans="1:24">
      <c r="A273" s="60" t="s">
        <v>926</v>
      </c>
      <c r="B273" s="60" t="s">
        <v>889</v>
      </c>
      <c r="C273" s="60" t="s">
        <v>890</v>
      </c>
      <c r="D273" s="60" t="s">
        <v>891</v>
      </c>
      <c r="E273" s="61" t="s">
        <v>46</v>
      </c>
      <c r="F273" s="62" t="s">
        <v>46</v>
      </c>
      <c r="G273" s="63" t="s">
        <v>46</v>
      </c>
      <c r="H273" s="64"/>
      <c r="I273" s="64" t="s">
        <v>47</v>
      </c>
      <c r="J273" s="65">
        <v>1</v>
      </c>
      <c r="K273" s="66">
        <f>2688</f>
        <v>2688</v>
      </c>
      <c r="L273" s="67" t="s">
        <v>853</v>
      </c>
      <c r="M273" s="66">
        <f>2733</f>
        <v>2733</v>
      </c>
      <c r="N273" s="67" t="s">
        <v>92</v>
      </c>
      <c r="O273" s="66">
        <f>2607</f>
        <v>2607</v>
      </c>
      <c r="P273" s="67" t="s">
        <v>859</v>
      </c>
      <c r="Q273" s="66">
        <f>2622</f>
        <v>2622</v>
      </c>
      <c r="R273" s="67" t="s">
        <v>873</v>
      </c>
      <c r="S273" s="68">
        <f>2673.1</f>
        <v>2673.1</v>
      </c>
      <c r="T273" s="65">
        <f>103880</f>
        <v>103880</v>
      </c>
      <c r="U273" s="65">
        <f>2</f>
        <v>2</v>
      </c>
      <c r="V273" s="65">
        <f>275847304</f>
        <v>275847304</v>
      </c>
      <c r="W273" s="65">
        <f>5379</f>
        <v>5379</v>
      </c>
      <c r="X273" s="69">
        <f>20</f>
        <v>20</v>
      </c>
    </row>
    <row r="274" spans="1:24">
      <c r="A274" s="60" t="s">
        <v>926</v>
      </c>
      <c r="B274" s="60" t="s">
        <v>892</v>
      </c>
      <c r="C274" s="60" t="s">
        <v>893</v>
      </c>
      <c r="D274" s="60" t="s">
        <v>894</v>
      </c>
      <c r="E274" s="61" t="s">
        <v>46</v>
      </c>
      <c r="F274" s="62" t="s">
        <v>46</v>
      </c>
      <c r="G274" s="63" t="s">
        <v>46</v>
      </c>
      <c r="H274" s="64"/>
      <c r="I274" s="64" t="s">
        <v>47</v>
      </c>
      <c r="J274" s="65">
        <v>1</v>
      </c>
      <c r="K274" s="66">
        <f>1700</f>
        <v>1700</v>
      </c>
      <c r="L274" s="67" t="s">
        <v>853</v>
      </c>
      <c r="M274" s="66">
        <f>1760</f>
        <v>1760</v>
      </c>
      <c r="N274" s="67" t="s">
        <v>49</v>
      </c>
      <c r="O274" s="66">
        <f>1649</f>
        <v>1649</v>
      </c>
      <c r="P274" s="67" t="s">
        <v>859</v>
      </c>
      <c r="Q274" s="66">
        <f>1700</f>
        <v>1700</v>
      </c>
      <c r="R274" s="67" t="s">
        <v>873</v>
      </c>
      <c r="S274" s="68">
        <f>1710.45</f>
        <v>1710.45</v>
      </c>
      <c r="T274" s="65">
        <f>46744</f>
        <v>46744</v>
      </c>
      <c r="U274" s="65">
        <f>6</f>
        <v>6</v>
      </c>
      <c r="V274" s="65">
        <f>80125221</f>
        <v>80125221</v>
      </c>
      <c r="W274" s="65">
        <f>10318</f>
        <v>10318</v>
      </c>
      <c r="X274" s="69">
        <f>20</f>
        <v>20</v>
      </c>
    </row>
    <row r="275" spans="1:24">
      <c r="A275" s="60" t="s">
        <v>926</v>
      </c>
      <c r="B275" s="60" t="s">
        <v>910</v>
      </c>
      <c r="C275" s="60" t="s">
        <v>911</v>
      </c>
      <c r="D275" s="60" t="s">
        <v>912</v>
      </c>
      <c r="E275" s="61" t="s">
        <v>46</v>
      </c>
      <c r="F275" s="62" t="s">
        <v>46</v>
      </c>
      <c r="G275" s="63" t="s">
        <v>46</v>
      </c>
      <c r="H275" s="64"/>
      <c r="I275" s="64" t="s">
        <v>47</v>
      </c>
      <c r="J275" s="65">
        <v>1</v>
      </c>
      <c r="K275" s="66">
        <f>2321</f>
        <v>2321</v>
      </c>
      <c r="L275" s="67" t="s">
        <v>853</v>
      </c>
      <c r="M275" s="66">
        <f>2384</f>
        <v>2384</v>
      </c>
      <c r="N275" s="67" t="s">
        <v>92</v>
      </c>
      <c r="O275" s="66">
        <f>2213</f>
        <v>2213</v>
      </c>
      <c r="P275" s="67" t="s">
        <v>873</v>
      </c>
      <c r="Q275" s="66">
        <f>2215</f>
        <v>2215</v>
      </c>
      <c r="R275" s="67" t="s">
        <v>873</v>
      </c>
      <c r="S275" s="68">
        <f>2287.35</f>
        <v>2287.35</v>
      </c>
      <c r="T275" s="65">
        <f>108269</f>
        <v>108269</v>
      </c>
      <c r="U275" s="65" t="str">
        <f>"－"</f>
        <v>－</v>
      </c>
      <c r="V275" s="65">
        <f>244625447</f>
        <v>244625447</v>
      </c>
      <c r="W275" s="65" t="str">
        <f>"－"</f>
        <v>－</v>
      </c>
      <c r="X275" s="69">
        <f>20</f>
        <v>20</v>
      </c>
    </row>
    <row r="276" spans="1:24">
      <c r="A276" s="60" t="s">
        <v>926</v>
      </c>
      <c r="B276" s="60" t="s">
        <v>914</v>
      </c>
      <c r="C276" s="60" t="s">
        <v>915</v>
      </c>
      <c r="D276" s="60" t="s">
        <v>916</v>
      </c>
      <c r="E276" s="61" t="s">
        <v>46</v>
      </c>
      <c r="F276" s="62" t="s">
        <v>46</v>
      </c>
      <c r="G276" s="63" t="s">
        <v>46</v>
      </c>
      <c r="H276" s="64"/>
      <c r="I276" s="64" t="s">
        <v>47</v>
      </c>
      <c r="J276" s="65">
        <v>1</v>
      </c>
      <c r="K276" s="66">
        <f>1872</f>
        <v>1872</v>
      </c>
      <c r="L276" s="67" t="s">
        <v>853</v>
      </c>
      <c r="M276" s="66">
        <f>1909</f>
        <v>1909</v>
      </c>
      <c r="N276" s="67" t="s">
        <v>240</v>
      </c>
      <c r="O276" s="66">
        <f>1803</f>
        <v>1803</v>
      </c>
      <c r="P276" s="67" t="s">
        <v>859</v>
      </c>
      <c r="Q276" s="66">
        <f>1812</f>
        <v>1812</v>
      </c>
      <c r="R276" s="67" t="s">
        <v>873</v>
      </c>
      <c r="S276" s="68">
        <f>1848.95</f>
        <v>1848.95</v>
      </c>
      <c r="T276" s="65">
        <f>101906</f>
        <v>101906</v>
      </c>
      <c r="U276" s="65" t="str">
        <f>"－"</f>
        <v>－</v>
      </c>
      <c r="V276" s="65">
        <f>188079475</f>
        <v>188079475</v>
      </c>
      <c r="W276" s="65" t="str">
        <f>"－"</f>
        <v>－</v>
      </c>
      <c r="X276" s="69">
        <f>20</f>
        <v>20</v>
      </c>
    </row>
    <row r="277" spans="1:24">
      <c r="A277" s="60" t="s">
        <v>926</v>
      </c>
      <c r="B277" s="60" t="s">
        <v>917</v>
      </c>
      <c r="C277" s="60" t="s">
        <v>918</v>
      </c>
      <c r="D277" s="60" t="s">
        <v>919</v>
      </c>
      <c r="E277" s="61" t="s">
        <v>46</v>
      </c>
      <c r="F277" s="62" t="s">
        <v>46</v>
      </c>
      <c r="G277" s="63" t="s">
        <v>46</v>
      </c>
      <c r="H277" s="64"/>
      <c r="I277" s="64" t="s">
        <v>47</v>
      </c>
      <c r="J277" s="65">
        <v>1</v>
      </c>
      <c r="K277" s="66">
        <f>2521</f>
        <v>2521</v>
      </c>
      <c r="L277" s="67" t="s">
        <v>853</v>
      </c>
      <c r="M277" s="66">
        <f>2527</f>
        <v>2527</v>
      </c>
      <c r="N277" s="67" t="s">
        <v>84</v>
      </c>
      <c r="O277" s="66">
        <f>2366</f>
        <v>2366</v>
      </c>
      <c r="P277" s="67" t="s">
        <v>873</v>
      </c>
      <c r="Q277" s="66">
        <f>2372</f>
        <v>2372</v>
      </c>
      <c r="R277" s="67" t="s">
        <v>873</v>
      </c>
      <c r="S277" s="68">
        <f>2449.9</f>
        <v>2449.9</v>
      </c>
      <c r="T277" s="65">
        <f>228475</f>
        <v>228475</v>
      </c>
      <c r="U277" s="65">
        <f>58426</f>
        <v>58426</v>
      </c>
      <c r="V277" s="65">
        <f>562285005</f>
        <v>562285005</v>
      </c>
      <c r="W277" s="65">
        <f>144826624</f>
        <v>144826624</v>
      </c>
      <c r="X277" s="69">
        <f>20</f>
        <v>20</v>
      </c>
    </row>
    <row r="278" spans="1:24">
      <c r="A278" s="60" t="s">
        <v>926</v>
      </c>
      <c r="B278" s="60" t="s">
        <v>920</v>
      </c>
      <c r="C278" s="60" t="s">
        <v>921</v>
      </c>
      <c r="D278" s="60" t="s">
        <v>922</v>
      </c>
      <c r="E278" s="61" t="s">
        <v>46</v>
      </c>
      <c r="F278" s="62" t="s">
        <v>46</v>
      </c>
      <c r="G278" s="63" t="s">
        <v>46</v>
      </c>
      <c r="H278" s="64"/>
      <c r="I278" s="64" t="s">
        <v>47</v>
      </c>
      <c r="J278" s="65">
        <v>1</v>
      </c>
      <c r="K278" s="66">
        <f>1948</f>
        <v>1948</v>
      </c>
      <c r="L278" s="67" t="s">
        <v>853</v>
      </c>
      <c r="M278" s="66">
        <f>1990</f>
        <v>1990</v>
      </c>
      <c r="N278" s="67" t="s">
        <v>92</v>
      </c>
      <c r="O278" s="66">
        <f>1888</f>
        <v>1888</v>
      </c>
      <c r="P278" s="67" t="s">
        <v>371</v>
      </c>
      <c r="Q278" s="66">
        <f>1918</f>
        <v>1918</v>
      </c>
      <c r="R278" s="67" t="s">
        <v>873</v>
      </c>
      <c r="S278" s="68">
        <f>1944.65</f>
        <v>1944.65</v>
      </c>
      <c r="T278" s="65">
        <f>281145</f>
        <v>281145</v>
      </c>
      <c r="U278" s="65">
        <f>60000</f>
        <v>60000</v>
      </c>
      <c r="V278" s="65">
        <f>545100981</f>
        <v>545100981</v>
      </c>
      <c r="W278" s="65">
        <f>116037000</f>
        <v>116037000</v>
      </c>
      <c r="X278" s="69">
        <f>20</f>
        <v>20</v>
      </c>
    </row>
    <row r="279" spans="1:24">
      <c r="A279" s="60" t="s">
        <v>926</v>
      </c>
      <c r="B279" s="60" t="s">
        <v>923</v>
      </c>
      <c r="C279" s="60" t="s">
        <v>924</v>
      </c>
      <c r="D279" s="60" t="s">
        <v>925</v>
      </c>
      <c r="E279" s="61" t="s">
        <v>46</v>
      </c>
      <c r="F279" s="62" t="s">
        <v>46</v>
      </c>
      <c r="G279" s="63" t="s">
        <v>46</v>
      </c>
      <c r="H279" s="64"/>
      <c r="I279" s="64" t="s">
        <v>47</v>
      </c>
      <c r="J279" s="65">
        <v>1</v>
      </c>
      <c r="K279" s="66">
        <f>25790</f>
        <v>25790</v>
      </c>
      <c r="L279" s="67" t="s">
        <v>853</v>
      </c>
      <c r="M279" s="66">
        <f>25860</f>
        <v>25860</v>
      </c>
      <c r="N279" s="67" t="s">
        <v>84</v>
      </c>
      <c r="O279" s="66">
        <f>24930</f>
        <v>24930</v>
      </c>
      <c r="P279" s="67" t="s">
        <v>371</v>
      </c>
      <c r="Q279" s="66">
        <f>25260</f>
        <v>25260</v>
      </c>
      <c r="R279" s="67" t="s">
        <v>873</v>
      </c>
      <c r="S279" s="68">
        <f>25483.57</f>
        <v>25483.57</v>
      </c>
      <c r="T279" s="65">
        <f>483</f>
        <v>483</v>
      </c>
      <c r="U279" s="65">
        <f>2</f>
        <v>2</v>
      </c>
      <c r="V279" s="65">
        <f>12357670</f>
        <v>12357670</v>
      </c>
      <c r="W279" s="65">
        <f>51480</f>
        <v>51480</v>
      </c>
      <c r="X279" s="69">
        <f>14</f>
        <v>14</v>
      </c>
    </row>
    <row r="280" spans="1:24">
      <c r="A280" s="60" t="s">
        <v>926</v>
      </c>
      <c r="B280" s="60" t="s">
        <v>927</v>
      </c>
      <c r="C280" s="60" t="s">
        <v>928</v>
      </c>
      <c r="D280" s="60" t="s">
        <v>929</v>
      </c>
      <c r="E280" s="61" t="s">
        <v>846</v>
      </c>
      <c r="F280" s="62" t="s">
        <v>847</v>
      </c>
      <c r="G280" s="63" t="s">
        <v>930</v>
      </c>
      <c r="H280" s="64"/>
      <c r="I280" s="64" t="s">
        <v>47</v>
      </c>
      <c r="J280" s="65">
        <v>1</v>
      </c>
      <c r="K280" s="66">
        <f>1976</f>
        <v>1976</v>
      </c>
      <c r="L280" s="67" t="s">
        <v>854</v>
      </c>
      <c r="M280" s="66">
        <f>1978</f>
        <v>1978</v>
      </c>
      <c r="N280" s="67" t="s">
        <v>240</v>
      </c>
      <c r="O280" s="66">
        <f>1908</f>
        <v>1908</v>
      </c>
      <c r="P280" s="67" t="s">
        <v>371</v>
      </c>
      <c r="Q280" s="66">
        <f>1935</f>
        <v>1935</v>
      </c>
      <c r="R280" s="67" t="s">
        <v>873</v>
      </c>
      <c r="S280" s="68">
        <f>1952.22</f>
        <v>1952.22</v>
      </c>
      <c r="T280" s="65">
        <f>70097</f>
        <v>70097</v>
      </c>
      <c r="U280" s="65">
        <f>2</f>
        <v>2</v>
      </c>
      <c r="V280" s="65">
        <f>137694203</f>
        <v>137694203</v>
      </c>
      <c r="W280" s="65">
        <f>3914</f>
        <v>3914</v>
      </c>
      <c r="X280" s="69">
        <f>9</f>
        <v>9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EB7FC-670A-4B63-BE70-55B47509BDE1}">
  <sheetPr>
    <pageSetUpPr fitToPage="1"/>
  </sheetPr>
  <dimension ref="A1:X281"/>
  <sheetViews>
    <sheetView showGridLines="0" view="pageBreakPreview" zoomScaleNormal="70" zoomScaleSheetLayoutView="100" workbookViewId="0">
      <pane ySplit="6" topLeftCell="A7" activePane="bottomLeft" state="frozen"/>
      <selection pane="bottomLeft"/>
    </sheetView>
  </sheetViews>
  <sheetFormatPr defaultColWidth="9" defaultRowHeight="13.2"/>
  <cols>
    <col min="1" max="1" width="13.109375" style="1" bestFit="1" customWidth="1"/>
    <col min="2" max="2" width="10.77734375" style="1" bestFit="1" customWidth="1"/>
    <col min="3" max="4" width="27.6640625" style="1" customWidth="1"/>
    <col min="5" max="5" width="13.77734375" style="1" bestFit="1" customWidth="1"/>
    <col min="6" max="6" width="20.77734375" style="1" bestFit="1" customWidth="1"/>
    <col min="7" max="7" width="11.21875" style="1" customWidth="1"/>
    <col min="8" max="8" width="8.77734375" style="1" bestFit="1" customWidth="1"/>
    <col min="9" max="9" width="11.77734375" style="1" bestFit="1" customWidth="1"/>
    <col min="10" max="10" width="12.6640625" style="1" bestFit="1" customWidth="1"/>
    <col min="11" max="11" width="16.21875" style="1" customWidth="1"/>
    <col min="12" max="12" width="5.6640625" style="1" bestFit="1" customWidth="1"/>
    <col min="13" max="13" width="16.21875" style="1" customWidth="1"/>
    <col min="14" max="14" width="5.6640625" style="1" bestFit="1" customWidth="1"/>
    <col min="15" max="15" width="16.21875" style="1" customWidth="1"/>
    <col min="16" max="16" width="5.6640625" style="1" bestFit="1" customWidth="1"/>
    <col min="17" max="17" width="16.21875" style="1" customWidth="1"/>
    <col min="18" max="18" width="5.6640625" style="1" bestFit="1" customWidth="1"/>
    <col min="19" max="19" width="23.88671875" style="1" bestFit="1" customWidth="1"/>
    <col min="20" max="20" width="16.21875" style="1" customWidth="1"/>
    <col min="21" max="21" width="24.109375" style="1" customWidth="1"/>
    <col min="22" max="22" width="19.88671875" style="1" bestFit="1" customWidth="1"/>
    <col min="23" max="23" width="25" style="1" bestFit="1" customWidth="1"/>
    <col min="24" max="24" width="13.109375" style="1" bestFit="1" customWidth="1"/>
    <col min="25" max="16384" width="9" style="1"/>
  </cols>
  <sheetData>
    <row r="1" spans="1:24" ht="13.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70" t="s">
        <v>22</v>
      </c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4" ht="99" customHeight="1">
      <c r="A2" s="76" t="s">
        <v>23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2"/>
      <c r="O2" s="72"/>
      <c r="P2" s="72"/>
      <c r="Q2" s="72"/>
      <c r="R2" s="72"/>
      <c r="S2" s="72"/>
      <c r="T2" s="72"/>
      <c r="U2" s="72"/>
      <c r="V2" s="72"/>
      <c r="W2" s="72"/>
      <c r="X2" s="73"/>
    </row>
    <row r="3" spans="1:24" ht="39" customHeight="1">
      <c r="A3" s="78" t="s">
        <v>24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</row>
    <row r="4" spans="1:24" s="2" customFormat="1" ht="13.5" customHeight="1">
      <c r="A4" s="40" t="s">
        <v>25</v>
      </c>
      <c r="B4" s="40" t="s">
        <v>0</v>
      </c>
      <c r="C4" s="40"/>
      <c r="D4" s="40"/>
      <c r="E4" s="41"/>
      <c r="F4" s="42"/>
      <c r="G4" s="43" t="s">
        <v>2</v>
      </c>
      <c r="H4" s="40" t="s">
        <v>26</v>
      </c>
      <c r="I4" s="40" t="s">
        <v>3</v>
      </c>
      <c r="J4" s="40" t="s">
        <v>4</v>
      </c>
      <c r="K4" s="44" t="s">
        <v>5</v>
      </c>
      <c r="L4" s="43" t="s">
        <v>2</v>
      </c>
      <c r="M4" s="44" t="s">
        <v>6</v>
      </c>
      <c r="N4" s="43" t="s">
        <v>2</v>
      </c>
      <c r="O4" s="44" t="s">
        <v>7</v>
      </c>
      <c r="P4" s="43" t="s">
        <v>2</v>
      </c>
      <c r="Q4" s="44" t="s">
        <v>8</v>
      </c>
      <c r="R4" s="43" t="s">
        <v>2</v>
      </c>
      <c r="S4" s="40" t="s">
        <v>9</v>
      </c>
      <c r="T4" s="40" t="s">
        <v>10</v>
      </c>
      <c r="U4" s="45" t="s">
        <v>11</v>
      </c>
      <c r="V4" s="40" t="s">
        <v>12</v>
      </c>
      <c r="W4" s="40" t="s">
        <v>13</v>
      </c>
      <c r="X4" s="40" t="s">
        <v>14</v>
      </c>
    </row>
    <row r="5" spans="1:24">
      <c r="A5" s="46" t="s">
        <v>27</v>
      </c>
      <c r="B5" s="46" t="s">
        <v>28</v>
      </c>
      <c r="C5" s="46" t="s">
        <v>29</v>
      </c>
      <c r="D5" s="46" t="s">
        <v>1</v>
      </c>
      <c r="E5" s="47" t="s">
        <v>30</v>
      </c>
      <c r="F5" s="48" t="s">
        <v>31</v>
      </c>
      <c r="G5" s="49" t="s">
        <v>32</v>
      </c>
      <c r="H5" s="50" t="s">
        <v>33</v>
      </c>
      <c r="I5" s="50" t="s">
        <v>15</v>
      </c>
      <c r="J5" s="50" t="s">
        <v>34</v>
      </c>
      <c r="K5" s="51" t="s">
        <v>16</v>
      </c>
      <c r="L5" s="49" t="s">
        <v>32</v>
      </c>
      <c r="M5" s="51" t="s">
        <v>35</v>
      </c>
      <c r="N5" s="49" t="s">
        <v>32</v>
      </c>
      <c r="O5" s="51" t="s">
        <v>17</v>
      </c>
      <c r="P5" s="49" t="s">
        <v>32</v>
      </c>
      <c r="Q5" s="51" t="s">
        <v>18</v>
      </c>
      <c r="R5" s="49" t="s">
        <v>32</v>
      </c>
      <c r="S5" s="52" t="s">
        <v>36</v>
      </c>
      <c r="T5" s="52" t="s">
        <v>19</v>
      </c>
      <c r="U5" s="46" t="s">
        <v>37</v>
      </c>
      <c r="V5" s="52" t="s">
        <v>20</v>
      </c>
      <c r="W5" s="52" t="s">
        <v>38</v>
      </c>
      <c r="X5" s="52" t="s">
        <v>39</v>
      </c>
    </row>
    <row r="6" spans="1:24">
      <c r="A6" s="53"/>
      <c r="B6" s="53"/>
      <c r="C6" s="53"/>
      <c r="D6" s="53"/>
      <c r="E6" s="54"/>
      <c r="F6" s="55"/>
      <c r="G6" s="56"/>
      <c r="H6" s="57"/>
      <c r="I6" s="57"/>
      <c r="J6" s="57" t="s">
        <v>40</v>
      </c>
      <c r="K6" s="58" t="s">
        <v>41</v>
      </c>
      <c r="L6" s="59"/>
      <c r="M6" s="58" t="s">
        <v>41</v>
      </c>
      <c r="N6" s="59"/>
      <c r="O6" s="58" t="s">
        <v>41</v>
      </c>
      <c r="P6" s="59"/>
      <c r="Q6" s="58" t="s">
        <v>41</v>
      </c>
      <c r="R6" s="59"/>
      <c r="S6" s="58" t="s">
        <v>41</v>
      </c>
      <c r="T6" s="57" t="s">
        <v>21</v>
      </c>
      <c r="U6" s="57" t="s">
        <v>21</v>
      </c>
      <c r="V6" s="58" t="s">
        <v>41</v>
      </c>
      <c r="W6" s="58" t="s">
        <v>41</v>
      </c>
      <c r="X6" s="57"/>
    </row>
    <row r="7" spans="1:24" s="28" customFormat="1" ht="13.5" customHeight="1">
      <c r="A7" s="60" t="s">
        <v>907</v>
      </c>
      <c r="B7" s="60" t="s">
        <v>43</v>
      </c>
      <c r="C7" s="60" t="s">
        <v>44</v>
      </c>
      <c r="D7" s="60" t="s">
        <v>45</v>
      </c>
      <c r="E7" s="61" t="s">
        <v>46</v>
      </c>
      <c r="F7" s="62" t="s">
        <v>46</v>
      </c>
      <c r="G7" s="63" t="s">
        <v>46</v>
      </c>
      <c r="H7" s="64"/>
      <c r="I7" s="64" t="s">
        <v>47</v>
      </c>
      <c r="J7" s="65">
        <v>10</v>
      </c>
      <c r="K7" s="66">
        <f>2051</f>
        <v>2051</v>
      </c>
      <c r="L7" s="67" t="s">
        <v>853</v>
      </c>
      <c r="M7" s="66">
        <f>2106</f>
        <v>2106</v>
      </c>
      <c r="N7" s="67" t="s">
        <v>854</v>
      </c>
      <c r="O7" s="66">
        <f>2007</f>
        <v>2007</v>
      </c>
      <c r="P7" s="67" t="s">
        <v>268</v>
      </c>
      <c r="Q7" s="66">
        <f>2065</f>
        <v>2065</v>
      </c>
      <c r="R7" s="67" t="s">
        <v>873</v>
      </c>
      <c r="S7" s="68">
        <f>2074</f>
        <v>2074</v>
      </c>
      <c r="T7" s="65">
        <f>6579860</f>
        <v>6579860</v>
      </c>
      <c r="U7" s="65">
        <f>474620</f>
        <v>474620</v>
      </c>
      <c r="V7" s="65">
        <f>13634853459</f>
        <v>13634853459</v>
      </c>
      <c r="W7" s="65">
        <f>981666189</f>
        <v>981666189</v>
      </c>
      <c r="X7" s="69">
        <f>22</f>
        <v>22</v>
      </c>
    </row>
    <row r="8" spans="1:24">
      <c r="A8" s="60" t="s">
        <v>907</v>
      </c>
      <c r="B8" s="60" t="s">
        <v>51</v>
      </c>
      <c r="C8" s="60" t="s">
        <v>52</v>
      </c>
      <c r="D8" s="60" t="s">
        <v>53</v>
      </c>
      <c r="E8" s="61" t="s">
        <v>46</v>
      </c>
      <c r="F8" s="62" t="s">
        <v>46</v>
      </c>
      <c r="G8" s="63" t="s">
        <v>46</v>
      </c>
      <c r="H8" s="64"/>
      <c r="I8" s="64" t="s">
        <v>47</v>
      </c>
      <c r="J8" s="65">
        <v>10</v>
      </c>
      <c r="K8" s="66">
        <f>2029</f>
        <v>2029</v>
      </c>
      <c r="L8" s="67" t="s">
        <v>853</v>
      </c>
      <c r="M8" s="66">
        <f>2082</f>
        <v>2082</v>
      </c>
      <c r="N8" s="67" t="s">
        <v>854</v>
      </c>
      <c r="O8" s="66">
        <f>1983</f>
        <v>1983</v>
      </c>
      <c r="P8" s="67" t="s">
        <v>268</v>
      </c>
      <c r="Q8" s="66">
        <f>2040</f>
        <v>2040</v>
      </c>
      <c r="R8" s="67" t="s">
        <v>873</v>
      </c>
      <c r="S8" s="68">
        <f>2050</f>
        <v>2050</v>
      </c>
      <c r="T8" s="65">
        <f>54735160</f>
        <v>54735160</v>
      </c>
      <c r="U8" s="65">
        <f>20396890</f>
        <v>20396890</v>
      </c>
      <c r="V8" s="65">
        <f>111195084975</f>
        <v>111195084975</v>
      </c>
      <c r="W8" s="65">
        <f>40980136805</f>
        <v>40980136805</v>
      </c>
      <c r="X8" s="69">
        <f>22</f>
        <v>22</v>
      </c>
    </row>
    <row r="9" spans="1:24">
      <c r="A9" s="60" t="s">
        <v>907</v>
      </c>
      <c r="B9" s="60" t="s">
        <v>54</v>
      </c>
      <c r="C9" s="60" t="s">
        <v>55</v>
      </c>
      <c r="D9" s="60" t="s">
        <v>56</v>
      </c>
      <c r="E9" s="61" t="s">
        <v>46</v>
      </c>
      <c r="F9" s="62" t="s">
        <v>46</v>
      </c>
      <c r="G9" s="63" t="s">
        <v>46</v>
      </c>
      <c r="H9" s="64"/>
      <c r="I9" s="64" t="s">
        <v>47</v>
      </c>
      <c r="J9" s="65">
        <v>100</v>
      </c>
      <c r="K9" s="66">
        <f>2005</f>
        <v>2005</v>
      </c>
      <c r="L9" s="67" t="s">
        <v>853</v>
      </c>
      <c r="M9" s="66">
        <f>2058</f>
        <v>2058</v>
      </c>
      <c r="N9" s="67" t="s">
        <v>854</v>
      </c>
      <c r="O9" s="66">
        <f>1963</f>
        <v>1963</v>
      </c>
      <c r="P9" s="67" t="s">
        <v>268</v>
      </c>
      <c r="Q9" s="66">
        <f>2022</f>
        <v>2022</v>
      </c>
      <c r="R9" s="67" t="s">
        <v>873</v>
      </c>
      <c r="S9" s="68">
        <f>2028.14</f>
        <v>2028.14</v>
      </c>
      <c r="T9" s="65">
        <f>8138400</f>
        <v>8138400</v>
      </c>
      <c r="U9" s="65">
        <f>775800</f>
        <v>775800</v>
      </c>
      <c r="V9" s="65">
        <f>16467926993</f>
        <v>16467926993</v>
      </c>
      <c r="W9" s="65">
        <f>1575086493</f>
        <v>1575086493</v>
      </c>
      <c r="X9" s="69">
        <f>22</f>
        <v>22</v>
      </c>
    </row>
    <row r="10" spans="1:24">
      <c r="A10" s="60" t="s">
        <v>907</v>
      </c>
      <c r="B10" s="60" t="s">
        <v>57</v>
      </c>
      <c r="C10" s="60" t="s">
        <v>58</v>
      </c>
      <c r="D10" s="60" t="s">
        <v>59</v>
      </c>
      <c r="E10" s="61" t="s">
        <v>46</v>
      </c>
      <c r="F10" s="62" t="s">
        <v>46</v>
      </c>
      <c r="G10" s="63" t="s">
        <v>46</v>
      </c>
      <c r="H10" s="64"/>
      <c r="I10" s="64" t="s">
        <v>47</v>
      </c>
      <c r="J10" s="65">
        <v>1</v>
      </c>
      <c r="K10" s="66">
        <f>47700</f>
        <v>47700</v>
      </c>
      <c r="L10" s="67" t="s">
        <v>853</v>
      </c>
      <c r="M10" s="66">
        <f>47900</f>
        <v>47900</v>
      </c>
      <c r="N10" s="67" t="s">
        <v>853</v>
      </c>
      <c r="O10" s="66">
        <f>43850</f>
        <v>43850</v>
      </c>
      <c r="P10" s="67" t="s">
        <v>268</v>
      </c>
      <c r="Q10" s="66">
        <f>45050</f>
        <v>45050</v>
      </c>
      <c r="R10" s="67" t="s">
        <v>873</v>
      </c>
      <c r="S10" s="68">
        <f>45825</f>
        <v>45825</v>
      </c>
      <c r="T10" s="65">
        <f>8609</f>
        <v>8609</v>
      </c>
      <c r="U10" s="65" t="str">
        <f>"－"</f>
        <v>－</v>
      </c>
      <c r="V10" s="65">
        <f>393882600</f>
        <v>393882600</v>
      </c>
      <c r="W10" s="65" t="str">
        <f>"－"</f>
        <v>－</v>
      </c>
      <c r="X10" s="69">
        <f>22</f>
        <v>22</v>
      </c>
    </row>
    <row r="11" spans="1:24">
      <c r="A11" s="60" t="s">
        <v>907</v>
      </c>
      <c r="B11" s="60" t="s">
        <v>60</v>
      </c>
      <c r="C11" s="60" t="s">
        <v>61</v>
      </c>
      <c r="D11" s="60" t="s">
        <v>62</v>
      </c>
      <c r="E11" s="61" t="s">
        <v>46</v>
      </c>
      <c r="F11" s="62" t="s">
        <v>46</v>
      </c>
      <c r="G11" s="63" t="s">
        <v>46</v>
      </c>
      <c r="H11" s="64"/>
      <c r="I11" s="64" t="s">
        <v>47</v>
      </c>
      <c r="J11" s="65">
        <v>10</v>
      </c>
      <c r="K11" s="66">
        <f>914</f>
        <v>914</v>
      </c>
      <c r="L11" s="67" t="s">
        <v>853</v>
      </c>
      <c r="M11" s="66">
        <f>932</f>
        <v>932</v>
      </c>
      <c r="N11" s="67" t="s">
        <v>854</v>
      </c>
      <c r="O11" s="66">
        <f>889</f>
        <v>889</v>
      </c>
      <c r="P11" s="67" t="s">
        <v>268</v>
      </c>
      <c r="Q11" s="66">
        <f>912</f>
        <v>912</v>
      </c>
      <c r="R11" s="67" t="s">
        <v>873</v>
      </c>
      <c r="S11" s="68">
        <f>918.64</f>
        <v>918.64</v>
      </c>
      <c r="T11" s="65">
        <f>134700</f>
        <v>134700</v>
      </c>
      <c r="U11" s="65">
        <f>20</f>
        <v>20</v>
      </c>
      <c r="V11" s="65">
        <f>123435530</f>
        <v>123435530</v>
      </c>
      <c r="W11" s="65">
        <f>18560</f>
        <v>18560</v>
      </c>
      <c r="X11" s="69">
        <f>22</f>
        <v>22</v>
      </c>
    </row>
    <row r="12" spans="1:24">
      <c r="A12" s="60" t="s">
        <v>907</v>
      </c>
      <c r="B12" s="60" t="s">
        <v>63</v>
      </c>
      <c r="C12" s="60" t="s">
        <v>64</v>
      </c>
      <c r="D12" s="60" t="s">
        <v>65</v>
      </c>
      <c r="E12" s="61" t="s">
        <v>46</v>
      </c>
      <c r="F12" s="62" t="s">
        <v>46</v>
      </c>
      <c r="G12" s="63" t="s">
        <v>46</v>
      </c>
      <c r="H12" s="64"/>
      <c r="I12" s="64" t="s">
        <v>47</v>
      </c>
      <c r="J12" s="65">
        <v>1</v>
      </c>
      <c r="K12" s="66">
        <f>21410</f>
        <v>21410</v>
      </c>
      <c r="L12" s="67" t="s">
        <v>853</v>
      </c>
      <c r="M12" s="66">
        <f>22650</f>
        <v>22650</v>
      </c>
      <c r="N12" s="67" t="s">
        <v>49</v>
      </c>
      <c r="O12" s="66">
        <f>20740</f>
        <v>20740</v>
      </c>
      <c r="P12" s="67" t="s">
        <v>268</v>
      </c>
      <c r="Q12" s="66">
        <f>21860</f>
        <v>21860</v>
      </c>
      <c r="R12" s="67" t="s">
        <v>873</v>
      </c>
      <c r="S12" s="68">
        <f>21726.36</f>
        <v>21726.36</v>
      </c>
      <c r="T12" s="65">
        <f>2098</f>
        <v>2098</v>
      </c>
      <c r="U12" s="65">
        <f>6</f>
        <v>6</v>
      </c>
      <c r="V12" s="65">
        <f>45570680</f>
        <v>45570680</v>
      </c>
      <c r="W12" s="65">
        <f>131240</f>
        <v>131240</v>
      </c>
      <c r="X12" s="69">
        <f>22</f>
        <v>22</v>
      </c>
    </row>
    <row r="13" spans="1:24">
      <c r="A13" s="60" t="s">
        <v>907</v>
      </c>
      <c r="B13" s="60" t="s">
        <v>66</v>
      </c>
      <c r="C13" s="60" t="s">
        <v>67</v>
      </c>
      <c r="D13" s="60" t="s">
        <v>68</v>
      </c>
      <c r="E13" s="61" t="s">
        <v>46</v>
      </c>
      <c r="F13" s="62" t="s">
        <v>46</v>
      </c>
      <c r="G13" s="63" t="s">
        <v>46</v>
      </c>
      <c r="H13" s="64"/>
      <c r="I13" s="64" t="s">
        <v>47</v>
      </c>
      <c r="J13" s="65">
        <v>10</v>
      </c>
      <c r="K13" s="66">
        <f>4200</f>
        <v>4200</v>
      </c>
      <c r="L13" s="67" t="s">
        <v>853</v>
      </c>
      <c r="M13" s="66">
        <f>4395</f>
        <v>4395</v>
      </c>
      <c r="N13" s="67" t="s">
        <v>176</v>
      </c>
      <c r="O13" s="66">
        <f>4165</f>
        <v>4165</v>
      </c>
      <c r="P13" s="67" t="s">
        <v>860</v>
      </c>
      <c r="Q13" s="66">
        <f>4315</f>
        <v>4315</v>
      </c>
      <c r="R13" s="67" t="s">
        <v>50</v>
      </c>
      <c r="S13" s="68">
        <f>4272.65</f>
        <v>4272.6499999999996</v>
      </c>
      <c r="T13" s="65">
        <f>1910</f>
        <v>1910</v>
      </c>
      <c r="U13" s="65">
        <f>20</f>
        <v>20</v>
      </c>
      <c r="V13" s="65">
        <f>8150350</f>
        <v>8150350</v>
      </c>
      <c r="W13" s="65">
        <f>86100</f>
        <v>86100</v>
      </c>
      <c r="X13" s="69">
        <f>17</f>
        <v>17</v>
      </c>
    </row>
    <row r="14" spans="1:24">
      <c r="A14" s="60" t="s">
        <v>907</v>
      </c>
      <c r="B14" s="60" t="s">
        <v>70</v>
      </c>
      <c r="C14" s="60" t="s">
        <v>71</v>
      </c>
      <c r="D14" s="60" t="s">
        <v>72</v>
      </c>
      <c r="E14" s="61" t="s">
        <v>46</v>
      </c>
      <c r="F14" s="62" t="s">
        <v>46</v>
      </c>
      <c r="G14" s="63" t="s">
        <v>46</v>
      </c>
      <c r="H14" s="64"/>
      <c r="I14" s="64" t="s">
        <v>47</v>
      </c>
      <c r="J14" s="65">
        <v>1000</v>
      </c>
      <c r="K14" s="66">
        <f>377</f>
        <v>377</v>
      </c>
      <c r="L14" s="67" t="s">
        <v>853</v>
      </c>
      <c r="M14" s="66">
        <f>389</f>
        <v>389</v>
      </c>
      <c r="N14" s="67" t="s">
        <v>873</v>
      </c>
      <c r="O14" s="66">
        <f>372</f>
        <v>372</v>
      </c>
      <c r="P14" s="67" t="s">
        <v>268</v>
      </c>
      <c r="Q14" s="66">
        <f>384</f>
        <v>384</v>
      </c>
      <c r="R14" s="67" t="s">
        <v>873</v>
      </c>
      <c r="S14" s="68">
        <f>382.29</f>
        <v>382.29</v>
      </c>
      <c r="T14" s="65">
        <f>82000</f>
        <v>82000</v>
      </c>
      <c r="U14" s="65">
        <f>2000</f>
        <v>2000</v>
      </c>
      <c r="V14" s="65">
        <f>31250000</f>
        <v>31250000</v>
      </c>
      <c r="W14" s="65">
        <f>765000</f>
        <v>765000</v>
      </c>
      <c r="X14" s="69">
        <f>21</f>
        <v>21</v>
      </c>
    </row>
    <row r="15" spans="1:24">
      <c r="A15" s="60" t="s">
        <v>907</v>
      </c>
      <c r="B15" s="60" t="s">
        <v>74</v>
      </c>
      <c r="C15" s="60" t="s">
        <v>75</v>
      </c>
      <c r="D15" s="60" t="s">
        <v>76</v>
      </c>
      <c r="E15" s="61" t="s">
        <v>46</v>
      </c>
      <c r="F15" s="62" t="s">
        <v>46</v>
      </c>
      <c r="G15" s="63" t="s">
        <v>46</v>
      </c>
      <c r="H15" s="64"/>
      <c r="I15" s="64" t="s">
        <v>47</v>
      </c>
      <c r="J15" s="65">
        <v>1</v>
      </c>
      <c r="K15" s="66">
        <f>30050</f>
        <v>30050</v>
      </c>
      <c r="L15" s="67" t="s">
        <v>853</v>
      </c>
      <c r="M15" s="66">
        <f>30550</f>
        <v>30550</v>
      </c>
      <c r="N15" s="67" t="s">
        <v>69</v>
      </c>
      <c r="O15" s="66">
        <f>28780</f>
        <v>28780</v>
      </c>
      <c r="P15" s="67" t="s">
        <v>268</v>
      </c>
      <c r="Q15" s="66">
        <f>29840</f>
        <v>29840</v>
      </c>
      <c r="R15" s="67" t="s">
        <v>873</v>
      </c>
      <c r="S15" s="68">
        <f>29970.45</f>
        <v>29970.45</v>
      </c>
      <c r="T15" s="65">
        <f>1715363</f>
        <v>1715363</v>
      </c>
      <c r="U15" s="65">
        <f>477250</f>
        <v>477250</v>
      </c>
      <c r="V15" s="65">
        <f>51160888292</f>
        <v>51160888292</v>
      </c>
      <c r="W15" s="65">
        <f>14317349192</f>
        <v>14317349192</v>
      </c>
      <c r="X15" s="69">
        <f>22</f>
        <v>22</v>
      </c>
    </row>
    <row r="16" spans="1:24">
      <c r="A16" s="60" t="s">
        <v>907</v>
      </c>
      <c r="B16" s="60" t="s">
        <v>78</v>
      </c>
      <c r="C16" s="60" t="s">
        <v>79</v>
      </c>
      <c r="D16" s="60" t="s">
        <v>80</v>
      </c>
      <c r="E16" s="61" t="s">
        <v>46</v>
      </c>
      <c r="F16" s="62" t="s">
        <v>46</v>
      </c>
      <c r="G16" s="63" t="s">
        <v>46</v>
      </c>
      <c r="H16" s="64"/>
      <c r="I16" s="64" t="s">
        <v>47</v>
      </c>
      <c r="J16" s="65">
        <v>1</v>
      </c>
      <c r="K16" s="66">
        <f>30100</f>
        <v>30100</v>
      </c>
      <c r="L16" s="67" t="s">
        <v>853</v>
      </c>
      <c r="M16" s="66">
        <f>30600</f>
        <v>30600</v>
      </c>
      <c r="N16" s="67" t="s">
        <v>69</v>
      </c>
      <c r="O16" s="66">
        <f>28830</f>
        <v>28830</v>
      </c>
      <c r="P16" s="67" t="s">
        <v>268</v>
      </c>
      <c r="Q16" s="66">
        <f>29890</f>
        <v>29890</v>
      </c>
      <c r="R16" s="67" t="s">
        <v>873</v>
      </c>
      <c r="S16" s="68">
        <f>30041.36</f>
        <v>30041.360000000001</v>
      </c>
      <c r="T16" s="65">
        <f>6604772</f>
        <v>6604772</v>
      </c>
      <c r="U16" s="65">
        <f>225527</f>
        <v>225527</v>
      </c>
      <c r="V16" s="65">
        <f>197366126808</f>
        <v>197366126808</v>
      </c>
      <c r="W16" s="65">
        <f>6800360378</f>
        <v>6800360378</v>
      </c>
      <c r="X16" s="69">
        <f>22</f>
        <v>22</v>
      </c>
    </row>
    <row r="17" spans="1:24">
      <c r="A17" s="60" t="s">
        <v>907</v>
      </c>
      <c r="B17" s="60" t="s">
        <v>81</v>
      </c>
      <c r="C17" s="60" t="s">
        <v>82</v>
      </c>
      <c r="D17" s="60" t="s">
        <v>83</v>
      </c>
      <c r="E17" s="61" t="s">
        <v>46</v>
      </c>
      <c r="F17" s="62" t="s">
        <v>46</v>
      </c>
      <c r="G17" s="63" t="s">
        <v>46</v>
      </c>
      <c r="H17" s="64"/>
      <c r="I17" s="64" t="s">
        <v>47</v>
      </c>
      <c r="J17" s="65">
        <v>10</v>
      </c>
      <c r="K17" s="66">
        <f>8960</f>
        <v>8960</v>
      </c>
      <c r="L17" s="67" t="s">
        <v>853</v>
      </c>
      <c r="M17" s="66">
        <f>9000</f>
        <v>9000</v>
      </c>
      <c r="N17" s="67" t="s">
        <v>853</v>
      </c>
      <c r="O17" s="66">
        <f>8060</f>
        <v>8060</v>
      </c>
      <c r="P17" s="67" t="s">
        <v>268</v>
      </c>
      <c r="Q17" s="66">
        <f>8500</f>
        <v>8500</v>
      </c>
      <c r="R17" s="67" t="s">
        <v>873</v>
      </c>
      <c r="S17" s="68">
        <f>8561.82</f>
        <v>8561.82</v>
      </c>
      <c r="T17" s="65">
        <f>23810</f>
        <v>23810</v>
      </c>
      <c r="U17" s="65">
        <f>50</f>
        <v>50</v>
      </c>
      <c r="V17" s="65">
        <f>203231000</f>
        <v>203231000</v>
      </c>
      <c r="W17" s="65">
        <f>423900</f>
        <v>423900</v>
      </c>
      <c r="X17" s="69">
        <f>22</f>
        <v>22</v>
      </c>
    </row>
    <row r="18" spans="1:24">
      <c r="A18" s="60" t="s">
        <v>907</v>
      </c>
      <c r="B18" s="60" t="s">
        <v>85</v>
      </c>
      <c r="C18" s="60" t="s">
        <v>86</v>
      </c>
      <c r="D18" s="60" t="s">
        <v>87</v>
      </c>
      <c r="E18" s="61" t="s">
        <v>46</v>
      </c>
      <c r="F18" s="62" t="s">
        <v>46</v>
      </c>
      <c r="G18" s="63" t="s">
        <v>46</v>
      </c>
      <c r="H18" s="64"/>
      <c r="I18" s="64" t="s">
        <v>47</v>
      </c>
      <c r="J18" s="65">
        <v>100</v>
      </c>
      <c r="K18" s="66">
        <f>531</f>
        <v>531</v>
      </c>
      <c r="L18" s="67" t="s">
        <v>853</v>
      </c>
      <c r="M18" s="66">
        <f>579</f>
        <v>579</v>
      </c>
      <c r="N18" s="67" t="s">
        <v>172</v>
      </c>
      <c r="O18" s="66">
        <f>478</f>
        <v>478</v>
      </c>
      <c r="P18" s="67" t="s">
        <v>268</v>
      </c>
      <c r="Q18" s="66">
        <f>515</f>
        <v>515</v>
      </c>
      <c r="R18" s="67" t="s">
        <v>873</v>
      </c>
      <c r="S18" s="68">
        <f>517.95</f>
        <v>517.95000000000005</v>
      </c>
      <c r="T18" s="65">
        <f>503300</f>
        <v>503300</v>
      </c>
      <c r="U18" s="65">
        <f>300</f>
        <v>300</v>
      </c>
      <c r="V18" s="65">
        <f>265146000</f>
        <v>265146000</v>
      </c>
      <c r="W18" s="65">
        <f>159200</f>
        <v>159200</v>
      </c>
      <c r="X18" s="69">
        <f>22</f>
        <v>22</v>
      </c>
    </row>
    <row r="19" spans="1:24">
      <c r="A19" s="60" t="s">
        <v>907</v>
      </c>
      <c r="B19" s="60" t="s">
        <v>89</v>
      </c>
      <c r="C19" s="60" t="s">
        <v>90</v>
      </c>
      <c r="D19" s="60" t="s">
        <v>91</v>
      </c>
      <c r="E19" s="61" t="s">
        <v>46</v>
      </c>
      <c r="F19" s="62" t="s">
        <v>46</v>
      </c>
      <c r="G19" s="63" t="s">
        <v>46</v>
      </c>
      <c r="H19" s="64"/>
      <c r="I19" s="64" t="s">
        <v>47</v>
      </c>
      <c r="J19" s="65">
        <v>100</v>
      </c>
      <c r="K19" s="66">
        <f>159</f>
        <v>159</v>
      </c>
      <c r="L19" s="67" t="s">
        <v>853</v>
      </c>
      <c r="M19" s="66">
        <f>170</f>
        <v>170</v>
      </c>
      <c r="N19" s="67" t="s">
        <v>96</v>
      </c>
      <c r="O19" s="66">
        <f>159</f>
        <v>159</v>
      </c>
      <c r="P19" s="67" t="s">
        <v>853</v>
      </c>
      <c r="Q19" s="66">
        <f>163</f>
        <v>163</v>
      </c>
      <c r="R19" s="67" t="s">
        <v>873</v>
      </c>
      <c r="S19" s="68">
        <f>165.5</f>
        <v>165.5</v>
      </c>
      <c r="T19" s="65">
        <f>505300</f>
        <v>505300</v>
      </c>
      <c r="U19" s="65">
        <f>900</f>
        <v>900</v>
      </c>
      <c r="V19" s="65">
        <f>83547300</f>
        <v>83547300</v>
      </c>
      <c r="W19" s="65">
        <f>151200</f>
        <v>151200</v>
      </c>
      <c r="X19" s="69">
        <f>22</f>
        <v>22</v>
      </c>
    </row>
    <row r="20" spans="1:24">
      <c r="A20" s="60" t="s">
        <v>907</v>
      </c>
      <c r="B20" s="60" t="s">
        <v>93</v>
      </c>
      <c r="C20" s="60" t="s">
        <v>94</v>
      </c>
      <c r="D20" s="60" t="s">
        <v>95</v>
      </c>
      <c r="E20" s="61" t="s">
        <v>46</v>
      </c>
      <c r="F20" s="62" t="s">
        <v>46</v>
      </c>
      <c r="G20" s="63" t="s">
        <v>46</v>
      </c>
      <c r="H20" s="64"/>
      <c r="I20" s="64" t="s">
        <v>47</v>
      </c>
      <c r="J20" s="65">
        <v>100</v>
      </c>
      <c r="K20" s="66">
        <f>197</f>
        <v>197</v>
      </c>
      <c r="L20" s="67" t="s">
        <v>853</v>
      </c>
      <c r="M20" s="66">
        <f>213</f>
        <v>213</v>
      </c>
      <c r="N20" s="67" t="s">
        <v>859</v>
      </c>
      <c r="O20" s="66">
        <f>193</f>
        <v>193</v>
      </c>
      <c r="P20" s="67" t="s">
        <v>268</v>
      </c>
      <c r="Q20" s="66">
        <f>206</f>
        <v>206</v>
      </c>
      <c r="R20" s="67" t="s">
        <v>873</v>
      </c>
      <c r="S20" s="68">
        <f>208.18</f>
        <v>208.18</v>
      </c>
      <c r="T20" s="65">
        <f>934900</f>
        <v>934900</v>
      </c>
      <c r="U20" s="65">
        <f>500</f>
        <v>500</v>
      </c>
      <c r="V20" s="65">
        <f>192938500</f>
        <v>192938500</v>
      </c>
      <c r="W20" s="65">
        <f>104300</f>
        <v>104300</v>
      </c>
      <c r="X20" s="69">
        <f>22</f>
        <v>22</v>
      </c>
    </row>
    <row r="21" spans="1:24">
      <c r="A21" s="60" t="s">
        <v>907</v>
      </c>
      <c r="B21" s="60" t="s">
        <v>97</v>
      </c>
      <c r="C21" s="60" t="s">
        <v>98</v>
      </c>
      <c r="D21" s="60" t="s">
        <v>99</v>
      </c>
      <c r="E21" s="61" t="s">
        <v>46</v>
      </c>
      <c r="F21" s="62" t="s">
        <v>46</v>
      </c>
      <c r="G21" s="63" t="s">
        <v>46</v>
      </c>
      <c r="H21" s="64"/>
      <c r="I21" s="64" t="s">
        <v>47</v>
      </c>
      <c r="J21" s="65">
        <v>1</v>
      </c>
      <c r="K21" s="66">
        <f>19560</f>
        <v>19560</v>
      </c>
      <c r="L21" s="67" t="s">
        <v>853</v>
      </c>
      <c r="M21" s="66">
        <f>19620</f>
        <v>19620</v>
      </c>
      <c r="N21" s="67" t="s">
        <v>853</v>
      </c>
      <c r="O21" s="66">
        <f>18160</f>
        <v>18160</v>
      </c>
      <c r="P21" s="67" t="s">
        <v>268</v>
      </c>
      <c r="Q21" s="66">
        <f>18180</f>
        <v>18180</v>
      </c>
      <c r="R21" s="67" t="s">
        <v>873</v>
      </c>
      <c r="S21" s="68">
        <f>18940.45</f>
        <v>18940.45</v>
      </c>
      <c r="T21" s="65">
        <f>431498</f>
        <v>431498</v>
      </c>
      <c r="U21" s="65">
        <f>40</f>
        <v>40</v>
      </c>
      <c r="V21" s="65">
        <f>8179577200</f>
        <v>8179577200</v>
      </c>
      <c r="W21" s="65">
        <f>772800</f>
        <v>772800</v>
      </c>
      <c r="X21" s="69">
        <f>22</f>
        <v>22</v>
      </c>
    </row>
    <row r="22" spans="1:24">
      <c r="A22" s="60" t="s">
        <v>907</v>
      </c>
      <c r="B22" s="60" t="s">
        <v>101</v>
      </c>
      <c r="C22" s="60" t="s">
        <v>102</v>
      </c>
      <c r="D22" s="60" t="s">
        <v>103</v>
      </c>
      <c r="E22" s="61" t="s">
        <v>46</v>
      </c>
      <c r="F22" s="62" t="s">
        <v>46</v>
      </c>
      <c r="G22" s="63" t="s">
        <v>46</v>
      </c>
      <c r="H22" s="64"/>
      <c r="I22" s="64" t="s">
        <v>47</v>
      </c>
      <c r="J22" s="65">
        <v>1</v>
      </c>
      <c r="K22" s="66">
        <f>3850</f>
        <v>3850</v>
      </c>
      <c r="L22" s="67" t="s">
        <v>853</v>
      </c>
      <c r="M22" s="66">
        <f>3950</f>
        <v>3950</v>
      </c>
      <c r="N22" s="67" t="s">
        <v>875</v>
      </c>
      <c r="O22" s="66">
        <f>3670</f>
        <v>3670</v>
      </c>
      <c r="P22" s="67" t="s">
        <v>268</v>
      </c>
      <c r="Q22" s="66">
        <f>3935</f>
        <v>3935</v>
      </c>
      <c r="R22" s="67" t="s">
        <v>873</v>
      </c>
      <c r="S22" s="68">
        <f>3882.05</f>
        <v>3882.05</v>
      </c>
      <c r="T22" s="65">
        <f>7650</f>
        <v>7650</v>
      </c>
      <c r="U22" s="65">
        <f>2</f>
        <v>2</v>
      </c>
      <c r="V22" s="65">
        <f>29401365</f>
        <v>29401365</v>
      </c>
      <c r="W22" s="65">
        <f>7830</f>
        <v>7830</v>
      </c>
      <c r="X22" s="69">
        <f>22</f>
        <v>22</v>
      </c>
    </row>
    <row r="23" spans="1:24">
      <c r="A23" s="60" t="s">
        <v>907</v>
      </c>
      <c r="B23" s="60" t="s">
        <v>104</v>
      </c>
      <c r="C23" s="60" t="s">
        <v>105</v>
      </c>
      <c r="D23" s="60" t="s">
        <v>106</v>
      </c>
      <c r="E23" s="61" t="s">
        <v>46</v>
      </c>
      <c r="F23" s="62" t="s">
        <v>46</v>
      </c>
      <c r="G23" s="63" t="s">
        <v>46</v>
      </c>
      <c r="H23" s="64"/>
      <c r="I23" s="64" t="s">
        <v>47</v>
      </c>
      <c r="J23" s="65">
        <v>10</v>
      </c>
      <c r="K23" s="66">
        <f>5310</f>
        <v>5310</v>
      </c>
      <c r="L23" s="67" t="s">
        <v>853</v>
      </c>
      <c r="M23" s="66">
        <f>5330</f>
        <v>5330</v>
      </c>
      <c r="N23" s="67" t="s">
        <v>853</v>
      </c>
      <c r="O23" s="66">
        <f>4925</f>
        <v>4925</v>
      </c>
      <c r="P23" s="67" t="s">
        <v>873</v>
      </c>
      <c r="Q23" s="66">
        <f>4925</f>
        <v>4925</v>
      </c>
      <c r="R23" s="67" t="s">
        <v>873</v>
      </c>
      <c r="S23" s="68">
        <f>5137.95</f>
        <v>5137.95</v>
      </c>
      <c r="T23" s="65">
        <f>740060</f>
        <v>740060</v>
      </c>
      <c r="U23" s="65">
        <f>50</f>
        <v>50</v>
      </c>
      <c r="V23" s="65">
        <f>3777671700</f>
        <v>3777671700</v>
      </c>
      <c r="W23" s="65">
        <f>253000</f>
        <v>253000</v>
      </c>
      <c r="X23" s="69">
        <f>22</f>
        <v>22</v>
      </c>
    </row>
    <row r="24" spans="1:24">
      <c r="A24" s="60" t="s">
        <v>907</v>
      </c>
      <c r="B24" s="60" t="s">
        <v>107</v>
      </c>
      <c r="C24" s="60" t="s">
        <v>108</v>
      </c>
      <c r="D24" s="60" t="s">
        <v>109</v>
      </c>
      <c r="E24" s="61" t="s">
        <v>46</v>
      </c>
      <c r="F24" s="62" t="s">
        <v>46</v>
      </c>
      <c r="G24" s="63" t="s">
        <v>46</v>
      </c>
      <c r="H24" s="64"/>
      <c r="I24" s="64" t="s">
        <v>47</v>
      </c>
      <c r="J24" s="65">
        <v>1</v>
      </c>
      <c r="K24" s="66">
        <f>30150</f>
        <v>30150</v>
      </c>
      <c r="L24" s="67" t="s">
        <v>853</v>
      </c>
      <c r="M24" s="66">
        <f>30600</f>
        <v>30600</v>
      </c>
      <c r="N24" s="67" t="s">
        <v>69</v>
      </c>
      <c r="O24" s="66">
        <f>28810</f>
        <v>28810</v>
      </c>
      <c r="P24" s="67" t="s">
        <v>268</v>
      </c>
      <c r="Q24" s="66">
        <f>29880</f>
        <v>29880</v>
      </c>
      <c r="R24" s="67" t="s">
        <v>873</v>
      </c>
      <c r="S24" s="68">
        <f>30005.91</f>
        <v>30005.91</v>
      </c>
      <c r="T24" s="65">
        <f>853741</f>
        <v>853741</v>
      </c>
      <c r="U24" s="65">
        <f>376054</f>
        <v>376054</v>
      </c>
      <c r="V24" s="65">
        <f>25345644726</f>
        <v>25345644726</v>
      </c>
      <c r="W24" s="65">
        <f>11101582116</f>
        <v>11101582116</v>
      </c>
      <c r="X24" s="69">
        <f>22</f>
        <v>22</v>
      </c>
    </row>
    <row r="25" spans="1:24">
      <c r="A25" s="60" t="s">
        <v>907</v>
      </c>
      <c r="B25" s="60" t="s">
        <v>110</v>
      </c>
      <c r="C25" s="60" t="s">
        <v>111</v>
      </c>
      <c r="D25" s="60" t="s">
        <v>112</v>
      </c>
      <c r="E25" s="61" t="s">
        <v>46</v>
      </c>
      <c r="F25" s="62" t="s">
        <v>46</v>
      </c>
      <c r="G25" s="63" t="s">
        <v>46</v>
      </c>
      <c r="H25" s="64"/>
      <c r="I25" s="64" t="s">
        <v>47</v>
      </c>
      <c r="J25" s="65">
        <v>10</v>
      </c>
      <c r="K25" s="66">
        <f>30150</f>
        <v>30150</v>
      </c>
      <c r="L25" s="67" t="s">
        <v>853</v>
      </c>
      <c r="M25" s="66">
        <f>30650</f>
        <v>30650</v>
      </c>
      <c r="N25" s="67" t="s">
        <v>69</v>
      </c>
      <c r="O25" s="66">
        <f>28880</f>
        <v>28880</v>
      </c>
      <c r="P25" s="67" t="s">
        <v>268</v>
      </c>
      <c r="Q25" s="66">
        <f>29950</f>
        <v>29950</v>
      </c>
      <c r="R25" s="67" t="s">
        <v>873</v>
      </c>
      <c r="S25" s="68">
        <f>30092.27</f>
        <v>30092.27</v>
      </c>
      <c r="T25" s="65">
        <f>1479060</f>
        <v>1479060</v>
      </c>
      <c r="U25" s="65">
        <f>416140</f>
        <v>416140</v>
      </c>
      <c r="V25" s="65">
        <f>44431090180</f>
        <v>44431090180</v>
      </c>
      <c r="W25" s="65">
        <f>12605019980</f>
        <v>12605019980</v>
      </c>
      <c r="X25" s="69">
        <f>22</f>
        <v>22</v>
      </c>
    </row>
    <row r="26" spans="1:24">
      <c r="A26" s="60" t="s">
        <v>907</v>
      </c>
      <c r="B26" s="60" t="s">
        <v>113</v>
      </c>
      <c r="C26" s="60" t="s">
        <v>114</v>
      </c>
      <c r="D26" s="60" t="s">
        <v>115</v>
      </c>
      <c r="E26" s="61" t="s">
        <v>46</v>
      </c>
      <c r="F26" s="62" t="s">
        <v>46</v>
      </c>
      <c r="G26" s="63" t="s">
        <v>46</v>
      </c>
      <c r="H26" s="64"/>
      <c r="I26" s="64" t="s">
        <v>47</v>
      </c>
      <c r="J26" s="65">
        <v>10</v>
      </c>
      <c r="K26" s="66">
        <f>2220</f>
        <v>2220</v>
      </c>
      <c r="L26" s="67" t="s">
        <v>853</v>
      </c>
      <c r="M26" s="66">
        <f>2327</f>
        <v>2327</v>
      </c>
      <c r="N26" s="67" t="s">
        <v>873</v>
      </c>
      <c r="O26" s="66">
        <f>2203</f>
        <v>2203</v>
      </c>
      <c r="P26" s="67" t="s">
        <v>853</v>
      </c>
      <c r="Q26" s="66">
        <f>2307</f>
        <v>2307</v>
      </c>
      <c r="R26" s="67" t="s">
        <v>873</v>
      </c>
      <c r="S26" s="68">
        <f>2284.95</f>
        <v>2284.9499999999998</v>
      </c>
      <c r="T26" s="65">
        <f>8027570</f>
        <v>8027570</v>
      </c>
      <c r="U26" s="65">
        <f>1405490</f>
        <v>1405490</v>
      </c>
      <c r="V26" s="65">
        <f>18282983372</f>
        <v>18282983372</v>
      </c>
      <c r="W26" s="65">
        <f>3234705242</f>
        <v>3234705242</v>
      </c>
      <c r="X26" s="69">
        <f>22</f>
        <v>22</v>
      </c>
    </row>
    <row r="27" spans="1:24">
      <c r="A27" s="60" t="s">
        <v>907</v>
      </c>
      <c r="B27" s="60" t="s">
        <v>116</v>
      </c>
      <c r="C27" s="60" t="s">
        <v>117</v>
      </c>
      <c r="D27" s="60" t="s">
        <v>118</v>
      </c>
      <c r="E27" s="61" t="s">
        <v>46</v>
      </c>
      <c r="F27" s="62" t="s">
        <v>46</v>
      </c>
      <c r="G27" s="63" t="s">
        <v>46</v>
      </c>
      <c r="H27" s="64" t="s">
        <v>540</v>
      </c>
      <c r="I27" s="64" t="s">
        <v>47</v>
      </c>
      <c r="J27" s="65">
        <v>10</v>
      </c>
      <c r="K27" s="66">
        <f>882</f>
        <v>882</v>
      </c>
      <c r="L27" s="67" t="s">
        <v>853</v>
      </c>
      <c r="M27" s="66">
        <f>903</f>
        <v>903</v>
      </c>
      <c r="N27" s="67" t="s">
        <v>858</v>
      </c>
      <c r="O27" s="66">
        <f>863</f>
        <v>863</v>
      </c>
      <c r="P27" s="67" t="s">
        <v>268</v>
      </c>
      <c r="Q27" s="66">
        <f>891</f>
        <v>891</v>
      </c>
      <c r="R27" s="67" t="s">
        <v>873</v>
      </c>
      <c r="S27" s="68">
        <f>892.18</f>
        <v>892.18</v>
      </c>
      <c r="T27" s="65">
        <f>15410</f>
        <v>15410</v>
      </c>
      <c r="U27" s="65">
        <f>40</f>
        <v>40</v>
      </c>
      <c r="V27" s="65">
        <f>13718980</f>
        <v>13718980</v>
      </c>
      <c r="W27" s="65">
        <f>35940</f>
        <v>35940</v>
      </c>
      <c r="X27" s="69">
        <f>22</f>
        <v>22</v>
      </c>
    </row>
    <row r="28" spans="1:24">
      <c r="A28" s="60" t="s">
        <v>907</v>
      </c>
      <c r="B28" s="60" t="s">
        <v>119</v>
      </c>
      <c r="C28" s="60" t="s">
        <v>120</v>
      </c>
      <c r="D28" s="60" t="s">
        <v>121</v>
      </c>
      <c r="E28" s="61" t="s">
        <v>46</v>
      </c>
      <c r="F28" s="62" t="s">
        <v>46</v>
      </c>
      <c r="G28" s="63" t="s">
        <v>46</v>
      </c>
      <c r="H28" s="64"/>
      <c r="I28" s="64" t="s">
        <v>47</v>
      </c>
      <c r="J28" s="65">
        <v>100</v>
      </c>
      <c r="K28" s="66">
        <f>2093</f>
        <v>2093</v>
      </c>
      <c r="L28" s="67" t="s">
        <v>853</v>
      </c>
      <c r="M28" s="66">
        <f>2196</f>
        <v>2196</v>
      </c>
      <c r="N28" s="67" t="s">
        <v>873</v>
      </c>
      <c r="O28" s="66">
        <f>2083</f>
        <v>2083</v>
      </c>
      <c r="P28" s="67" t="s">
        <v>853</v>
      </c>
      <c r="Q28" s="66">
        <f>2180</f>
        <v>2180</v>
      </c>
      <c r="R28" s="67" t="s">
        <v>873</v>
      </c>
      <c r="S28" s="68">
        <f>2157.68</f>
        <v>2157.6799999999998</v>
      </c>
      <c r="T28" s="65">
        <f>1673700</f>
        <v>1673700</v>
      </c>
      <c r="U28" s="65">
        <f>187200</f>
        <v>187200</v>
      </c>
      <c r="V28" s="65">
        <f>3593907989</f>
        <v>3593907989</v>
      </c>
      <c r="W28" s="65">
        <f>404553289</f>
        <v>404553289</v>
      </c>
      <c r="X28" s="69">
        <f>22</f>
        <v>22</v>
      </c>
    </row>
    <row r="29" spans="1:24">
      <c r="A29" s="60" t="s">
        <v>907</v>
      </c>
      <c r="B29" s="60" t="s">
        <v>122</v>
      </c>
      <c r="C29" s="60" t="s">
        <v>123</v>
      </c>
      <c r="D29" s="60" t="s">
        <v>124</v>
      </c>
      <c r="E29" s="61" t="s">
        <v>46</v>
      </c>
      <c r="F29" s="62" t="s">
        <v>46</v>
      </c>
      <c r="G29" s="63" t="s">
        <v>46</v>
      </c>
      <c r="H29" s="64"/>
      <c r="I29" s="64" t="s">
        <v>47</v>
      </c>
      <c r="J29" s="65">
        <v>1</v>
      </c>
      <c r="K29" s="66">
        <f>30100</f>
        <v>30100</v>
      </c>
      <c r="L29" s="67" t="s">
        <v>853</v>
      </c>
      <c r="M29" s="66">
        <f>30600</f>
        <v>30600</v>
      </c>
      <c r="N29" s="67" t="s">
        <v>69</v>
      </c>
      <c r="O29" s="66">
        <f>28810</f>
        <v>28810</v>
      </c>
      <c r="P29" s="67" t="s">
        <v>268</v>
      </c>
      <c r="Q29" s="66">
        <f>29880</f>
        <v>29880</v>
      </c>
      <c r="R29" s="67" t="s">
        <v>873</v>
      </c>
      <c r="S29" s="68">
        <f>30007.27</f>
        <v>30007.27</v>
      </c>
      <c r="T29" s="65">
        <f>957925</f>
        <v>957925</v>
      </c>
      <c r="U29" s="65">
        <f>356951</f>
        <v>356951</v>
      </c>
      <c r="V29" s="65">
        <f>28648973805</f>
        <v>28648973805</v>
      </c>
      <c r="W29" s="65">
        <f>10756494695</f>
        <v>10756494695</v>
      </c>
      <c r="X29" s="69">
        <f>22</f>
        <v>22</v>
      </c>
    </row>
    <row r="30" spans="1:24">
      <c r="A30" s="60" t="s">
        <v>907</v>
      </c>
      <c r="B30" s="60" t="s">
        <v>125</v>
      </c>
      <c r="C30" s="60" t="s">
        <v>126</v>
      </c>
      <c r="D30" s="60" t="s">
        <v>127</v>
      </c>
      <c r="E30" s="61" t="s">
        <v>46</v>
      </c>
      <c r="F30" s="62" t="s">
        <v>46</v>
      </c>
      <c r="G30" s="63" t="s">
        <v>46</v>
      </c>
      <c r="H30" s="64"/>
      <c r="I30" s="64" t="s">
        <v>47</v>
      </c>
      <c r="J30" s="65">
        <v>10</v>
      </c>
      <c r="K30" s="66">
        <f>2012</f>
        <v>2012</v>
      </c>
      <c r="L30" s="67" t="s">
        <v>853</v>
      </c>
      <c r="M30" s="66">
        <f>2067</f>
        <v>2067</v>
      </c>
      <c r="N30" s="67" t="s">
        <v>854</v>
      </c>
      <c r="O30" s="66">
        <f>1970</f>
        <v>1970</v>
      </c>
      <c r="P30" s="67" t="s">
        <v>268</v>
      </c>
      <c r="Q30" s="66">
        <f>2028</f>
        <v>2028</v>
      </c>
      <c r="R30" s="67" t="s">
        <v>873</v>
      </c>
      <c r="S30" s="68">
        <f>2035.05</f>
        <v>2035.05</v>
      </c>
      <c r="T30" s="65">
        <f>3199770</f>
        <v>3199770</v>
      </c>
      <c r="U30" s="65">
        <f>272300</f>
        <v>272300</v>
      </c>
      <c r="V30" s="65">
        <f>6522494832</f>
        <v>6522494832</v>
      </c>
      <c r="W30" s="65">
        <f>555686082</f>
        <v>555686082</v>
      </c>
      <c r="X30" s="69">
        <f>22</f>
        <v>22</v>
      </c>
    </row>
    <row r="31" spans="1:24">
      <c r="A31" s="60" t="s">
        <v>907</v>
      </c>
      <c r="B31" s="60" t="s">
        <v>128</v>
      </c>
      <c r="C31" s="60" t="s">
        <v>129</v>
      </c>
      <c r="D31" s="60" t="s">
        <v>130</v>
      </c>
      <c r="E31" s="61" t="s">
        <v>46</v>
      </c>
      <c r="F31" s="62" t="s">
        <v>46</v>
      </c>
      <c r="G31" s="63" t="s">
        <v>46</v>
      </c>
      <c r="H31" s="64"/>
      <c r="I31" s="64" t="s">
        <v>47</v>
      </c>
      <c r="J31" s="65">
        <v>1</v>
      </c>
      <c r="K31" s="66">
        <f>13450</f>
        <v>13450</v>
      </c>
      <c r="L31" s="67" t="s">
        <v>853</v>
      </c>
      <c r="M31" s="66">
        <f>13630</f>
        <v>13630</v>
      </c>
      <c r="N31" s="67" t="s">
        <v>69</v>
      </c>
      <c r="O31" s="66">
        <f>13400</f>
        <v>13400</v>
      </c>
      <c r="P31" s="67" t="s">
        <v>268</v>
      </c>
      <c r="Q31" s="66">
        <f>13530</f>
        <v>13530</v>
      </c>
      <c r="R31" s="67" t="s">
        <v>873</v>
      </c>
      <c r="S31" s="68">
        <f>13531.82</f>
        <v>13531.82</v>
      </c>
      <c r="T31" s="65">
        <f>8941</f>
        <v>8941</v>
      </c>
      <c r="U31" s="65">
        <f>7503</f>
        <v>7503</v>
      </c>
      <c r="V31" s="65">
        <f>120229960</f>
        <v>120229960</v>
      </c>
      <c r="W31" s="65">
        <f>100786780</f>
        <v>100786780</v>
      </c>
      <c r="X31" s="69">
        <f>22</f>
        <v>22</v>
      </c>
    </row>
    <row r="32" spans="1:24">
      <c r="A32" s="60" t="s">
        <v>907</v>
      </c>
      <c r="B32" s="60" t="s">
        <v>133</v>
      </c>
      <c r="C32" s="60" t="s">
        <v>134</v>
      </c>
      <c r="D32" s="60" t="s">
        <v>135</v>
      </c>
      <c r="E32" s="61" t="s">
        <v>46</v>
      </c>
      <c r="F32" s="62" t="s">
        <v>46</v>
      </c>
      <c r="G32" s="63" t="s">
        <v>46</v>
      </c>
      <c r="H32" s="64"/>
      <c r="I32" s="64" t="s">
        <v>47</v>
      </c>
      <c r="J32" s="65">
        <v>10</v>
      </c>
      <c r="K32" s="66">
        <f>1173</f>
        <v>1173</v>
      </c>
      <c r="L32" s="67" t="s">
        <v>853</v>
      </c>
      <c r="M32" s="66">
        <f>1224</f>
        <v>1224</v>
      </c>
      <c r="N32" s="67" t="s">
        <v>268</v>
      </c>
      <c r="O32" s="66">
        <f>1113</f>
        <v>1113</v>
      </c>
      <c r="P32" s="67" t="s">
        <v>854</v>
      </c>
      <c r="Q32" s="66">
        <f>1150</f>
        <v>1150</v>
      </c>
      <c r="R32" s="67" t="s">
        <v>873</v>
      </c>
      <c r="S32" s="68">
        <f>1146.05</f>
        <v>1146.05</v>
      </c>
      <c r="T32" s="65">
        <f>7941930</f>
        <v>7941930</v>
      </c>
      <c r="U32" s="65">
        <f>5430</f>
        <v>5430</v>
      </c>
      <c r="V32" s="65">
        <f>9184442950</f>
        <v>9184442950</v>
      </c>
      <c r="W32" s="65">
        <f>6324140</f>
        <v>6324140</v>
      </c>
      <c r="X32" s="69">
        <f>22</f>
        <v>22</v>
      </c>
    </row>
    <row r="33" spans="1:24">
      <c r="A33" s="60" t="s">
        <v>907</v>
      </c>
      <c r="B33" s="60" t="s">
        <v>136</v>
      </c>
      <c r="C33" s="60" t="s">
        <v>137</v>
      </c>
      <c r="D33" s="60" t="s">
        <v>138</v>
      </c>
      <c r="E33" s="61" t="s">
        <v>46</v>
      </c>
      <c r="F33" s="62" t="s">
        <v>46</v>
      </c>
      <c r="G33" s="63" t="s">
        <v>46</v>
      </c>
      <c r="H33" s="64"/>
      <c r="I33" s="64" t="s">
        <v>47</v>
      </c>
      <c r="J33" s="65">
        <v>1</v>
      </c>
      <c r="K33" s="66">
        <f>412</f>
        <v>412</v>
      </c>
      <c r="L33" s="67" t="s">
        <v>853</v>
      </c>
      <c r="M33" s="66">
        <f>447</f>
        <v>447</v>
      </c>
      <c r="N33" s="67" t="s">
        <v>268</v>
      </c>
      <c r="O33" s="66">
        <f>399</f>
        <v>399</v>
      </c>
      <c r="P33" s="67" t="s">
        <v>69</v>
      </c>
      <c r="Q33" s="66">
        <f>414</f>
        <v>414</v>
      </c>
      <c r="R33" s="67" t="s">
        <v>873</v>
      </c>
      <c r="S33" s="68">
        <f>413.14</f>
        <v>413.14</v>
      </c>
      <c r="T33" s="65">
        <f>916064324</f>
        <v>916064324</v>
      </c>
      <c r="U33" s="65">
        <f>2565825</f>
        <v>2565825</v>
      </c>
      <c r="V33" s="65">
        <f>380222483294</f>
        <v>380222483294</v>
      </c>
      <c r="W33" s="65">
        <f>1143829552</f>
        <v>1143829552</v>
      </c>
      <c r="X33" s="69">
        <f>22</f>
        <v>22</v>
      </c>
    </row>
    <row r="34" spans="1:24">
      <c r="A34" s="60" t="s">
        <v>907</v>
      </c>
      <c r="B34" s="60" t="s">
        <v>139</v>
      </c>
      <c r="C34" s="60" t="s">
        <v>140</v>
      </c>
      <c r="D34" s="60" t="s">
        <v>141</v>
      </c>
      <c r="E34" s="61" t="s">
        <v>46</v>
      </c>
      <c r="F34" s="62" t="s">
        <v>46</v>
      </c>
      <c r="G34" s="63" t="s">
        <v>46</v>
      </c>
      <c r="H34" s="64"/>
      <c r="I34" s="64" t="s">
        <v>47</v>
      </c>
      <c r="J34" s="65">
        <v>1</v>
      </c>
      <c r="K34" s="66">
        <f>29830</f>
        <v>29830</v>
      </c>
      <c r="L34" s="67" t="s">
        <v>853</v>
      </c>
      <c r="M34" s="66">
        <f>30750</f>
        <v>30750</v>
      </c>
      <c r="N34" s="67" t="s">
        <v>69</v>
      </c>
      <c r="O34" s="66">
        <f>27240</f>
        <v>27240</v>
      </c>
      <c r="P34" s="67" t="s">
        <v>268</v>
      </c>
      <c r="Q34" s="66">
        <f>29270</f>
        <v>29270</v>
      </c>
      <c r="R34" s="67" t="s">
        <v>873</v>
      </c>
      <c r="S34" s="68">
        <f>29599.09</f>
        <v>29599.09</v>
      </c>
      <c r="T34" s="65">
        <f>388532</f>
        <v>388532</v>
      </c>
      <c r="U34" s="65">
        <f>1</f>
        <v>1</v>
      </c>
      <c r="V34" s="65">
        <f>11372333260</f>
        <v>11372333260</v>
      </c>
      <c r="W34" s="65">
        <f>29360</f>
        <v>29360</v>
      </c>
      <c r="X34" s="69">
        <f>22</f>
        <v>22</v>
      </c>
    </row>
    <row r="35" spans="1:24">
      <c r="A35" s="60" t="s">
        <v>907</v>
      </c>
      <c r="B35" s="60" t="s">
        <v>142</v>
      </c>
      <c r="C35" s="60" t="s">
        <v>143</v>
      </c>
      <c r="D35" s="60" t="s">
        <v>144</v>
      </c>
      <c r="E35" s="61" t="s">
        <v>46</v>
      </c>
      <c r="F35" s="62" t="s">
        <v>46</v>
      </c>
      <c r="G35" s="63" t="s">
        <v>46</v>
      </c>
      <c r="H35" s="64"/>
      <c r="I35" s="64" t="s">
        <v>47</v>
      </c>
      <c r="J35" s="65">
        <v>10</v>
      </c>
      <c r="K35" s="66">
        <f>1007</f>
        <v>1007</v>
      </c>
      <c r="L35" s="67" t="s">
        <v>853</v>
      </c>
      <c r="M35" s="66">
        <f>1092</f>
        <v>1092</v>
      </c>
      <c r="N35" s="67" t="s">
        <v>268</v>
      </c>
      <c r="O35" s="66">
        <f>974</f>
        <v>974</v>
      </c>
      <c r="P35" s="67" t="s">
        <v>69</v>
      </c>
      <c r="Q35" s="66">
        <f>1015</f>
        <v>1015</v>
      </c>
      <c r="R35" s="67" t="s">
        <v>873</v>
      </c>
      <c r="S35" s="68">
        <f>1009.91</f>
        <v>1009.91</v>
      </c>
      <c r="T35" s="65">
        <f>277968460</f>
        <v>277968460</v>
      </c>
      <c r="U35" s="65">
        <f>313630</f>
        <v>313630</v>
      </c>
      <c r="V35" s="65">
        <f>281341091386</f>
        <v>281341091386</v>
      </c>
      <c r="W35" s="65">
        <f>322933886</f>
        <v>322933886</v>
      </c>
      <c r="X35" s="69">
        <f>22</f>
        <v>22</v>
      </c>
    </row>
    <row r="36" spans="1:24">
      <c r="A36" s="60" t="s">
        <v>907</v>
      </c>
      <c r="B36" s="60" t="s">
        <v>145</v>
      </c>
      <c r="C36" s="60" t="s">
        <v>146</v>
      </c>
      <c r="D36" s="60" t="s">
        <v>147</v>
      </c>
      <c r="E36" s="61" t="s">
        <v>46</v>
      </c>
      <c r="F36" s="62" t="s">
        <v>46</v>
      </c>
      <c r="G36" s="63" t="s">
        <v>46</v>
      </c>
      <c r="H36" s="64"/>
      <c r="I36" s="64" t="s">
        <v>47</v>
      </c>
      <c r="J36" s="65">
        <v>1</v>
      </c>
      <c r="K36" s="66">
        <f>17950</f>
        <v>17950</v>
      </c>
      <c r="L36" s="67" t="s">
        <v>853</v>
      </c>
      <c r="M36" s="66">
        <f>18340</f>
        <v>18340</v>
      </c>
      <c r="N36" s="67" t="s">
        <v>854</v>
      </c>
      <c r="O36" s="66">
        <f>17480</f>
        <v>17480</v>
      </c>
      <c r="P36" s="67" t="s">
        <v>268</v>
      </c>
      <c r="Q36" s="66">
        <f>17960</f>
        <v>17960</v>
      </c>
      <c r="R36" s="67" t="s">
        <v>873</v>
      </c>
      <c r="S36" s="68">
        <f>18080.45</f>
        <v>18080.45</v>
      </c>
      <c r="T36" s="65">
        <f>6856</f>
        <v>6856</v>
      </c>
      <c r="U36" s="65" t="str">
        <f>"－"</f>
        <v>－</v>
      </c>
      <c r="V36" s="65">
        <f>123067640</f>
        <v>123067640</v>
      </c>
      <c r="W36" s="65" t="str">
        <f>"－"</f>
        <v>－</v>
      </c>
      <c r="X36" s="69">
        <f>22</f>
        <v>22</v>
      </c>
    </row>
    <row r="37" spans="1:24">
      <c r="A37" s="60" t="s">
        <v>907</v>
      </c>
      <c r="B37" s="60" t="s">
        <v>148</v>
      </c>
      <c r="C37" s="60" t="s">
        <v>149</v>
      </c>
      <c r="D37" s="60" t="s">
        <v>150</v>
      </c>
      <c r="E37" s="61" t="s">
        <v>46</v>
      </c>
      <c r="F37" s="62" t="s">
        <v>46</v>
      </c>
      <c r="G37" s="63" t="s">
        <v>46</v>
      </c>
      <c r="H37" s="64"/>
      <c r="I37" s="64" t="s">
        <v>47</v>
      </c>
      <c r="J37" s="65">
        <v>1</v>
      </c>
      <c r="K37" s="66">
        <f>24670</f>
        <v>24670</v>
      </c>
      <c r="L37" s="67" t="s">
        <v>853</v>
      </c>
      <c r="M37" s="66">
        <f>25420</f>
        <v>25420</v>
      </c>
      <c r="N37" s="67" t="s">
        <v>69</v>
      </c>
      <c r="O37" s="66">
        <f>22510</f>
        <v>22510</v>
      </c>
      <c r="P37" s="67" t="s">
        <v>268</v>
      </c>
      <c r="Q37" s="66">
        <f>24210</f>
        <v>24210</v>
      </c>
      <c r="R37" s="67" t="s">
        <v>873</v>
      </c>
      <c r="S37" s="68">
        <f>24495</f>
        <v>24495</v>
      </c>
      <c r="T37" s="65">
        <f>882102</f>
        <v>882102</v>
      </c>
      <c r="U37" s="65">
        <f>11</f>
        <v>11</v>
      </c>
      <c r="V37" s="65">
        <f>21444145090</f>
        <v>21444145090</v>
      </c>
      <c r="W37" s="65">
        <f>267780</f>
        <v>267780</v>
      </c>
      <c r="X37" s="69">
        <f>22</f>
        <v>22</v>
      </c>
    </row>
    <row r="38" spans="1:24">
      <c r="A38" s="60" t="s">
        <v>907</v>
      </c>
      <c r="B38" s="60" t="s">
        <v>151</v>
      </c>
      <c r="C38" s="60" t="s">
        <v>152</v>
      </c>
      <c r="D38" s="60" t="s">
        <v>153</v>
      </c>
      <c r="E38" s="61" t="s">
        <v>46</v>
      </c>
      <c r="F38" s="62" t="s">
        <v>46</v>
      </c>
      <c r="G38" s="63" t="s">
        <v>46</v>
      </c>
      <c r="H38" s="64"/>
      <c r="I38" s="64" t="s">
        <v>47</v>
      </c>
      <c r="J38" s="65">
        <v>1</v>
      </c>
      <c r="K38" s="66">
        <f>1076</f>
        <v>1076</v>
      </c>
      <c r="L38" s="67" t="s">
        <v>853</v>
      </c>
      <c r="M38" s="66">
        <f>1169</f>
        <v>1169</v>
      </c>
      <c r="N38" s="67" t="s">
        <v>268</v>
      </c>
      <c r="O38" s="66">
        <f>1043</f>
        <v>1043</v>
      </c>
      <c r="P38" s="67" t="s">
        <v>69</v>
      </c>
      <c r="Q38" s="66">
        <f>1084</f>
        <v>1084</v>
      </c>
      <c r="R38" s="67" t="s">
        <v>873</v>
      </c>
      <c r="S38" s="68">
        <f>1080.18</f>
        <v>1080.18</v>
      </c>
      <c r="T38" s="65">
        <f>7301955</f>
        <v>7301955</v>
      </c>
      <c r="U38" s="65">
        <f>100</f>
        <v>100</v>
      </c>
      <c r="V38" s="65">
        <f>7924512489</f>
        <v>7924512489</v>
      </c>
      <c r="W38" s="65">
        <f>104900</f>
        <v>104900</v>
      </c>
      <c r="X38" s="69">
        <f>22</f>
        <v>22</v>
      </c>
    </row>
    <row r="39" spans="1:24">
      <c r="A39" s="60" t="s">
        <v>907</v>
      </c>
      <c r="B39" s="60" t="s">
        <v>154</v>
      </c>
      <c r="C39" s="60" t="s">
        <v>155</v>
      </c>
      <c r="D39" s="60" t="s">
        <v>156</v>
      </c>
      <c r="E39" s="61" t="s">
        <v>46</v>
      </c>
      <c r="F39" s="62" t="s">
        <v>46</v>
      </c>
      <c r="G39" s="63" t="s">
        <v>46</v>
      </c>
      <c r="H39" s="64"/>
      <c r="I39" s="64" t="s">
        <v>47</v>
      </c>
      <c r="J39" s="65">
        <v>1</v>
      </c>
      <c r="K39" s="66">
        <f>18290</f>
        <v>18290</v>
      </c>
      <c r="L39" s="67" t="s">
        <v>853</v>
      </c>
      <c r="M39" s="66">
        <f>19280</f>
        <v>19280</v>
      </c>
      <c r="N39" s="67" t="s">
        <v>854</v>
      </c>
      <c r="O39" s="66">
        <f>17470</f>
        <v>17470</v>
      </c>
      <c r="P39" s="67" t="s">
        <v>268</v>
      </c>
      <c r="Q39" s="66">
        <f>18500</f>
        <v>18500</v>
      </c>
      <c r="R39" s="67" t="s">
        <v>873</v>
      </c>
      <c r="S39" s="68">
        <f>18692.73</f>
        <v>18692.73</v>
      </c>
      <c r="T39" s="65">
        <f>295002</f>
        <v>295002</v>
      </c>
      <c r="U39" s="65">
        <f>21</f>
        <v>21</v>
      </c>
      <c r="V39" s="65">
        <f>5483286310</f>
        <v>5483286310</v>
      </c>
      <c r="W39" s="65">
        <f>391300</f>
        <v>391300</v>
      </c>
      <c r="X39" s="69">
        <f>22</f>
        <v>22</v>
      </c>
    </row>
    <row r="40" spans="1:24">
      <c r="A40" s="60" t="s">
        <v>907</v>
      </c>
      <c r="B40" s="60" t="s">
        <v>157</v>
      </c>
      <c r="C40" s="60" t="s">
        <v>158</v>
      </c>
      <c r="D40" s="60" t="s">
        <v>159</v>
      </c>
      <c r="E40" s="61" t="s">
        <v>46</v>
      </c>
      <c r="F40" s="62" t="s">
        <v>46</v>
      </c>
      <c r="G40" s="63" t="s">
        <v>46</v>
      </c>
      <c r="H40" s="64"/>
      <c r="I40" s="64" t="s">
        <v>47</v>
      </c>
      <c r="J40" s="65">
        <v>1</v>
      </c>
      <c r="K40" s="66">
        <f>1703</f>
        <v>1703</v>
      </c>
      <c r="L40" s="67" t="s">
        <v>853</v>
      </c>
      <c r="M40" s="66">
        <f>1775</f>
        <v>1775</v>
      </c>
      <c r="N40" s="67" t="s">
        <v>268</v>
      </c>
      <c r="O40" s="66">
        <f>1615</f>
        <v>1615</v>
      </c>
      <c r="P40" s="67" t="s">
        <v>854</v>
      </c>
      <c r="Q40" s="66">
        <f>1668</f>
        <v>1668</v>
      </c>
      <c r="R40" s="67" t="s">
        <v>873</v>
      </c>
      <c r="S40" s="68">
        <f>1662.14</f>
        <v>1662.14</v>
      </c>
      <c r="T40" s="65">
        <f>2516508</f>
        <v>2516508</v>
      </c>
      <c r="U40" s="65">
        <f>270</f>
        <v>270</v>
      </c>
      <c r="V40" s="65">
        <f>4210545051</f>
        <v>4210545051</v>
      </c>
      <c r="W40" s="65">
        <f>449760</f>
        <v>449760</v>
      </c>
      <c r="X40" s="69">
        <f>22</f>
        <v>22</v>
      </c>
    </row>
    <row r="41" spans="1:24">
      <c r="A41" s="60" t="s">
        <v>907</v>
      </c>
      <c r="B41" s="60" t="s">
        <v>160</v>
      </c>
      <c r="C41" s="60" t="s">
        <v>161</v>
      </c>
      <c r="D41" s="60" t="s">
        <v>162</v>
      </c>
      <c r="E41" s="61" t="s">
        <v>46</v>
      </c>
      <c r="F41" s="62" t="s">
        <v>46</v>
      </c>
      <c r="G41" s="63" t="s">
        <v>46</v>
      </c>
      <c r="H41" s="64"/>
      <c r="I41" s="64" t="s">
        <v>47</v>
      </c>
      <c r="J41" s="65">
        <v>1</v>
      </c>
      <c r="K41" s="66">
        <f>29230</f>
        <v>29230</v>
      </c>
      <c r="L41" s="67" t="s">
        <v>853</v>
      </c>
      <c r="M41" s="66">
        <f>29690</f>
        <v>29690</v>
      </c>
      <c r="N41" s="67" t="s">
        <v>69</v>
      </c>
      <c r="O41" s="66">
        <f>27990</f>
        <v>27990</v>
      </c>
      <c r="P41" s="67" t="s">
        <v>268</v>
      </c>
      <c r="Q41" s="66">
        <f>29030</f>
        <v>29030</v>
      </c>
      <c r="R41" s="67" t="s">
        <v>873</v>
      </c>
      <c r="S41" s="68">
        <f>29148.64</f>
        <v>29148.639999999999</v>
      </c>
      <c r="T41" s="65">
        <f>153820</f>
        <v>153820</v>
      </c>
      <c r="U41" s="65">
        <f>45002</f>
        <v>45002</v>
      </c>
      <c r="V41" s="65">
        <f>4465221480</f>
        <v>4465221480</v>
      </c>
      <c r="W41" s="65">
        <f>1317933000</f>
        <v>1317933000</v>
      </c>
      <c r="X41" s="69">
        <f>22</f>
        <v>22</v>
      </c>
    </row>
    <row r="42" spans="1:24">
      <c r="A42" s="60" t="s">
        <v>907</v>
      </c>
      <c r="B42" s="60" t="s">
        <v>163</v>
      </c>
      <c r="C42" s="60" t="s">
        <v>164</v>
      </c>
      <c r="D42" s="60" t="s">
        <v>165</v>
      </c>
      <c r="E42" s="61" t="s">
        <v>46</v>
      </c>
      <c r="F42" s="62" t="s">
        <v>46</v>
      </c>
      <c r="G42" s="63" t="s">
        <v>46</v>
      </c>
      <c r="H42" s="64"/>
      <c r="I42" s="64" t="s">
        <v>47</v>
      </c>
      <c r="J42" s="65">
        <v>1</v>
      </c>
      <c r="K42" s="66">
        <f>5620</f>
        <v>5620</v>
      </c>
      <c r="L42" s="67" t="s">
        <v>853</v>
      </c>
      <c r="M42" s="66">
        <f>5770</f>
        <v>5770</v>
      </c>
      <c r="N42" s="67" t="s">
        <v>854</v>
      </c>
      <c r="O42" s="66">
        <f>5310</f>
        <v>5310</v>
      </c>
      <c r="P42" s="67" t="s">
        <v>268</v>
      </c>
      <c r="Q42" s="66">
        <f>5520</f>
        <v>5520</v>
      </c>
      <c r="R42" s="67" t="s">
        <v>873</v>
      </c>
      <c r="S42" s="68">
        <f>5604.09</f>
        <v>5604.09</v>
      </c>
      <c r="T42" s="65">
        <f>17246</f>
        <v>17246</v>
      </c>
      <c r="U42" s="65">
        <f>1</f>
        <v>1</v>
      </c>
      <c r="V42" s="65">
        <f>97054840</f>
        <v>97054840</v>
      </c>
      <c r="W42" s="65">
        <f>5580</f>
        <v>5580</v>
      </c>
      <c r="X42" s="69">
        <f>22</f>
        <v>22</v>
      </c>
    </row>
    <row r="43" spans="1:24">
      <c r="A43" s="60" t="s">
        <v>907</v>
      </c>
      <c r="B43" s="60" t="s">
        <v>166</v>
      </c>
      <c r="C43" s="60" t="s">
        <v>167</v>
      </c>
      <c r="D43" s="60" t="s">
        <v>168</v>
      </c>
      <c r="E43" s="61" t="s">
        <v>46</v>
      </c>
      <c r="F43" s="62" t="s">
        <v>46</v>
      </c>
      <c r="G43" s="63" t="s">
        <v>46</v>
      </c>
      <c r="H43" s="64"/>
      <c r="I43" s="64" t="s">
        <v>47</v>
      </c>
      <c r="J43" s="65">
        <v>1</v>
      </c>
      <c r="K43" s="66">
        <f>9780</f>
        <v>9780</v>
      </c>
      <c r="L43" s="67" t="s">
        <v>853</v>
      </c>
      <c r="M43" s="66">
        <f>10390</f>
        <v>10390</v>
      </c>
      <c r="N43" s="67" t="s">
        <v>48</v>
      </c>
      <c r="O43" s="66">
        <f>9540</f>
        <v>9540</v>
      </c>
      <c r="P43" s="67" t="s">
        <v>268</v>
      </c>
      <c r="Q43" s="66">
        <f>10050</f>
        <v>10050</v>
      </c>
      <c r="R43" s="67" t="s">
        <v>873</v>
      </c>
      <c r="S43" s="68">
        <f>10011.36</f>
        <v>10011.36</v>
      </c>
      <c r="T43" s="65">
        <f>9079</f>
        <v>9079</v>
      </c>
      <c r="U43" s="65">
        <f>4</f>
        <v>4</v>
      </c>
      <c r="V43" s="65">
        <f>90837580</f>
        <v>90837580</v>
      </c>
      <c r="W43" s="65">
        <f>39390</f>
        <v>39390</v>
      </c>
      <c r="X43" s="69">
        <f>22</f>
        <v>22</v>
      </c>
    </row>
    <row r="44" spans="1:24">
      <c r="A44" s="60" t="s">
        <v>907</v>
      </c>
      <c r="B44" s="60" t="s">
        <v>169</v>
      </c>
      <c r="C44" s="60" t="s">
        <v>170</v>
      </c>
      <c r="D44" s="60" t="s">
        <v>171</v>
      </c>
      <c r="E44" s="61" t="s">
        <v>46</v>
      </c>
      <c r="F44" s="62" t="s">
        <v>46</v>
      </c>
      <c r="G44" s="63" t="s">
        <v>46</v>
      </c>
      <c r="H44" s="64"/>
      <c r="I44" s="64" t="s">
        <v>47</v>
      </c>
      <c r="J44" s="65">
        <v>1</v>
      </c>
      <c r="K44" s="66">
        <f>19500</f>
        <v>19500</v>
      </c>
      <c r="L44" s="67" t="s">
        <v>853</v>
      </c>
      <c r="M44" s="66">
        <f>20120</f>
        <v>20120</v>
      </c>
      <c r="N44" s="67" t="s">
        <v>855</v>
      </c>
      <c r="O44" s="66">
        <f>18760</f>
        <v>18760</v>
      </c>
      <c r="P44" s="67" t="s">
        <v>268</v>
      </c>
      <c r="Q44" s="66">
        <f>19700</f>
        <v>19700</v>
      </c>
      <c r="R44" s="67" t="s">
        <v>50</v>
      </c>
      <c r="S44" s="68">
        <f>19724.5</f>
        <v>19724.5</v>
      </c>
      <c r="T44" s="65">
        <f>895</f>
        <v>895</v>
      </c>
      <c r="U44" s="65" t="str">
        <f>"－"</f>
        <v>－</v>
      </c>
      <c r="V44" s="65">
        <f>17473960</f>
        <v>17473960</v>
      </c>
      <c r="W44" s="65" t="str">
        <f>"－"</f>
        <v>－</v>
      </c>
      <c r="X44" s="69">
        <f>20</f>
        <v>20</v>
      </c>
    </row>
    <row r="45" spans="1:24">
      <c r="A45" s="60" t="s">
        <v>907</v>
      </c>
      <c r="B45" s="60" t="s">
        <v>173</v>
      </c>
      <c r="C45" s="60" t="s">
        <v>174</v>
      </c>
      <c r="D45" s="60" t="s">
        <v>175</v>
      </c>
      <c r="E45" s="61" t="s">
        <v>46</v>
      </c>
      <c r="F45" s="62" t="s">
        <v>46</v>
      </c>
      <c r="G45" s="63" t="s">
        <v>46</v>
      </c>
      <c r="H45" s="64"/>
      <c r="I45" s="64" t="s">
        <v>47</v>
      </c>
      <c r="J45" s="65">
        <v>1</v>
      </c>
      <c r="K45" s="66">
        <f>17370</f>
        <v>17370</v>
      </c>
      <c r="L45" s="67" t="s">
        <v>853</v>
      </c>
      <c r="M45" s="66">
        <f>18120</f>
        <v>18120</v>
      </c>
      <c r="N45" s="67" t="s">
        <v>854</v>
      </c>
      <c r="O45" s="66">
        <f>16500</f>
        <v>16500</v>
      </c>
      <c r="P45" s="67" t="s">
        <v>268</v>
      </c>
      <c r="Q45" s="66">
        <f>17260</f>
        <v>17260</v>
      </c>
      <c r="R45" s="67" t="s">
        <v>873</v>
      </c>
      <c r="S45" s="68">
        <f>17323.68</f>
        <v>17323.68</v>
      </c>
      <c r="T45" s="65">
        <f>379</f>
        <v>379</v>
      </c>
      <c r="U45" s="65">
        <f>2</f>
        <v>2</v>
      </c>
      <c r="V45" s="65">
        <f>6588960</f>
        <v>6588960</v>
      </c>
      <c r="W45" s="65">
        <f>34580</f>
        <v>34580</v>
      </c>
      <c r="X45" s="69">
        <f>19</f>
        <v>19</v>
      </c>
    </row>
    <row r="46" spans="1:24">
      <c r="A46" s="60" t="s">
        <v>907</v>
      </c>
      <c r="B46" s="60" t="s">
        <v>177</v>
      </c>
      <c r="C46" s="60" t="s">
        <v>178</v>
      </c>
      <c r="D46" s="60" t="s">
        <v>179</v>
      </c>
      <c r="E46" s="61" t="s">
        <v>46</v>
      </c>
      <c r="F46" s="62" t="s">
        <v>46</v>
      </c>
      <c r="G46" s="63" t="s">
        <v>46</v>
      </c>
      <c r="H46" s="64"/>
      <c r="I46" s="64" t="s">
        <v>47</v>
      </c>
      <c r="J46" s="65">
        <v>1</v>
      </c>
      <c r="K46" s="66">
        <f>10150</f>
        <v>10150</v>
      </c>
      <c r="L46" s="67" t="s">
        <v>853</v>
      </c>
      <c r="M46" s="66">
        <f>10680</f>
        <v>10680</v>
      </c>
      <c r="N46" s="67" t="s">
        <v>49</v>
      </c>
      <c r="O46" s="66">
        <f>9780</f>
        <v>9780</v>
      </c>
      <c r="P46" s="67" t="s">
        <v>268</v>
      </c>
      <c r="Q46" s="66">
        <f>10240</f>
        <v>10240</v>
      </c>
      <c r="R46" s="67" t="s">
        <v>873</v>
      </c>
      <c r="S46" s="68">
        <f>10293.18</f>
        <v>10293.18</v>
      </c>
      <c r="T46" s="65">
        <f>5524</f>
        <v>5524</v>
      </c>
      <c r="U46" s="65">
        <f>4</f>
        <v>4</v>
      </c>
      <c r="V46" s="65">
        <f>55989780</f>
        <v>55989780</v>
      </c>
      <c r="W46" s="65">
        <f>41010</f>
        <v>41010</v>
      </c>
      <c r="X46" s="69">
        <f>22</f>
        <v>22</v>
      </c>
    </row>
    <row r="47" spans="1:24">
      <c r="A47" s="60" t="s">
        <v>907</v>
      </c>
      <c r="B47" s="60" t="s">
        <v>180</v>
      </c>
      <c r="C47" s="60" t="s">
        <v>181</v>
      </c>
      <c r="D47" s="60" t="s">
        <v>182</v>
      </c>
      <c r="E47" s="61" t="s">
        <v>46</v>
      </c>
      <c r="F47" s="62" t="s">
        <v>46</v>
      </c>
      <c r="G47" s="63" t="s">
        <v>46</v>
      </c>
      <c r="H47" s="64"/>
      <c r="I47" s="64" t="s">
        <v>47</v>
      </c>
      <c r="J47" s="65">
        <v>1</v>
      </c>
      <c r="K47" s="66">
        <f>5580</f>
        <v>5580</v>
      </c>
      <c r="L47" s="67" t="s">
        <v>853</v>
      </c>
      <c r="M47" s="66">
        <f>5860</f>
        <v>5860</v>
      </c>
      <c r="N47" s="67" t="s">
        <v>100</v>
      </c>
      <c r="O47" s="66">
        <f>5500</f>
        <v>5500</v>
      </c>
      <c r="P47" s="67" t="s">
        <v>268</v>
      </c>
      <c r="Q47" s="66">
        <f>5770</f>
        <v>5770</v>
      </c>
      <c r="R47" s="67" t="s">
        <v>873</v>
      </c>
      <c r="S47" s="68">
        <f>5687.27</f>
        <v>5687.27</v>
      </c>
      <c r="T47" s="65">
        <f>3014</f>
        <v>3014</v>
      </c>
      <c r="U47" s="65">
        <f>3</f>
        <v>3</v>
      </c>
      <c r="V47" s="65">
        <f>17121540</f>
        <v>17121540</v>
      </c>
      <c r="W47" s="65">
        <f>17030</f>
        <v>17030</v>
      </c>
      <c r="X47" s="69">
        <f>22</f>
        <v>22</v>
      </c>
    </row>
    <row r="48" spans="1:24">
      <c r="A48" s="60" t="s">
        <v>907</v>
      </c>
      <c r="B48" s="60" t="s">
        <v>183</v>
      </c>
      <c r="C48" s="60" t="s">
        <v>184</v>
      </c>
      <c r="D48" s="60" t="s">
        <v>185</v>
      </c>
      <c r="E48" s="61" t="s">
        <v>46</v>
      </c>
      <c r="F48" s="62" t="s">
        <v>46</v>
      </c>
      <c r="G48" s="63" t="s">
        <v>46</v>
      </c>
      <c r="H48" s="64"/>
      <c r="I48" s="64" t="s">
        <v>47</v>
      </c>
      <c r="J48" s="65">
        <v>1</v>
      </c>
      <c r="K48" s="66">
        <f>2744</f>
        <v>2744</v>
      </c>
      <c r="L48" s="67" t="s">
        <v>853</v>
      </c>
      <c r="M48" s="66">
        <f>2906</f>
        <v>2906</v>
      </c>
      <c r="N48" s="67" t="s">
        <v>854</v>
      </c>
      <c r="O48" s="66">
        <f>2719</f>
        <v>2719</v>
      </c>
      <c r="P48" s="67" t="s">
        <v>853</v>
      </c>
      <c r="Q48" s="66">
        <f>2840</f>
        <v>2840</v>
      </c>
      <c r="R48" s="67" t="s">
        <v>873</v>
      </c>
      <c r="S48" s="68">
        <f>2821.77</f>
        <v>2821.77</v>
      </c>
      <c r="T48" s="65">
        <f>11983</f>
        <v>11983</v>
      </c>
      <c r="U48" s="65">
        <f>13</f>
        <v>13</v>
      </c>
      <c r="V48" s="65">
        <f>33979282</f>
        <v>33979282</v>
      </c>
      <c r="W48" s="65">
        <f>37141</f>
        <v>37141</v>
      </c>
      <c r="X48" s="69">
        <f>22</f>
        <v>22</v>
      </c>
    </row>
    <row r="49" spans="1:24">
      <c r="A49" s="60" t="s">
        <v>907</v>
      </c>
      <c r="B49" s="60" t="s">
        <v>186</v>
      </c>
      <c r="C49" s="60" t="s">
        <v>187</v>
      </c>
      <c r="D49" s="60" t="s">
        <v>188</v>
      </c>
      <c r="E49" s="61" t="s">
        <v>46</v>
      </c>
      <c r="F49" s="62" t="s">
        <v>46</v>
      </c>
      <c r="G49" s="63" t="s">
        <v>46</v>
      </c>
      <c r="H49" s="64"/>
      <c r="I49" s="64" t="s">
        <v>47</v>
      </c>
      <c r="J49" s="65">
        <v>1</v>
      </c>
      <c r="K49" s="66">
        <f>2741</f>
        <v>2741</v>
      </c>
      <c r="L49" s="67" t="s">
        <v>853</v>
      </c>
      <c r="M49" s="66">
        <f>2809</f>
        <v>2809</v>
      </c>
      <c r="N49" s="67" t="s">
        <v>49</v>
      </c>
      <c r="O49" s="66">
        <f>2623</f>
        <v>2623</v>
      </c>
      <c r="P49" s="67" t="s">
        <v>268</v>
      </c>
      <c r="Q49" s="66">
        <f>2733</f>
        <v>2733</v>
      </c>
      <c r="R49" s="67" t="s">
        <v>873</v>
      </c>
      <c r="S49" s="68">
        <f>2748.32</f>
        <v>2748.32</v>
      </c>
      <c r="T49" s="65">
        <f>12988</f>
        <v>12988</v>
      </c>
      <c r="U49" s="65">
        <f>3</f>
        <v>3</v>
      </c>
      <c r="V49" s="65">
        <f>35428920</f>
        <v>35428920</v>
      </c>
      <c r="W49" s="65">
        <f>8242</f>
        <v>8242</v>
      </c>
      <c r="X49" s="69">
        <f>22</f>
        <v>22</v>
      </c>
    </row>
    <row r="50" spans="1:24">
      <c r="A50" s="60" t="s">
        <v>907</v>
      </c>
      <c r="B50" s="60" t="s">
        <v>189</v>
      </c>
      <c r="C50" s="60" t="s">
        <v>190</v>
      </c>
      <c r="D50" s="60" t="s">
        <v>191</v>
      </c>
      <c r="E50" s="61" t="s">
        <v>46</v>
      </c>
      <c r="F50" s="62" t="s">
        <v>46</v>
      </c>
      <c r="G50" s="63" t="s">
        <v>46</v>
      </c>
      <c r="H50" s="64"/>
      <c r="I50" s="64" t="s">
        <v>47</v>
      </c>
      <c r="J50" s="65">
        <v>1</v>
      </c>
      <c r="K50" s="66">
        <f>45250</f>
        <v>45250</v>
      </c>
      <c r="L50" s="67" t="s">
        <v>853</v>
      </c>
      <c r="M50" s="66">
        <f>47800</f>
        <v>47800</v>
      </c>
      <c r="N50" s="67" t="s">
        <v>873</v>
      </c>
      <c r="O50" s="66">
        <f>44150</f>
        <v>44150</v>
      </c>
      <c r="P50" s="67" t="s">
        <v>268</v>
      </c>
      <c r="Q50" s="66">
        <f>47800</f>
        <v>47800</v>
      </c>
      <c r="R50" s="67" t="s">
        <v>873</v>
      </c>
      <c r="S50" s="68">
        <f>46204.55</f>
        <v>46204.55</v>
      </c>
      <c r="T50" s="65">
        <f>1058</f>
        <v>1058</v>
      </c>
      <c r="U50" s="65">
        <f>6</f>
        <v>6</v>
      </c>
      <c r="V50" s="65">
        <f>48914750</f>
        <v>48914750</v>
      </c>
      <c r="W50" s="65">
        <f>279700</f>
        <v>279700</v>
      </c>
      <c r="X50" s="69">
        <f>22</f>
        <v>22</v>
      </c>
    </row>
    <row r="51" spans="1:24">
      <c r="A51" s="60" t="s">
        <v>907</v>
      </c>
      <c r="B51" s="60" t="s">
        <v>192</v>
      </c>
      <c r="C51" s="60" t="s">
        <v>193</v>
      </c>
      <c r="D51" s="60" t="s">
        <v>194</v>
      </c>
      <c r="E51" s="61" t="s">
        <v>46</v>
      </c>
      <c r="F51" s="62" t="s">
        <v>46</v>
      </c>
      <c r="G51" s="63" t="s">
        <v>46</v>
      </c>
      <c r="H51" s="64"/>
      <c r="I51" s="64" t="s">
        <v>47</v>
      </c>
      <c r="J51" s="65">
        <v>1</v>
      </c>
      <c r="K51" s="66">
        <f>33000</f>
        <v>33000</v>
      </c>
      <c r="L51" s="67" t="s">
        <v>857</v>
      </c>
      <c r="M51" s="66">
        <f>34450</f>
        <v>34450</v>
      </c>
      <c r="N51" s="67" t="s">
        <v>856</v>
      </c>
      <c r="O51" s="66">
        <f>32550</f>
        <v>32550</v>
      </c>
      <c r="P51" s="67" t="s">
        <v>268</v>
      </c>
      <c r="Q51" s="66">
        <f>34400</f>
        <v>34400</v>
      </c>
      <c r="R51" s="67" t="s">
        <v>873</v>
      </c>
      <c r="S51" s="68">
        <f>33561.11</f>
        <v>33561.11</v>
      </c>
      <c r="T51" s="65">
        <f>317</f>
        <v>317</v>
      </c>
      <c r="U51" s="65">
        <f>1</f>
        <v>1</v>
      </c>
      <c r="V51" s="65">
        <f>10588650</f>
        <v>10588650</v>
      </c>
      <c r="W51" s="65">
        <f>33550</f>
        <v>33550</v>
      </c>
      <c r="X51" s="69">
        <f>18</f>
        <v>18</v>
      </c>
    </row>
    <row r="52" spans="1:24">
      <c r="A52" s="60" t="s">
        <v>907</v>
      </c>
      <c r="B52" s="60" t="s">
        <v>195</v>
      </c>
      <c r="C52" s="60" t="s">
        <v>196</v>
      </c>
      <c r="D52" s="60" t="s">
        <v>197</v>
      </c>
      <c r="E52" s="61" t="s">
        <v>46</v>
      </c>
      <c r="F52" s="62" t="s">
        <v>46</v>
      </c>
      <c r="G52" s="63" t="s">
        <v>46</v>
      </c>
      <c r="H52" s="64"/>
      <c r="I52" s="64" t="s">
        <v>47</v>
      </c>
      <c r="J52" s="65">
        <v>1</v>
      </c>
      <c r="K52" s="66">
        <f>29010</f>
        <v>29010</v>
      </c>
      <c r="L52" s="67" t="s">
        <v>857</v>
      </c>
      <c r="M52" s="66">
        <f>29740</f>
        <v>29740</v>
      </c>
      <c r="N52" s="67" t="s">
        <v>69</v>
      </c>
      <c r="O52" s="66">
        <f>28100</f>
        <v>28100</v>
      </c>
      <c r="P52" s="67" t="s">
        <v>268</v>
      </c>
      <c r="Q52" s="66">
        <f>29110</f>
        <v>29110</v>
      </c>
      <c r="R52" s="67" t="s">
        <v>873</v>
      </c>
      <c r="S52" s="68">
        <f>29180.63</f>
        <v>29180.63</v>
      </c>
      <c r="T52" s="65">
        <f>770566</f>
        <v>770566</v>
      </c>
      <c r="U52" s="65">
        <f>769319</f>
        <v>769319</v>
      </c>
      <c r="V52" s="65">
        <f>21796795877</f>
        <v>21796795877</v>
      </c>
      <c r="W52" s="65">
        <f>21760667257</f>
        <v>21760667257</v>
      </c>
      <c r="X52" s="69">
        <f>16</f>
        <v>16</v>
      </c>
    </row>
    <row r="53" spans="1:24">
      <c r="A53" s="60" t="s">
        <v>907</v>
      </c>
      <c r="B53" s="60" t="s">
        <v>198</v>
      </c>
      <c r="C53" s="60" t="s">
        <v>199</v>
      </c>
      <c r="D53" s="60" t="s">
        <v>200</v>
      </c>
      <c r="E53" s="61" t="s">
        <v>46</v>
      </c>
      <c r="F53" s="62" t="s">
        <v>46</v>
      </c>
      <c r="G53" s="63" t="s">
        <v>46</v>
      </c>
      <c r="H53" s="64"/>
      <c r="I53" s="64" t="s">
        <v>47</v>
      </c>
      <c r="J53" s="65">
        <v>10</v>
      </c>
      <c r="K53" s="66">
        <f>2111</f>
        <v>2111</v>
      </c>
      <c r="L53" s="67" t="s">
        <v>853</v>
      </c>
      <c r="M53" s="66">
        <f>2207</f>
        <v>2207</v>
      </c>
      <c r="N53" s="67" t="s">
        <v>873</v>
      </c>
      <c r="O53" s="66">
        <f>2105</f>
        <v>2105</v>
      </c>
      <c r="P53" s="67" t="s">
        <v>853</v>
      </c>
      <c r="Q53" s="66">
        <f>2191</f>
        <v>2191</v>
      </c>
      <c r="R53" s="67" t="s">
        <v>873</v>
      </c>
      <c r="S53" s="68">
        <f>2171.36</f>
        <v>2171.36</v>
      </c>
      <c r="T53" s="65">
        <f>1609280</f>
        <v>1609280</v>
      </c>
      <c r="U53" s="65">
        <f>135060</f>
        <v>135060</v>
      </c>
      <c r="V53" s="65">
        <f>3519216570</f>
        <v>3519216570</v>
      </c>
      <c r="W53" s="65">
        <f>292912170</f>
        <v>292912170</v>
      </c>
      <c r="X53" s="69">
        <f>22</f>
        <v>22</v>
      </c>
    </row>
    <row r="54" spans="1:24">
      <c r="A54" s="60" t="s">
        <v>907</v>
      </c>
      <c r="B54" s="60" t="s">
        <v>201</v>
      </c>
      <c r="C54" s="60" t="s">
        <v>202</v>
      </c>
      <c r="D54" s="60" t="s">
        <v>203</v>
      </c>
      <c r="E54" s="61" t="s">
        <v>46</v>
      </c>
      <c r="F54" s="62" t="s">
        <v>46</v>
      </c>
      <c r="G54" s="63" t="s">
        <v>46</v>
      </c>
      <c r="H54" s="64"/>
      <c r="I54" s="64" t="s">
        <v>47</v>
      </c>
      <c r="J54" s="65">
        <v>10</v>
      </c>
      <c r="K54" s="66">
        <f>1556</f>
        <v>1556</v>
      </c>
      <c r="L54" s="67" t="s">
        <v>853</v>
      </c>
      <c r="M54" s="66">
        <f>1599</f>
        <v>1599</v>
      </c>
      <c r="N54" s="67" t="s">
        <v>854</v>
      </c>
      <c r="O54" s="66">
        <f>1534</f>
        <v>1534</v>
      </c>
      <c r="P54" s="67" t="s">
        <v>268</v>
      </c>
      <c r="Q54" s="66">
        <f>1570</f>
        <v>1570</v>
      </c>
      <c r="R54" s="67" t="s">
        <v>873</v>
      </c>
      <c r="S54" s="68">
        <f>1574.33</f>
        <v>1574.33</v>
      </c>
      <c r="T54" s="65">
        <f>9160</f>
        <v>9160</v>
      </c>
      <c r="U54" s="65">
        <f>20</f>
        <v>20</v>
      </c>
      <c r="V54" s="65">
        <f>14365040</f>
        <v>14365040</v>
      </c>
      <c r="W54" s="65">
        <f>31220</f>
        <v>31220</v>
      </c>
      <c r="X54" s="69">
        <f>21</f>
        <v>21</v>
      </c>
    </row>
    <row r="55" spans="1:24">
      <c r="A55" s="60" t="s">
        <v>907</v>
      </c>
      <c r="B55" s="60" t="s">
        <v>204</v>
      </c>
      <c r="C55" s="60" t="s">
        <v>205</v>
      </c>
      <c r="D55" s="60" t="s">
        <v>206</v>
      </c>
      <c r="E55" s="61" t="s">
        <v>46</v>
      </c>
      <c r="F55" s="62" t="s">
        <v>46</v>
      </c>
      <c r="G55" s="63" t="s">
        <v>46</v>
      </c>
      <c r="H55" s="64"/>
      <c r="I55" s="64" t="s">
        <v>47</v>
      </c>
      <c r="J55" s="65">
        <v>1</v>
      </c>
      <c r="K55" s="66">
        <f>4340</f>
        <v>4340</v>
      </c>
      <c r="L55" s="67" t="s">
        <v>853</v>
      </c>
      <c r="M55" s="66">
        <f>4520</f>
        <v>4520</v>
      </c>
      <c r="N55" s="67" t="s">
        <v>268</v>
      </c>
      <c r="O55" s="66">
        <f>4270</f>
        <v>4270</v>
      </c>
      <c r="P55" s="67" t="s">
        <v>69</v>
      </c>
      <c r="Q55" s="66">
        <f>4355</f>
        <v>4355</v>
      </c>
      <c r="R55" s="67" t="s">
        <v>873</v>
      </c>
      <c r="S55" s="68">
        <f>4347.27</f>
        <v>4347.2700000000004</v>
      </c>
      <c r="T55" s="65">
        <f>279519</f>
        <v>279519</v>
      </c>
      <c r="U55" s="65" t="str">
        <f>"－"</f>
        <v>－</v>
      </c>
      <c r="V55" s="65">
        <f>1227381585</f>
        <v>1227381585</v>
      </c>
      <c r="W55" s="65" t="str">
        <f>"－"</f>
        <v>－</v>
      </c>
      <c r="X55" s="69">
        <f>22</f>
        <v>22</v>
      </c>
    </row>
    <row r="56" spans="1:24">
      <c r="A56" s="60" t="s">
        <v>907</v>
      </c>
      <c r="B56" s="60" t="s">
        <v>207</v>
      </c>
      <c r="C56" s="60" t="s">
        <v>208</v>
      </c>
      <c r="D56" s="60" t="s">
        <v>209</v>
      </c>
      <c r="E56" s="61" t="s">
        <v>46</v>
      </c>
      <c r="F56" s="62" t="s">
        <v>46</v>
      </c>
      <c r="G56" s="63" t="s">
        <v>46</v>
      </c>
      <c r="H56" s="64"/>
      <c r="I56" s="64" t="s">
        <v>47</v>
      </c>
      <c r="J56" s="65">
        <v>1</v>
      </c>
      <c r="K56" s="66">
        <f>5380</f>
        <v>5380</v>
      </c>
      <c r="L56" s="67" t="s">
        <v>853</v>
      </c>
      <c r="M56" s="66">
        <f>5500</f>
        <v>5500</v>
      </c>
      <c r="N56" s="67" t="s">
        <v>268</v>
      </c>
      <c r="O56" s="66">
        <f>5250</f>
        <v>5250</v>
      </c>
      <c r="P56" s="67" t="s">
        <v>854</v>
      </c>
      <c r="Q56" s="66">
        <f>5340</f>
        <v>5340</v>
      </c>
      <c r="R56" s="67" t="s">
        <v>873</v>
      </c>
      <c r="S56" s="68">
        <f>5323.18</f>
        <v>5323.18</v>
      </c>
      <c r="T56" s="65">
        <f>261425</f>
        <v>261425</v>
      </c>
      <c r="U56" s="65">
        <f>27000</f>
        <v>27000</v>
      </c>
      <c r="V56" s="65">
        <f>1394137970</f>
        <v>1394137970</v>
      </c>
      <c r="W56" s="65">
        <f>143375400</f>
        <v>143375400</v>
      </c>
      <c r="X56" s="69">
        <f>22</f>
        <v>22</v>
      </c>
    </row>
    <row r="57" spans="1:24">
      <c r="A57" s="60" t="s">
        <v>907</v>
      </c>
      <c r="B57" s="60" t="s">
        <v>210</v>
      </c>
      <c r="C57" s="60" t="s">
        <v>211</v>
      </c>
      <c r="D57" s="60" t="s">
        <v>212</v>
      </c>
      <c r="E57" s="61" t="s">
        <v>46</v>
      </c>
      <c r="F57" s="62" t="s">
        <v>46</v>
      </c>
      <c r="G57" s="63" t="s">
        <v>46</v>
      </c>
      <c r="H57" s="64"/>
      <c r="I57" s="64" t="s">
        <v>47</v>
      </c>
      <c r="J57" s="65">
        <v>1</v>
      </c>
      <c r="K57" s="66">
        <f>18720</f>
        <v>18720</v>
      </c>
      <c r="L57" s="67" t="s">
        <v>853</v>
      </c>
      <c r="M57" s="66">
        <f>19300</f>
        <v>19300</v>
      </c>
      <c r="N57" s="67" t="s">
        <v>69</v>
      </c>
      <c r="O57" s="66">
        <f>17090</f>
        <v>17090</v>
      </c>
      <c r="P57" s="67" t="s">
        <v>268</v>
      </c>
      <c r="Q57" s="66">
        <f>18400</f>
        <v>18400</v>
      </c>
      <c r="R57" s="67" t="s">
        <v>873</v>
      </c>
      <c r="S57" s="68">
        <f>18591.82</f>
        <v>18591.82</v>
      </c>
      <c r="T57" s="65">
        <f>17181998</f>
        <v>17181998</v>
      </c>
      <c r="U57" s="65">
        <f>1</f>
        <v>1</v>
      </c>
      <c r="V57" s="65">
        <f>317909553410</f>
        <v>317909553410</v>
      </c>
      <c r="W57" s="65">
        <f>18150</f>
        <v>18150</v>
      </c>
      <c r="X57" s="69">
        <f>22</f>
        <v>22</v>
      </c>
    </row>
    <row r="58" spans="1:24">
      <c r="A58" s="60" t="s">
        <v>907</v>
      </c>
      <c r="B58" s="60" t="s">
        <v>213</v>
      </c>
      <c r="C58" s="60" t="s">
        <v>214</v>
      </c>
      <c r="D58" s="60" t="s">
        <v>215</v>
      </c>
      <c r="E58" s="61" t="s">
        <v>46</v>
      </c>
      <c r="F58" s="62" t="s">
        <v>46</v>
      </c>
      <c r="G58" s="63" t="s">
        <v>46</v>
      </c>
      <c r="H58" s="64"/>
      <c r="I58" s="64" t="s">
        <v>47</v>
      </c>
      <c r="J58" s="65">
        <v>1</v>
      </c>
      <c r="K58" s="66">
        <f>1644</f>
        <v>1644</v>
      </c>
      <c r="L58" s="67" t="s">
        <v>853</v>
      </c>
      <c r="M58" s="66">
        <f>1784</f>
        <v>1784</v>
      </c>
      <c r="N58" s="67" t="s">
        <v>268</v>
      </c>
      <c r="O58" s="66">
        <f>1591</f>
        <v>1591</v>
      </c>
      <c r="P58" s="67" t="s">
        <v>69</v>
      </c>
      <c r="Q58" s="66">
        <f>1656</f>
        <v>1656</v>
      </c>
      <c r="R58" s="67" t="s">
        <v>873</v>
      </c>
      <c r="S58" s="68">
        <f>1648.68</f>
        <v>1648.68</v>
      </c>
      <c r="T58" s="65">
        <f>111039693</f>
        <v>111039693</v>
      </c>
      <c r="U58" s="65">
        <f>264</f>
        <v>264</v>
      </c>
      <c r="V58" s="65">
        <f>183366661151</f>
        <v>183366661151</v>
      </c>
      <c r="W58" s="65">
        <f>424955</f>
        <v>424955</v>
      </c>
      <c r="X58" s="69">
        <f>22</f>
        <v>22</v>
      </c>
    </row>
    <row r="59" spans="1:24">
      <c r="A59" s="60" t="s">
        <v>907</v>
      </c>
      <c r="B59" s="60" t="s">
        <v>216</v>
      </c>
      <c r="C59" s="60" t="s">
        <v>217</v>
      </c>
      <c r="D59" s="60" t="s">
        <v>218</v>
      </c>
      <c r="E59" s="61" t="s">
        <v>46</v>
      </c>
      <c r="F59" s="62" t="s">
        <v>46</v>
      </c>
      <c r="G59" s="63" t="s">
        <v>46</v>
      </c>
      <c r="H59" s="64" t="s">
        <v>540</v>
      </c>
      <c r="I59" s="64" t="s">
        <v>47</v>
      </c>
      <c r="J59" s="65">
        <v>1</v>
      </c>
      <c r="K59" s="66">
        <f>23760</f>
        <v>23760</v>
      </c>
      <c r="L59" s="67" t="s">
        <v>853</v>
      </c>
      <c r="M59" s="66">
        <f>24440</f>
        <v>24440</v>
      </c>
      <c r="N59" s="67" t="s">
        <v>855</v>
      </c>
      <c r="O59" s="66">
        <f>23610</f>
        <v>23610</v>
      </c>
      <c r="P59" s="67" t="s">
        <v>48</v>
      </c>
      <c r="Q59" s="66">
        <f>24390</f>
        <v>24390</v>
      </c>
      <c r="R59" s="67" t="s">
        <v>856</v>
      </c>
      <c r="S59" s="68">
        <f>24084.44</f>
        <v>24084.44</v>
      </c>
      <c r="T59" s="65">
        <f>19</f>
        <v>19</v>
      </c>
      <c r="U59" s="65">
        <f>2</f>
        <v>2</v>
      </c>
      <c r="V59" s="65">
        <f>457570</f>
        <v>457570</v>
      </c>
      <c r="W59" s="65">
        <f>47420</f>
        <v>47420</v>
      </c>
      <c r="X59" s="69">
        <f>9</f>
        <v>9</v>
      </c>
    </row>
    <row r="60" spans="1:24">
      <c r="A60" s="60" t="s">
        <v>907</v>
      </c>
      <c r="B60" s="60" t="s">
        <v>219</v>
      </c>
      <c r="C60" s="60" t="s">
        <v>220</v>
      </c>
      <c r="D60" s="60" t="s">
        <v>221</v>
      </c>
      <c r="E60" s="61" t="s">
        <v>46</v>
      </c>
      <c r="F60" s="62" t="s">
        <v>46</v>
      </c>
      <c r="G60" s="63" t="s">
        <v>46</v>
      </c>
      <c r="H60" s="64"/>
      <c r="I60" s="64" t="s">
        <v>47</v>
      </c>
      <c r="J60" s="65">
        <v>1</v>
      </c>
      <c r="K60" s="66">
        <f>14580</f>
        <v>14580</v>
      </c>
      <c r="L60" s="67" t="s">
        <v>853</v>
      </c>
      <c r="M60" s="66">
        <f>15350</f>
        <v>15350</v>
      </c>
      <c r="N60" s="67" t="s">
        <v>854</v>
      </c>
      <c r="O60" s="66">
        <f>13950</f>
        <v>13950</v>
      </c>
      <c r="P60" s="67" t="s">
        <v>268</v>
      </c>
      <c r="Q60" s="66">
        <f>14790</f>
        <v>14790</v>
      </c>
      <c r="R60" s="67" t="s">
        <v>873</v>
      </c>
      <c r="S60" s="68">
        <f>14903.18</f>
        <v>14903.18</v>
      </c>
      <c r="T60" s="65">
        <f>5150</f>
        <v>5150</v>
      </c>
      <c r="U60" s="65">
        <f>3</f>
        <v>3</v>
      </c>
      <c r="V60" s="65">
        <f>75658460</f>
        <v>75658460</v>
      </c>
      <c r="W60" s="65">
        <f>45380</f>
        <v>45380</v>
      </c>
      <c r="X60" s="69">
        <f>22</f>
        <v>22</v>
      </c>
    </row>
    <row r="61" spans="1:24">
      <c r="A61" s="60" t="s">
        <v>907</v>
      </c>
      <c r="B61" s="60" t="s">
        <v>222</v>
      </c>
      <c r="C61" s="60" t="s">
        <v>223</v>
      </c>
      <c r="D61" s="60" t="s">
        <v>224</v>
      </c>
      <c r="E61" s="61" t="s">
        <v>46</v>
      </c>
      <c r="F61" s="62" t="s">
        <v>46</v>
      </c>
      <c r="G61" s="63" t="s">
        <v>46</v>
      </c>
      <c r="H61" s="64"/>
      <c r="I61" s="64" t="s">
        <v>47</v>
      </c>
      <c r="J61" s="65">
        <v>1</v>
      </c>
      <c r="K61" s="66">
        <f>5180</f>
        <v>5180</v>
      </c>
      <c r="L61" s="67" t="s">
        <v>858</v>
      </c>
      <c r="M61" s="66">
        <f>5340</f>
        <v>5340</v>
      </c>
      <c r="N61" s="67" t="s">
        <v>268</v>
      </c>
      <c r="O61" s="66">
        <f>5130</f>
        <v>5130</v>
      </c>
      <c r="P61" s="67" t="s">
        <v>96</v>
      </c>
      <c r="Q61" s="66">
        <f>5190</f>
        <v>5190</v>
      </c>
      <c r="R61" s="67" t="s">
        <v>50</v>
      </c>
      <c r="S61" s="68">
        <f>5172.73</f>
        <v>5172.7299999999996</v>
      </c>
      <c r="T61" s="65">
        <f>3473</f>
        <v>3473</v>
      </c>
      <c r="U61" s="65" t="str">
        <f>"－"</f>
        <v>－</v>
      </c>
      <c r="V61" s="65">
        <f>17855360</f>
        <v>17855360</v>
      </c>
      <c r="W61" s="65" t="str">
        <f>"－"</f>
        <v>－</v>
      </c>
      <c r="X61" s="69">
        <f>11</f>
        <v>11</v>
      </c>
    </row>
    <row r="62" spans="1:24">
      <c r="A62" s="60" t="s">
        <v>907</v>
      </c>
      <c r="B62" s="60" t="s">
        <v>225</v>
      </c>
      <c r="C62" s="60" t="s">
        <v>226</v>
      </c>
      <c r="D62" s="60" t="s">
        <v>227</v>
      </c>
      <c r="E62" s="61" t="s">
        <v>46</v>
      </c>
      <c r="F62" s="62" t="s">
        <v>46</v>
      </c>
      <c r="G62" s="63" t="s">
        <v>46</v>
      </c>
      <c r="H62" s="64"/>
      <c r="I62" s="64" t="s">
        <v>47</v>
      </c>
      <c r="J62" s="65">
        <v>1</v>
      </c>
      <c r="K62" s="66">
        <f>2208</f>
        <v>2208</v>
      </c>
      <c r="L62" s="67" t="s">
        <v>853</v>
      </c>
      <c r="M62" s="66">
        <f>2295</f>
        <v>2295</v>
      </c>
      <c r="N62" s="67" t="s">
        <v>268</v>
      </c>
      <c r="O62" s="66">
        <f>2092</f>
        <v>2092</v>
      </c>
      <c r="P62" s="67" t="s">
        <v>854</v>
      </c>
      <c r="Q62" s="66">
        <f>2164</f>
        <v>2164</v>
      </c>
      <c r="R62" s="67" t="s">
        <v>873</v>
      </c>
      <c r="S62" s="68">
        <f>2152.27</f>
        <v>2152.27</v>
      </c>
      <c r="T62" s="65">
        <f>21345</f>
        <v>21345</v>
      </c>
      <c r="U62" s="65">
        <f>4</f>
        <v>4</v>
      </c>
      <c r="V62" s="65">
        <f>46263616</f>
        <v>46263616</v>
      </c>
      <c r="W62" s="65">
        <f>8549</f>
        <v>8549</v>
      </c>
      <c r="X62" s="69">
        <f>22</f>
        <v>22</v>
      </c>
    </row>
    <row r="63" spans="1:24">
      <c r="A63" s="60" t="s">
        <v>907</v>
      </c>
      <c r="B63" s="60" t="s">
        <v>228</v>
      </c>
      <c r="C63" s="60" t="s">
        <v>229</v>
      </c>
      <c r="D63" s="60" t="s">
        <v>230</v>
      </c>
      <c r="E63" s="61" t="s">
        <v>46</v>
      </c>
      <c r="F63" s="62" t="s">
        <v>46</v>
      </c>
      <c r="G63" s="63" t="s">
        <v>46</v>
      </c>
      <c r="H63" s="64"/>
      <c r="I63" s="64" t="s">
        <v>47</v>
      </c>
      <c r="J63" s="65">
        <v>10</v>
      </c>
      <c r="K63" s="66">
        <f>13720</f>
        <v>13720</v>
      </c>
      <c r="L63" s="67" t="s">
        <v>853</v>
      </c>
      <c r="M63" s="66">
        <f>14510</f>
        <v>14510</v>
      </c>
      <c r="N63" s="67" t="s">
        <v>49</v>
      </c>
      <c r="O63" s="66">
        <f>13260</f>
        <v>13260</v>
      </c>
      <c r="P63" s="67" t="s">
        <v>268</v>
      </c>
      <c r="Q63" s="66">
        <f>13800</f>
        <v>13800</v>
      </c>
      <c r="R63" s="67" t="s">
        <v>873</v>
      </c>
      <c r="S63" s="68">
        <f>14009.52</f>
        <v>14009.52</v>
      </c>
      <c r="T63" s="65">
        <f>2330</f>
        <v>2330</v>
      </c>
      <c r="U63" s="65">
        <f>20</f>
        <v>20</v>
      </c>
      <c r="V63" s="65">
        <f>32280800</f>
        <v>32280800</v>
      </c>
      <c r="W63" s="65">
        <f>268900</f>
        <v>268900</v>
      </c>
      <c r="X63" s="69">
        <f>21</f>
        <v>21</v>
      </c>
    </row>
    <row r="64" spans="1:24">
      <c r="A64" s="60" t="s">
        <v>907</v>
      </c>
      <c r="B64" s="60" t="s">
        <v>231</v>
      </c>
      <c r="C64" s="60" t="s">
        <v>232</v>
      </c>
      <c r="D64" s="60" t="s">
        <v>233</v>
      </c>
      <c r="E64" s="61" t="s">
        <v>46</v>
      </c>
      <c r="F64" s="62" t="s">
        <v>46</v>
      </c>
      <c r="G64" s="63" t="s">
        <v>46</v>
      </c>
      <c r="H64" s="64"/>
      <c r="I64" s="64" t="s">
        <v>47</v>
      </c>
      <c r="J64" s="65">
        <v>10</v>
      </c>
      <c r="K64" s="66">
        <f>5060</f>
        <v>5060</v>
      </c>
      <c r="L64" s="67" t="s">
        <v>857</v>
      </c>
      <c r="M64" s="66">
        <f>5190</f>
        <v>5190</v>
      </c>
      <c r="N64" s="67" t="s">
        <v>268</v>
      </c>
      <c r="O64" s="66">
        <f>4960</f>
        <v>4960</v>
      </c>
      <c r="P64" s="67" t="s">
        <v>48</v>
      </c>
      <c r="Q64" s="66">
        <f>4990</f>
        <v>4990</v>
      </c>
      <c r="R64" s="67" t="s">
        <v>88</v>
      </c>
      <c r="S64" s="68">
        <f>5024.17</f>
        <v>5024.17</v>
      </c>
      <c r="T64" s="65">
        <f>590</f>
        <v>590</v>
      </c>
      <c r="U64" s="65" t="str">
        <f>"－"</f>
        <v>－</v>
      </c>
      <c r="V64" s="65">
        <f>2972000</f>
        <v>2972000</v>
      </c>
      <c r="W64" s="65" t="str">
        <f>"－"</f>
        <v>－</v>
      </c>
      <c r="X64" s="69">
        <f>12</f>
        <v>12</v>
      </c>
    </row>
    <row r="65" spans="1:24">
      <c r="A65" s="60" t="s">
        <v>907</v>
      </c>
      <c r="B65" s="60" t="s">
        <v>234</v>
      </c>
      <c r="C65" s="60" t="s">
        <v>235</v>
      </c>
      <c r="D65" s="60" t="s">
        <v>236</v>
      </c>
      <c r="E65" s="61" t="s">
        <v>46</v>
      </c>
      <c r="F65" s="62" t="s">
        <v>46</v>
      </c>
      <c r="G65" s="63" t="s">
        <v>46</v>
      </c>
      <c r="H65" s="64"/>
      <c r="I65" s="64" t="s">
        <v>47</v>
      </c>
      <c r="J65" s="65">
        <v>10</v>
      </c>
      <c r="K65" s="66">
        <f>2194</f>
        <v>2194</v>
      </c>
      <c r="L65" s="67" t="s">
        <v>853</v>
      </c>
      <c r="M65" s="66">
        <f>2275</f>
        <v>2275</v>
      </c>
      <c r="N65" s="67" t="s">
        <v>268</v>
      </c>
      <c r="O65" s="66">
        <f>2078</f>
        <v>2078</v>
      </c>
      <c r="P65" s="67" t="s">
        <v>854</v>
      </c>
      <c r="Q65" s="66">
        <f>2140</f>
        <v>2140</v>
      </c>
      <c r="R65" s="67" t="s">
        <v>873</v>
      </c>
      <c r="S65" s="68">
        <f>2134.05</f>
        <v>2134.0500000000002</v>
      </c>
      <c r="T65" s="65">
        <f>63030</f>
        <v>63030</v>
      </c>
      <c r="U65" s="65" t="str">
        <f>"－"</f>
        <v>－</v>
      </c>
      <c r="V65" s="65">
        <f>135167410</f>
        <v>135167410</v>
      </c>
      <c r="W65" s="65" t="str">
        <f>"－"</f>
        <v>－</v>
      </c>
      <c r="X65" s="69">
        <f>22</f>
        <v>22</v>
      </c>
    </row>
    <row r="66" spans="1:24">
      <c r="A66" s="60" t="s">
        <v>907</v>
      </c>
      <c r="B66" s="60" t="s">
        <v>237</v>
      </c>
      <c r="C66" s="60" t="s">
        <v>238</v>
      </c>
      <c r="D66" s="60" t="s">
        <v>239</v>
      </c>
      <c r="E66" s="61" t="s">
        <v>896</v>
      </c>
      <c r="F66" s="62" t="s">
        <v>897</v>
      </c>
      <c r="G66" s="63" t="s">
        <v>908</v>
      </c>
      <c r="H66" s="64" t="s">
        <v>878</v>
      </c>
      <c r="I66" s="64"/>
      <c r="J66" s="65">
        <v>1</v>
      </c>
      <c r="K66" s="66">
        <f>28120</f>
        <v>28120</v>
      </c>
      <c r="L66" s="67" t="s">
        <v>853</v>
      </c>
      <c r="M66" s="66">
        <f>30600</f>
        <v>30600</v>
      </c>
      <c r="N66" s="67" t="s">
        <v>854</v>
      </c>
      <c r="O66" s="66">
        <f>27650</f>
        <v>27650</v>
      </c>
      <c r="P66" s="67" t="s">
        <v>268</v>
      </c>
      <c r="Q66" s="66">
        <f>29620</f>
        <v>29620</v>
      </c>
      <c r="R66" s="67" t="s">
        <v>88</v>
      </c>
      <c r="S66" s="68">
        <f>29587.37</f>
        <v>29587.37</v>
      </c>
      <c r="T66" s="65">
        <f>2926</f>
        <v>2926</v>
      </c>
      <c r="U66" s="65" t="str">
        <f>"－"</f>
        <v>－</v>
      </c>
      <c r="V66" s="65">
        <f>85336690</f>
        <v>85336690</v>
      </c>
      <c r="W66" s="65" t="str">
        <f>"－"</f>
        <v>－</v>
      </c>
      <c r="X66" s="69">
        <f>19</f>
        <v>19</v>
      </c>
    </row>
    <row r="67" spans="1:24">
      <c r="A67" s="60" t="s">
        <v>907</v>
      </c>
      <c r="B67" s="60" t="s">
        <v>241</v>
      </c>
      <c r="C67" s="60" t="s">
        <v>242</v>
      </c>
      <c r="D67" s="60" t="s">
        <v>243</v>
      </c>
      <c r="E67" s="61" t="s">
        <v>46</v>
      </c>
      <c r="F67" s="62" t="s">
        <v>46</v>
      </c>
      <c r="G67" s="63" t="s">
        <v>46</v>
      </c>
      <c r="H67" s="64"/>
      <c r="I67" s="64" t="s">
        <v>47</v>
      </c>
      <c r="J67" s="65">
        <v>1</v>
      </c>
      <c r="K67" s="66">
        <f>3350</f>
        <v>3350</v>
      </c>
      <c r="L67" s="67" t="s">
        <v>858</v>
      </c>
      <c r="M67" s="66">
        <f>3450</f>
        <v>3450</v>
      </c>
      <c r="N67" s="67" t="s">
        <v>268</v>
      </c>
      <c r="O67" s="66">
        <f>3305</f>
        <v>3305</v>
      </c>
      <c r="P67" s="67" t="s">
        <v>854</v>
      </c>
      <c r="Q67" s="66">
        <f>3310</f>
        <v>3310</v>
      </c>
      <c r="R67" s="67" t="s">
        <v>873</v>
      </c>
      <c r="S67" s="68">
        <f>3340.79</f>
        <v>3340.79</v>
      </c>
      <c r="T67" s="65">
        <f>1110</f>
        <v>1110</v>
      </c>
      <c r="U67" s="65">
        <f>1</f>
        <v>1</v>
      </c>
      <c r="V67" s="65">
        <f>3714165</f>
        <v>3714165</v>
      </c>
      <c r="W67" s="65">
        <f>3320</f>
        <v>3320</v>
      </c>
      <c r="X67" s="69">
        <f>19</f>
        <v>19</v>
      </c>
    </row>
    <row r="68" spans="1:24">
      <c r="A68" s="60" t="s">
        <v>907</v>
      </c>
      <c r="B68" s="60" t="s">
        <v>244</v>
      </c>
      <c r="C68" s="60" t="s">
        <v>245</v>
      </c>
      <c r="D68" s="60" t="s">
        <v>246</v>
      </c>
      <c r="E68" s="61" t="s">
        <v>46</v>
      </c>
      <c r="F68" s="62" t="s">
        <v>46</v>
      </c>
      <c r="G68" s="63" t="s">
        <v>46</v>
      </c>
      <c r="H68" s="64"/>
      <c r="I68" s="64" t="s">
        <v>47</v>
      </c>
      <c r="J68" s="65">
        <v>1</v>
      </c>
      <c r="K68" s="66">
        <f>875</f>
        <v>875</v>
      </c>
      <c r="L68" s="67" t="s">
        <v>853</v>
      </c>
      <c r="M68" s="66">
        <f>915</f>
        <v>915</v>
      </c>
      <c r="N68" s="67" t="s">
        <v>268</v>
      </c>
      <c r="O68" s="66">
        <f>832</f>
        <v>832</v>
      </c>
      <c r="P68" s="67" t="s">
        <v>854</v>
      </c>
      <c r="Q68" s="66">
        <f>860</f>
        <v>860</v>
      </c>
      <c r="R68" s="67" t="s">
        <v>873</v>
      </c>
      <c r="S68" s="68">
        <f>857.82</f>
        <v>857.82</v>
      </c>
      <c r="T68" s="65">
        <f>53005</f>
        <v>53005</v>
      </c>
      <c r="U68" s="65">
        <f>4</f>
        <v>4</v>
      </c>
      <c r="V68" s="65">
        <f>46046784</f>
        <v>46046784</v>
      </c>
      <c r="W68" s="65">
        <f>3455</f>
        <v>3455</v>
      </c>
      <c r="X68" s="69">
        <f>22</f>
        <v>22</v>
      </c>
    </row>
    <row r="69" spans="1:24">
      <c r="A69" s="60" t="s">
        <v>907</v>
      </c>
      <c r="B69" s="60" t="s">
        <v>247</v>
      </c>
      <c r="C69" s="60" t="s">
        <v>248</v>
      </c>
      <c r="D69" s="60" t="s">
        <v>249</v>
      </c>
      <c r="E69" s="61" t="s">
        <v>46</v>
      </c>
      <c r="F69" s="62" t="s">
        <v>46</v>
      </c>
      <c r="G69" s="63" t="s">
        <v>46</v>
      </c>
      <c r="H69" s="64"/>
      <c r="I69" s="64" t="s">
        <v>47</v>
      </c>
      <c r="J69" s="65">
        <v>10</v>
      </c>
      <c r="K69" s="66">
        <f>1961</f>
        <v>1961</v>
      </c>
      <c r="L69" s="67" t="s">
        <v>853</v>
      </c>
      <c r="M69" s="66">
        <f>2023</f>
        <v>2023</v>
      </c>
      <c r="N69" s="67" t="s">
        <v>854</v>
      </c>
      <c r="O69" s="66">
        <f>1929</f>
        <v>1929</v>
      </c>
      <c r="P69" s="67" t="s">
        <v>268</v>
      </c>
      <c r="Q69" s="66">
        <f>1986</f>
        <v>1986</v>
      </c>
      <c r="R69" s="67" t="s">
        <v>873</v>
      </c>
      <c r="S69" s="68">
        <f>1992.68</f>
        <v>1992.68</v>
      </c>
      <c r="T69" s="65">
        <f>201690</f>
        <v>201690</v>
      </c>
      <c r="U69" s="65" t="str">
        <f>"－"</f>
        <v>－</v>
      </c>
      <c r="V69" s="65">
        <f>401279490</f>
        <v>401279490</v>
      </c>
      <c r="W69" s="65" t="str">
        <f>"－"</f>
        <v>－</v>
      </c>
      <c r="X69" s="69">
        <f>22</f>
        <v>22</v>
      </c>
    </row>
    <row r="70" spans="1:24">
      <c r="A70" s="60" t="s">
        <v>907</v>
      </c>
      <c r="B70" s="60" t="s">
        <v>250</v>
      </c>
      <c r="C70" s="60" t="s">
        <v>251</v>
      </c>
      <c r="D70" s="60" t="s">
        <v>252</v>
      </c>
      <c r="E70" s="61" t="s">
        <v>46</v>
      </c>
      <c r="F70" s="62" t="s">
        <v>46</v>
      </c>
      <c r="G70" s="63" t="s">
        <v>46</v>
      </c>
      <c r="H70" s="64"/>
      <c r="I70" s="64" t="s">
        <v>47</v>
      </c>
      <c r="J70" s="65">
        <v>1</v>
      </c>
      <c r="K70" s="66">
        <f>17630</f>
        <v>17630</v>
      </c>
      <c r="L70" s="67" t="s">
        <v>853</v>
      </c>
      <c r="M70" s="66">
        <f>18180</f>
        <v>18180</v>
      </c>
      <c r="N70" s="67" t="s">
        <v>858</v>
      </c>
      <c r="O70" s="66">
        <f>17310</f>
        <v>17310</v>
      </c>
      <c r="P70" s="67" t="s">
        <v>268</v>
      </c>
      <c r="Q70" s="66">
        <f>17860</f>
        <v>17860</v>
      </c>
      <c r="R70" s="67" t="s">
        <v>50</v>
      </c>
      <c r="S70" s="68">
        <f>17901</f>
        <v>17901</v>
      </c>
      <c r="T70" s="65">
        <f>56469</f>
        <v>56469</v>
      </c>
      <c r="U70" s="65">
        <f>7001</f>
        <v>7001</v>
      </c>
      <c r="V70" s="65">
        <f>1012537370</f>
        <v>1012537370</v>
      </c>
      <c r="W70" s="65">
        <f>125766120</f>
        <v>125766120</v>
      </c>
      <c r="X70" s="69">
        <f>20</f>
        <v>20</v>
      </c>
    </row>
    <row r="71" spans="1:24">
      <c r="A71" s="60" t="s">
        <v>907</v>
      </c>
      <c r="B71" s="60" t="s">
        <v>253</v>
      </c>
      <c r="C71" s="60" t="s">
        <v>254</v>
      </c>
      <c r="D71" s="60" t="s">
        <v>255</v>
      </c>
      <c r="E71" s="61" t="s">
        <v>46</v>
      </c>
      <c r="F71" s="62" t="s">
        <v>46</v>
      </c>
      <c r="G71" s="63" t="s">
        <v>46</v>
      </c>
      <c r="H71" s="64"/>
      <c r="I71" s="64" t="s">
        <v>47</v>
      </c>
      <c r="J71" s="65">
        <v>1</v>
      </c>
      <c r="K71" s="66">
        <f>1986</f>
        <v>1986</v>
      </c>
      <c r="L71" s="67" t="s">
        <v>853</v>
      </c>
      <c r="M71" s="66">
        <f>2038</f>
        <v>2038</v>
      </c>
      <c r="N71" s="67" t="s">
        <v>854</v>
      </c>
      <c r="O71" s="66">
        <f>1944</f>
        <v>1944</v>
      </c>
      <c r="P71" s="67" t="s">
        <v>268</v>
      </c>
      <c r="Q71" s="66">
        <f>2001</f>
        <v>2001</v>
      </c>
      <c r="R71" s="67" t="s">
        <v>873</v>
      </c>
      <c r="S71" s="68">
        <f>2007.77</f>
        <v>2007.77</v>
      </c>
      <c r="T71" s="65">
        <f>4228574</f>
        <v>4228574</v>
      </c>
      <c r="U71" s="65">
        <f>1367924</f>
        <v>1367924</v>
      </c>
      <c r="V71" s="65">
        <f>8478092221</f>
        <v>8478092221</v>
      </c>
      <c r="W71" s="65">
        <f>2741123980</f>
        <v>2741123980</v>
      </c>
      <c r="X71" s="69">
        <f>22</f>
        <v>22</v>
      </c>
    </row>
    <row r="72" spans="1:24">
      <c r="A72" s="60" t="s">
        <v>907</v>
      </c>
      <c r="B72" s="60" t="s">
        <v>256</v>
      </c>
      <c r="C72" s="60" t="s">
        <v>257</v>
      </c>
      <c r="D72" s="60" t="s">
        <v>258</v>
      </c>
      <c r="E72" s="61" t="s">
        <v>46</v>
      </c>
      <c r="F72" s="62" t="s">
        <v>46</v>
      </c>
      <c r="G72" s="63" t="s">
        <v>46</v>
      </c>
      <c r="H72" s="64"/>
      <c r="I72" s="64" t="s">
        <v>47</v>
      </c>
      <c r="J72" s="65">
        <v>1</v>
      </c>
      <c r="K72" s="66">
        <f>2130</f>
        <v>2130</v>
      </c>
      <c r="L72" s="67" t="s">
        <v>853</v>
      </c>
      <c r="M72" s="66">
        <f>2232</f>
        <v>2232</v>
      </c>
      <c r="N72" s="67" t="s">
        <v>873</v>
      </c>
      <c r="O72" s="66">
        <f>2115</f>
        <v>2115</v>
      </c>
      <c r="P72" s="67" t="s">
        <v>853</v>
      </c>
      <c r="Q72" s="66">
        <f>2219</f>
        <v>2219</v>
      </c>
      <c r="R72" s="67" t="s">
        <v>873</v>
      </c>
      <c r="S72" s="68">
        <f>2193.36</f>
        <v>2193.36</v>
      </c>
      <c r="T72" s="65">
        <f>3554218</f>
        <v>3554218</v>
      </c>
      <c r="U72" s="65">
        <f>1162055</f>
        <v>1162055</v>
      </c>
      <c r="V72" s="65">
        <f>7787481030</f>
        <v>7787481030</v>
      </c>
      <c r="W72" s="65">
        <f>2547407159</f>
        <v>2547407159</v>
      </c>
      <c r="X72" s="69">
        <f>22</f>
        <v>22</v>
      </c>
    </row>
    <row r="73" spans="1:24">
      <c r="A73" s="60" t="s">
        <v>907</v>
      </c>
      <c r="B73" s="60" t="s">
        <v>259</v>
      </c>
      <c r="C73" s="60" t="s">
        <v>260</v>
      </c>
      <c r="D73" s="60" t="s">
        <v>261</v>
      </c>
      <c r="E73" s="61" t="s">
        <v>46</v>
      </c>
      <c r="F73" s="62" t="s">
        <v>46</v>
      </c>
      <c r="G73" s="63" t="s">
        <v>46</v>
      </c>
      <c r="H73" s="64"/>
      <c r="I73" s="64" t="s">
        <v>47</v>
      </c>
      <c r="J73" s="65">
        <v>1</v>
      </c>
      <c r="K73" s="66">
        <f>1856</f>
        <v>1856</v>
      </c>
      <c r="L73" s="67" t="s">
        <v>853</v>
      </c>
      <c r="M73" s="66">
        <f>1890</f>
        <v>1890</v>
      </c>
      <c r="N73" s="67" t="s">
        <v>854</v>
      </c>
      <c r="O73" s="66">
        <f>1810</f>
        <v>1810</v>
      </c>
      <c r="P73" s="67" t="s">
        <v>857</v>
      </c>
      <c r="Q73" s="66">
        <f>1875</f>
        <v>1875</v>
      </c>
      <c r="R73" s="67" t="s">
        <v>873</v>
      </c>
      <c r="S73" s="68">
        <f>1861.82</f>
        <v>1861.82</v>
      </c>
      <c r="T73" s="65">
        <f>163323</f>
        <v>163323</v>
      </c>
      <c r="U73" s="65">
        <f>101099</f>
        <v>101099</v>
      </c>
      <c r="V73" s="65">
        <f>305446141</f>
        <v>305446141</v>
      </c>
      <c r="W73" s="65">
        <f>189675511</f>
        <v>189675511</v>
      </c>
      <c r="X73" s="69">
        <f>22</f>
        <v>22</v>
      </c>
    </row>
    <row r="74" spans="1:24">
      <c r="A74" s="60" t="s">
        <v>907</v>
      </c>
      <c r="B74" s="60" t="s">
        <v>262</v>
      </c>
      <c r="C74" s="60" t="s">
        <v>263</v>
      </c>
      <c r="D74" s="60" t="s">
        <v>264</v>
      </c>
      <c r="E74" s="61" t="s">
        <v>46</v>
      </c>
      <c r="F74" s="62" t="s">
        <v>46</v>
      </c>
      <c r="G74" s="63" t="s">
        <v>46</v>
      </c>
      <c r="H74" s="64"/>
      <c r="I74" s="64" t="s">
        <v>47</v>
      </c>
      <c r="J74" s="65">
        <v>1</v>
      </c>
      <c r="K74" s="66">
        <f>2186</f>
        <v>2186</v>
      </c>
      <c r="L74" s="67" t="s">
        <v>853</v>
      </c>
      <c r="M74" s="66">
        <f>2227</f>
        <v>2227</v>
      </c>
      <c r="N74" s="67" t="s">
        <v>96</v>
      </c>
      <c r="O74" s="66">
        <f>2095</f>
        <v>2095</v>
      </c>
      <c r="P74" s="67" t="s">
        <v>268</v>
      </c>
      <c r="Q74" s="66">
        <f>2157</f>
        <v>2157</v>
      </c>
      <c r="R74" s="67" t="s">
        <v>873</v>
      </c>
      <c r="S74" s="68">
        <f>2179.27</f>
        <v>2179.27</v>
      </c>
      <c r="T74" s="65">
        <f>247111</f>
        <v>247111</v>
      </c>
      <c r="U74" s="65">
        <f>36567</f>
        <v>36567</v>
      </c>
      <c r="V74" s="65">
        <f>537575804</f>
        <v>537575804</v>
      </c>
      <c r="W74" s="65">
        <f>80254939</f>
        <v>80254939</v>
      </c>
      <c r="X74" s="69">
        <f>22</f>
        <v>22</v>
      </c>
    </row>
    <row r="75" spans="1:24">
      <c r="A75" s="60" t="s">
        <v>907</v>
      </c>
      <c r="B75" s="60" t="s">
        <v>265</v>
      </c>
      <c r="C75" s="60" t="s">
        <v>266</v>
      </c>
      <c r="D75" s="60" t="s">
        <v>267</v>
      </c>
      <c r="E75" s="61" t="s">
        <v>46</v>
      </c>
      <c r="F75" s="62" t="s">
        <v>46</v>
      </c>
      <c r="G75" s="63" t="s">
        <v>46</v>
      </c>
      <c r="H75" s="64"/>
      <c r="I75" s="64" t="s">
        <v>47</v>
      </c>
      <c r="J75" s="65">
        <v>1</v>
      </c>
      <c r="K75" s="66">
        <f>23740</f>
        <v>23740</v>
      </c>
      <c r="L75" s="67" t="s">
        <v>853</v>
      </c>
      <c r="M75" s="66">
        <f>24240</f>
        <v>24240</v>
      </c>
      <c r="N75" s="67" t="s">
        <v>69</v>
      </c>
      <c r="O75" s="66">
        <f>23150</f>
        <v>23150</v>
      </c>
      <c r="P75" s="67" t="s">
        <v>268</v>
      </c>
      <c r="Q75" s="66">
        <f>24110</f>
        <v>24110</v>
      </c>
      <c r="R75" s="67" t="s">
        <v>873</v>
      </c>
      <c r="S75" s="68">
        <f>23981.76</f>
        <v>23981.759999999998</v>
      </c>
      <c r="T75" s="65">
        <f>4123</f>
        <v>4123</v>
      </c>
      <c r="U75" s="65">
        <f>1</f>
        <v>1</v>
      </c>
      <c r="V75" s="65">
        <f>99306760</f>
        <v>99306760</v>
      </c>
      <c r="W75" s="65">
        <f>24240</f>
        <v>24240</v>
      </c>
      <c r="X75" s="69">
        <f>17</f>
        <v>17</v>
      </c>
    </row>
    <row r="76" spans="1:24">
      <c r="A76" s="60" t="s">
        <v>907</v>
      </c>
      <c r="B76" s="60" t="s">
        <v>269</v>
      </c>
      <c r="C76" s="60" t="s">
        <v>270</v>
      </c>
      <c r="D76" s="60" t="s">
        <v>271</v>
      </c>
      <c r="E76" s="61" t="s">
        <v>46</v>
      </c>
      <c r="F76" s="62" t="s">
        <v>46</v>
      </c>
      <c r="G76" s="63" t="s">
        <v>46</v>
      </c>
      <c r="H76" s="64"/>
      <c r="I76" s="64" t="s">
        <v>47</v>
      </c>
      <c r="J76" s="65">
        <v>1</v>
      </c>
      <c r="K76" s="66">
        <f>19260</f>
        <v>19260</v>
      </c>
      <c r="L76" s="67" t="s">
        <v>853</v>
      </c>
      <c r="M76" s="66">
        <f>19900</f>
        <v>19900</v>
      </c>
      <c r="N76" s="67" t="s">
        <v>854</v>
      </c>
      <c r="O76" s="66">
        <f>19060</f>
        <v>19060</v>
      </c>
      <c r="P76" s="67" t="s">
        <v>268</v>
      </c>
      <c r="Q76" s="66">
        <f>19610</f>
        <v>19610</v>
      </c>
      <c r="R76" s="67" t="s">
        <v>856</v>
      </c>
      <c r="S76" s="68">
        <f>19570.83</f>
        <v>19570.830000000002</v>
      </c>
      <c r="T76" s="65">
        <f>93</f>
        <v>93</v>
      </c>
      <c r="U76" s="65">
        <f>2</f>
        <v>2</v>
      </c>
      <c r="V76" s="65">
        <f>1797380</f>
        <v>1797380</v>
      </c>
      <c r="W76" s="65">
        <f>39520</f>
        <v>39520</v>
      </c>
      <c r="X76" s="69">
        <f>12</f>
        <v>12</v>
      </c>
    </row>
    <row r="77" spans="1:24">
      <c r="A77" s="60" t="s">
        <v>907</v>
      </c>
      <c r="B77" s="60" t="s">
        <v>272</v>
      </c>
      <c r="C77" s="60" t="s">
        <v>273</v>
      </c>
      <c r="D77" s="60" t="s">
        <v>274</v>
      </c>
      <c r="E77" s="61" t="s">
        <v>46</v>
      </c>
      <c r="F77" s="62" t="s">
        <v>46</v>
      </c>
      <c r="G77" s="63" t="s">
        <v>46</v>
      </c>
      <c r="H77" s="64"/>
      <c r="I77" s="64" t="s">
        <v>47</v>
      </c>
      <c r="J77" s="65">
        <v>1</v>
      </c>
      <c r="K77" s="66">
        <f>1914</f>
        <v>1914</v>
      </c>
      <c r="L77" s="67" t="s">
        <v>853</v>
      </c>
      <c r="M77" s="66">
        <f>1960</f>
        <v>1960</v>
      </c>
      <c r="N77" s="67" t="s">
        <v>88</v>
      </c>
      <c r="O77" s="66">
        <f>1885</f>
        <v>1885</v>
      </c>
      <c r="P77" s="67" t="s">
        <v>268</v>
      </c>
      <c r="Q77" s="66">
        <f>1941</f>
        <v>1941</v>
      </c>
      <c r="R77" s="67" t="s">
        <v>50</v>
      </c>
      <c r="S77" s="68">
        <f>1933.3</f>
        <v>1933.3</v>
      </c>
      <c r="T77" s="65">
        <f>1941</f>
        <v>1941</v>
      </c>
      <c r="U77" s="65">
        <f>5</f>
        <v>5</v>
      </c>
      <c r="V77" s="65">
        <f>3778185</f>
        <v>3778185</v>
      </c>
      <c r="W77" s="65">
        <f>9682</f>
        <v>9682</v>
      </c>
      <c r="X77" s="69">
        <f>20</f>
        <v>20</v>
      </c>
    </row>
    <row r="78" spans="1:24">
      <c r="A78" s="60" t="s">
        <v>907</v>
      </c>
      <c r="B78" s="60" t="s">
        <v>275</v>
      </c>
      <c r="C78" s="60" t="s">
        <v>276</v>
      </c>
      <c r="D78" s="60" t="s">
        <v>277</v>
      </c>
      <c r="E78" s="61" t="s">
        <v>46</v>
      </c>
      <c r="F78" s="62" t="s">
        <v>46</v>
      </c>
      <c r="G78" s="63" t="s">
        <v>46</v>
      </c>
      <c r="H78" s="64"/>
      <c r="I78" s="64" t="s">
        <v>47</v>
      </c>
      <c r="J78" s="65">
        <v>1</v>
      </c>
      <c r="K78" s="66">
        <f>2338</f>
        <v>2338</v>
      </c>
      <c r="L78" s="67" t="s">
        <v>853</v>
      </c>
      <c r="M78" s="66">
        <f>2376</f>
        <v>2376</v>
      </c>
      <c r="N78" s="67" t="s">
        <v>268</v>
      </c>
      <c r="O78" s="66">
        <f>2331</f>
        <v>2331</v>
      </c>
      <c r="P78" s="67" t="s">
        <v>48</v>
      </c>
      <c r="Q78" s="66">
        <f>2354</f>
        <v>2354</v>
      </c>
      <c r="R78" s="67" t="s">
        <v>873</v>
      </c>
      <c r="S78" s="68">
        <f>2350.59</f>
        <v>2350.59</v>
      </c>
      <c r="T78" s="65">
        <f>3255172</f>
        <v>3255172</v>
      </c>
      <c r="U78" s="65">
        <f>322000</f>
        <v>322000</v>
      </c>
      <c r="V78" s="65">
        <f>7684772225</f>
        <v>7684772225</v>
      </c>
      <c r="W78" s="65">
        <f>758511500</f>
        <v>758511500</v>
      </c>
      <c r="X78" s="69">
        <f>22</f>
        <v>22</v>
      </c>
    </row>
    <row r="79" spans="1:24">
      <c r="A79" s="60" t="s">
        <v>907</v>
      </c>
      <c r="B79" s="60" t="s">
        <v>278</v>
      </c>
      <c r="C79" s="60" t="s">
        <v>279</v>
      </c>
      <c r="D79" s="60" t="s">
        <v>280</v>
      </c>
      <c r="E79" s="61" t="s">
        <v>46</v>
      </c>
      <c r="F79" s="62" t="s">
        <v>46</v>
      </c>
      <c r="G79" s="63" t="s">
        <v>46</v>
      </c>
      <c r="H79" s="64"/>
      <c r="I79" s="64" t="s">
        <v>47</v>
      </c>
      <c r="J79" s="65">
        <v>1</v>
      </c>
      <c r="K79" s="66">
        <f>1868</f>
        <v>1868</v>
      </c>
      <c r="L79" s="67" t="s">
        <v>853</v>
      </c>
      <c r="M79" s="66">
        <f>1910</f>
        <v>1910</v>
      </c>
      <c r="N79" s="67" t="s">
        <v>854</v>
      </c>
      <c r="O79" s="66">
        <f>1844</f>
        <v>1844</v>
      </c>
      <c r="P79" s="67" t="s">
        <v>857</v>
      </c>
      <c r="Q79" s="66">
        <f>1881</f>
        <v>1881</v>
      </c>
      <c r="R79" s="67" t="s">
        <v>873</v>
      </c>
      <c r="S79" s="68">
        <f>1890.62</f>
        <v>1890.62</v>
      </c>
      <c r="T79" s="65">
        <f>657</f>
        <v>657</v>
      </c>
      <c r="U79" s="65">
        <f>2</f>
        <v>2</v>
      </c>
      <c r="V79" s="65">
        <f>1238632</f>
        <v>1238632</v>
      </c>
      <c r="W79" s="65">
        <f>3818</f>
        <v>3818</v>
      </c>
      <c r="X79" s="69">
        <f>21</f>
        <v>21</v>
      </c>
    </row>
    <row r="80" spans="1:24">
      <c r="A80" s="60" t="s">
        <v>907</v>
      </c>
      <c r="B80" s="60" t="s">
        <v>281</v>
      </c>
      <c r="C80" s="60" t="s">
        <v>282</v>
      </c>
      <c r="D80" s="60" t="s">
        <v>283</v>
      </c>
      <c r="E80" s="61" t="s">
        <v>46</v>
      </c>
      <c r="F80" s="62" t="s">
        <v>46</v>
      </c>
      <c r="G80" s="63" t="s">
        <v>46</v>
      </c>
      <c r="H80" s="64"/>
      <c r="I80" s="64" t="s">
        <v>47</v>
      </c>
      <c r="J80" s="65">
        <v>10</v>
      </c>
      <c r="K80" s="66">
        <f>1916</f>
        <v>1916</v>
      </c>
      <c r="L80" s="67" t="s">
        <v>857</v>
      </c>
      <c r="M80" s="66">
        <f>1930</f>
        <v>1930</v>
      </c>
      <c r="N80" s="67" t="s">
        <v>69</v>
      </c>
      <c r="O80" s="66">
        <f>1860</f>
        <v>1860</v>
      </c>
      <c r="P80" s="67" t="s">
        <v>268</v>
      </c>
      <c r="Q80" s="66">
        <f>1918</f>
        <v>1918</v>
      </c>
      <c r="R80" s="67" t="s">
        <v>176</v>
      </c>
      <c r="S80" s="68">
        <f>1906</f>
        <v>1906</v>
      </c>
      <c r="T80" s="65">
        <f>1840</f>
        <v>1840</v>
      </c>
      <c r="U80" s="65">
        <f>20</f>
        <v>20</v>
      </c>
      <c r="V80" s="65">
        <f>3485480</f>
        <v>3485480</v>
      </c>
      <c r="W80" s="65">
        <f>38600</f>
        <v>38600</v>
      </c>
      <c r="X80" s="69">
        <f>11</f>
        <v>11</v>
      </c>
    </row>
    <row r="81" spans="1:24">
      <c r="A81" s="60" t="s">
        <v>907</v>
      </c>
      <c r="B81" s="60" t="s">
        <v>284</v>
      </c>
      <c r="C81" s="60" t="s">
        <v>285</v>
      </c>
      <c r="D81" s="60" t="s">
        <v>286</v>
      </c>
      <c r="E81" s="61" t="s">
        <v>46</v>
      </c>
      <c r="F81" s="62" t="s">
        <v>46</v>
      </c>
      <c r="G81" s="63" t="s">
        <v>46</v>
      </c>
      <c r="H81" s="64"/>
      <c r="I81" s="64" t="s">
        <v>47</v>
      </c>
      <c r="J81" s="65">
        <v>1</v>
      </c>
      <c r="K81" s="66">
        <f>30500</f>
        <v>30500</v>
      </c>
      <c r="L81" s="67" t="s">
        <v>857</v>
      </c>
      <c r="M81" s="66">
        <f>30500</f>
        <v>30500</v>
      </c>
      <c r="N81" s="67" t="s">
        <v>857</v>
      </c>
      <c r="O81" s="66">
        <f>30500</f>
        <v>30500</v>
      </c>
      <c r="P81" s="67" t="s">
        <v>857</v>
      </c>
      <c r="Q81" s="66">
        <f>30500</f>
        <v>30500</v>
      </c>
      <c r="R81" s="67" t="s">
        <v>857</v>
      </c>
      <c r="S81" s="68">
        <f>30500</f>
        <v>30500</v>
      </c>
      <c r="T81" s="65">
        <f>1</f>
        <v>1</v>
      </c>
      <c r="U81" s="65" t="str">
        <f>"－"</f>
        <v>－</v>
      </c>
      <c r="V81" s="65">
        <f>30500</f>
        <v>30500</v>
      </c>
      <c r="W81" s="65" t="str">
        <f>"－"</f>
        <v>－</v>
      </c>
      <c r="X81" s="69">
        <f>1</f>
        <v>1</v>
      </c>
    </row>
    <row r="82" spans="1:24">
      <c r="A82" s="60" t="s">
        <v>907</v>
      </c>
      <c r="B82" s="60" t="s">
        <v>287</v>
      </c>
      <c r="C82" s="60" t="s">
        <v>288</v>
      </c>
      <c r="D82" s="60" t="s">
        <v>289</v>
      </c>
      <c r="E82" s="61" t="s">
        <v>46</v>
      </c>
      <c r="F82" s="62" t="s">
        <v>46</v>
      </c>
      <c r="G82" s="63" t="s">
        <v>46</v>
      </c>
      <c r="H82" s="64"/>
      <c r="I82" s="64" t="s">
        <v>47</v>
      </c>
      <c r="J82" s="65">
        <v>1</v>
      </c>
      <c r="K82" s="66">
        <f>21260</f>
        <v>21260</v>
      </c>
      <c r="L82" s="67" t="s">
        <v>853</v>
      </c>
      <c r="M82" s="66">
        <f>21970</f>
        <v>21970</v>
      </c>
      <c r="N82" s="67" t="s">
        <v>176</v>
      </c>
      <c r="O82" s="66">
        <f>21170</f>
        <v>21170</v>
      </c>
      <c r="P82" s="67" t="s">
        <v>853</v>
      </c>
      <c r="Q82" s="66">
        <f>21570</f>
        <v>21570</v>
      </c>
      <c r="R82" s="67" t="s">
        <v>873</v>
      </c>
      <c r="S82" s="68">
        <f>21462.73</f>
        <v>21462.73</v>
      </c>
      <c r="T82" s="65">
        <f>96831</f>
        <v>96831</v>
      </c>
      <c r="U82" s="65">
        <f>6966</f>
        <v>6966</v>
      </c>
      <c r="V82" s="65">
        <f>2073803150</f>
        <v>2073803150</v>
      </c>
      <c r="W82" s="65">
        <f>149939350</f>
        <v>149939350</v>
      </c>
      <c r="X82" s="69">
        <f>22</f>
        <v>22</v>
      </c>
    </row>
    <row r="83" spans="1:24">
      <c r="A83" s="60" t="s">
        <v>907</v>
      </c>
      <c r="B83" s="60" t="s">
        <v>290</v>
      </c>
      <c r="C83" s="60" t="s">
        <v>291</v>
      </c>
      <c r="D83" s="60" t="s">
        <v>292</v>
      </c>
      <c r="E83" s="61" t="s">
        <v>46</v>
      </c>
      <c r="F83" s="62" t="s">
        <v>46</v>
      </c>
      <c r="G83" s="63" t="s">
        <v>46</v>
      </c>
      <c r="H83" s="64"/>
      <c r="I83" s="64" t="s">
        <v>47</v>
      </c>
      <c r="J83" s="65">
        <v>1</v>
      </c>
      <c r="K83" s="66">
        <f>18290</f>
        <v>18290</v>
      </c>
      <c r="L83" s="67" t="s">
        <v>853</v>
      </c>
      <c r="M83" s="66">
        <f>18670</f>
        <v>18670</v>
      </c>
      <c r="N83" s="67" t="s">
        <v>268</v>
      </c>
      <c r="O83" s="66">
        <f>18240</f>
        <v>18240</v>
      </c>
      <c r="P83" s="67" t="s">
        <v>48</v>
      </c>
      <c r="Q83" s="66">
        <f>18410</f>
        <v>18410</v>
      </c>
      <c r="R83" s="67" t="s">
        <v>873</v>
      </c>
      <c r="S83" s="68">
        <f>18392.27</f>
        <v>18392.27</v>
      </c>
      <c r="T83" s="65">
        <f>492645</f>
        <v>492645</v>
      </c>
      <c r="U83" s="65">
        <f>100000</f>
        <v>100000</v>
      </c>
      <c r="V83" s="65">
        <f>9060759530</f>
        <v>9060759530</v>
      </c>
      <c r="W83" s="65">
        <f>1832300000</f>
        <v>1832300000</v>
      </c>
      <c r="X83" s="69">
        <f>22</f>
        <v>22</v>
      </c>
    </row>
    <row r="84" spans="1:24">
      <c r="A84" s="60" t="s">
        <v>907</v>
      </c>
      <c r="B84" s="60" t="s">
        <v>293</v>
      </c>
      <c r="C84" s="60" t="s">
        <v>294</v>
      </c>
      <c r="D84" s="60" t="s">
        <v>295</v>
      </c>
      <c r="E84" s="61" t="s">
        <v>46</v>
      </c>
      <c r="F84" s="62" t="s">
        <v>46</v>
      </c>
      <c r="G84" s="63" t="s">
        <v>46</v>
      </c>
      <c r="H84" s="64"/>
      <c r="I84" s="64" t="s">
        <v>47</v>
      </c>
      <c r="J84" s="65">
        <v>10</v>
      </c>
      <c r="K84" s="66">
        <f>2138</f>
        <v>2138</v>
      </c>
      <c r="L84" s="67" t="s">
        <v>853</v>
      </c>
      <c r="M84" s="66">
        <f>2230</f>
        <v>2230</v>
      </c>
      <c r="N84" s="67" t="s">
        <v>873</v>
      </c>
      <c r="O84" s="66">
        <f>2124</f>
        <v>2124</v>
      </c>
      <c r="P84" s="67" t="s">
        <v>853</v>
      </c>
      <c r="Q84" s="66">
        <f>2211</f>
        <v>2211</v>
      </c>
      <c r="R84" s="67" t="s">
        <v>873</v>
      </c>
      <c r="S84" s="68">
        <f>2189.5</f>
        <v>2189.5</v>
      </c>
      <c r="T84" s="65">
        <f>6369820</f>
        <v>6369820</v>
      </c>
      <c r="U84" s="65">
        <f>592650</f>
        <v>592650</v>
      </c>
      <c r="V84" s="65">
        <f>13989524610</f>
        <v>13989524610</v>
      </c>
      <c r="W84" s="65">
        <f>1297496530</f>
        <v>1297496530</v>
      </c>
      <c r="X84" s="69">
        <f>22</f>
        <v>22</v>
      </c>
    </row>
    <row r="85" spans="1:24">
      <c r="A85" s="60" t="s">
        <v>907</v>
      </c>
      <c r="B85" s="60" t="s">
        <v>296</v>
      </c>
      <c r="C85" s="60" t="s">
        <v>297</v>
      </c>
      <c r="D85" s="60" t="s">
        <v>298</v>
      </c>
      <c r="E85" s="61" t="s">
        <v>46</v>
      </c>
      <c r="F85" s="62" t="s">
        <v>46</v>
      </c>
      <c r="G85" s="63" t="s">
        <v>46</v>
      </c>
      <c r="H85" s="64"/>
      <c r="I85" s="64" t="s">
        <v>47</v>
      </c>
      <c r="J85" s="65">
        <v>1</v>
      </c>
      <c r="K85" s="66">
        <f>35700</f>
        <v>35700</v>
      </c>
      <c r="L85" s="67" t="s">
        <v>853</v>
      </c>
      <c r="M85" s="66">
        <f>36250</f>
        <v>36250</v>
      </c>
      <c r="N85" s="67" t="s">
        <v>172</v>
      </c>
      <c r="O85" s="66">
        <f>34200</f>
        <v>34200</v>
      </c>
      <c r="P85" s="67" t="s">
        <v>268</v>
      </c>
      <c r="Q85" s="66">
        <f>35000</f>
        <v>35000</v>
      </c>
      <c r="R85" s="67" t="s">
        <v>873</v>
      </c>
      <c r="S85" s="68">
        <f>35543.18</f>
        <v>35543.18</v>
      </c>
      <c r="T85" s="65">
        <f>22771</f>
        <v>22771</v>
      </c>
      <c r="U85" s="65">
        <f>1205</f>
        <v>1205</v>
      </c>
      <c r="V85" s="65">
        <f>800544650</f>
        <v>800544650</v>
      </c>
      <c r="W85" s="65">
        <f>43252000</f>
        <v>43252000</v>
      </c>
      <c r="X85" s="69">
        <f>22</f>
        <v>22</v>
      </c>
    </row>
    <row r="86" spans="1:24">
      <c r="A86" s="60" t="s">
        <v>907</v>
      </c>
      <c r="B86" s="60" t="s">
        <v>299</v>
      </c>
      <c r="C86" s="60" t="s">
        <v>300</v>
      </c>
      <c r="D86" s="60" t="s">
        <v>301</v>
      </c>
      <c r="E86" s="61" t="s">
        <v>46</v>
      </c>
      <c r="F86" s="62" t="s">
        <v>46</v>
      </c>
      <c r="G86" s="63" t="s">
        <v>46</v>
      </c>
      <c r="H86" s="64"/>
      <c r="I86" s="64" t="s">
        <v>47</v>
      </c>
      <c r="J86" s="65">
        <v>10</v>
      </c>
      <c r="K86" s="66">
        <f>7960</f>
        <v>7960</v>
      </c>
      <c r="L86" s="67" t="s">
        <v>853</v>
      </c>
      <c r="M86" s="66">
        <f>7960</f>
        <v>7960</v>
      </c>
      <c r="N86" s="67" t="s">
        <v>853</v>
      </c>
      <c r="O86" s="66">
        <f>7600</f>
        <v>7600</v>
      </c>
      <c r="P86" s="67" t="s">
        <v>856</v>
      </c>
      <c r="Q86" s="66">
        <f>7600</f>
        <v>7600</v>
      </c>
      <c r="R86" s="67" t="s">
        <v>856</v>
      </c>
      <c r="S86" s="68">
        <f>7728.57</f>
        <v>7728.57</v>
      </c>
      <c r="T86" s="65">
        <f>28200</f>
        <v>28200</v>
      </c>
      <c r="U86" s="65">
        <f>26020</f>
        <v>26020</v>
      </c>
      <c r="V86" s="65">
        <f>218137400</f>
        <v>218137400</v>
      </c>
      <c r="W86" s="65">
        <f>201290000</f>
        <v>201290000</v>
      </c>
      <c r="X86" s="69">
        <f>7</f>
        <v>7</v>
      </c>
    </row>
    <row r="87" spans="1:24">
      <c r="A87" s="60" t="s">
        <v>907</v>
      </c>
      <c r="B87" s="60" t="s">
        <v>302</v>
      </c>
      <c r="C87" s="60" t="s">
        <v>303</v>
      </c>
      <c r="D87" s="60" t="s">
        <v>304</v>
      </c>
      <c r="E87" s="61" t="s">
        <v>46</v>
      </c>
      <c r="F87" s="62" t="s">
        <v>46</v>
      </c>
      <c r="G87" s="63" t="s">
        <v>46</v>
      </c>
      <c r="H87" s="64"/>
      <c r="I87" s="64" t="s">
        <v>47</v>
      </c>
      <c r="J87" s="65">
        <v>1</v>
      </c>
      <c r="K87" s="66">
        <f>16030</f>
        <v>16030</v>
      </c>
      <c r="L87" s="67" t="s">
        <v>853</v>
      </c>
      <c r="M87" s="66">
        <f>16510</f>
        <v>16510</v>
      </c>
      <c r="N87" s="67" t="s">
        <v>88</v>
      </c>
      <c r="O87" s="66">
        <f>15940</f>
        <v>15940</v>
      </c>
      <c r="P87" s="67" t="s">
        <v>48</v>
      </c>
      <c r="Q87" s="66">
        <f>16470</f>
        <v>16470</v>
      </c>
      <c r="R87" s="67" t="s">
        <v>873</v>
      </c>
      <c r="S87" s="68">
        <f>16330.91</f>
        <v>16330.91</v>
      </c>
      <c r="T87" s="65">
        <f>1236</f>
        <v>1236</v>
      </c>
      <c r="U87" s="65">
        <f>4</f>
        <v>4</v>
      </c>
      <c r="V87" s="65">
        <f>20184270</f>
        <v>20184270</v>
      </c>
      <c r="W87" s="65">
        <f>64910</f>
        <v>64910</v>
      </c>
      <c r="X87" s="69">
        <f>22</f>
        <v>22</v>
      </c>
    </row>
    <row r="88" spans="1:24">
      <c r="A88" s="60" t="s">
        <v>907</v>
      </c>
      <c r="B88" s="60" t="s">
        <v>305</v>
      </c>
      <c r="C88" s="60" t="s">
        <v>306</v>
      </c>
      <c r="D88" s="60" t="s">
        <v>307</v>
      </c>
      <c r="E88" s="61" t="s">
        <v>46</v>
      </c>
      <c r="F88" s="62" t="s">
        <v>46</v>
      </c>
      <c r="G88" s="63" t="s">
        <v>46</v>
      </c>
      <c r="H88" s="64"/>
      <c r="I88" s="64" t="s">
        <v>47</v>
      </c>
      <c r="J88" s="65">
        <v>1</v>
      </c>
      <c r="K88" s="66">
        <f>16150</f>
        <v>16150</v>
      </c>
      <c r="L88" s="67" t="s">
        <v>853</v>
      </c>
      <c r="M88" s="66">
        <f>16720</f>
        <v>16720</v>
      </c>
      <c r="N88" s="67" t="s">
        <v>50</v>
      </c>
      <c r="O88" s="66">
        <f>16000</f>
        <v>16000</v>
      </c>
      <c r="P88" s="67" t="s">
        <v>853</v>
      </c>
      <c r="Q88" s="66">
        <f>16610</f>
        <v>16610</v>
      </c>
      <c r="R88" s="67" t="s">
        <v>873</v>
      </c>
      <c r="S88" s="68">
        <f>16434.55</f>
        <v>16434.55</v>
      </c>
      <c r="T88" s="65">
        <f>567</f>
        <v>567</v>
      </c>
      <c r="U88" s="65">
        <f>3</f>
        <v>3</v>
      </c>
      <c r="V88" s="65">
        <f>9286610</f>
        <v>9286610</v>
      </c>
      <c r="W88" s="65">
        <f>49600</f>
        <v>49600</v>
      </c>
      <c r="X88" s="69">
        <f>22</f>
        <v>22</v>
      </c>
    </row>
    <row r="89" spans="1:24">
      <c r="A89" s="60" t="s">
        <v>907</v>
      </c>
      <c r="B89" s="60" t="s">
        <v>308</v>
      </c>
      <c r="C89" s="60" t="s">
        <v>309</v>
      </c>
      <c r="D89" s="60" t="s">
        <v>310</v>
      </c>
      <c r="E89" s="61" t="s">
        <v>46</v>
      </c>
      <c r="F89" s="62" t="s">
        <v>46</v>
      </c>
      <c r="G89" s="63" t="s">
        <v>46</v>
      </c>
      <c r="H89" s="64"/>
      <c r="I89" s="64" t="s">
        <v>47</v>
      </c>
      <c r="J89" s="65">
        <v>1</v>
      </c>
      <c r="K89" s="66">
        <f>19370</f>
        <v>19370</v>
      </c>
      <c r="L89" s="67" t="s">
        <v>853</v>
      </c>
      <c r="M89" s="66">
        <f>19680</f>
        <v>19680</v>
      </c>
      <c r="N89" s="67" t="s">
        <v>50</v>
      </c>
      <c r="O89" s="66">
        <f>18570</f>
        <v>18570</v>
      </c>
      <c r="P89" s="67" t="s">
        <v>268</v>
      </c>
      <c r="Q89" s="66">
        <f>19140</f>
        <v>19140</v>
      </c>
      <c r="R89" s="67" t="s">
        <v>873</v>
      </c>
      <c r="S89" s="68">
        <f>19283.18</f>
        <v>19283.18</v>
      </c>
      <c r="T89" s="65">
        <f>16493</f>
        <v>16493</v>
      </c>
      <c r="U89" s="65">
        <f>6560</f>
        <v>6560</v>
      </c>
      <c r="V89" s="65">
        <f>317342128</f>
        <v>317342128</v>
      </c>
      <c r="W89" s="65">
        <f>127252748</f>
        <v>127252748</v>
      </c>
      <c r="X89" s="69">
        <f>22</f>
        <v>22</v>
      </c>
    </row>
    <row r="90" spans="1:24">
      <c r="A90" s="60" t="s">
        <v>907</v>
      </c>
      <c r="B90" s="60" t="s">
        <v>311</v>
      </c>
      <c r="C90" s="60" t="s">
        <v>312</v>
      </c>
      <c r="D90" s="60" t="s">
        <v>313</v>
      </c>
      <c r="E90" s="61" t="s">
        <v>46</v>
      </c>
      <c r="F90" s="62" t="s">
        <v>46</v>
      </c>
      <c r="G90" s="63" t="s">
        <v>46</v>
      </c>
      <c r="H90" s="64"/>
      <c r="I90" s="64" t="s">
        <v>47</v>
      </c>
      <c r="J90" s="65">
        <v>10</v>
      </c>
      <c r="K90" s="66">
        <f>10450</f>
        <v>10450</v>
      </c>
      <c r="L90" s="67" t="s">
        <v>853</v>
      </c>
      <c r="M90" s="66">
        <f>10800</f>
        <v>10800</v>
      </c>
      <c r="N90" s="67" t="s">
        <v>49</v>
      </c>
      <c r="O90" s="66">
        <f>10310</f>
        <v>10310</v>
      </c>
      <c r="P90" s="67" t="s">
        <v>268</v>
      </c>
      <c r="Q90" s="66">
        <f>10640</f>
        <v>10640</v>
      </c>
      <c r="R90" s="67" t="s">
        <v>873</v>
      </c>
      <c r="S90" s="68">
        <f>10614.09</f>
        <v>10614.09</v>
      </c>
      <c r="T90" s="65">
        <f>18180</f>
        <v>18180</v>
      </c>
      <c r="U90" s="65">
        <f>9740</f>
        <v>9740</v>
      </c>
      <c r="V90" s="65">
        <f>190957100</f>
        <v>190957100</v>
      </c>
      <c r="W90" s="65">
        <f>101575000</f>
        <v>101575000</v>
      </c>
      <c r="X90" s="69">
        <f>22</f>
        <v>22</v>
      </c>
    </row>
    <row r="91" spans="1:24">
      <c r="A91" s="60" t="s">
        <v>907</v>
      </c>
      <c r="B91" s="60" t="s">
        <v>314</v>
      </c>
      <c r="C91" s="60" t="s">
        <v>315</v>
      </c>
      <c r="D91" s="60" t="s">
        <v>316</v>
      </c>
      <c r="E91" s="61" t="s">
        <v>46</v>
      </c>
      <c r="F91" s="62" t="s">
        <v>46</v>
      </c>
      <c r="G91" s="63" t="s">
        <v>46</v>
      </c>
      <c r="H91" s="64"/>
      <c r="I91" s="64" t="s">
        <v>47</v>
      </c>
      <c r="J91" s="65">
        <v>1</v>
      </c>
      <c r="K91" s="66">
        <f>2560</f>
        <v>2560</v>
      </c>
      <c r="L91" s="67" t="s">
        <v>853</v>
      </c>
      <c r="M91" s="66">
        <f>2625</f>
        <v>2625</v>
      </c>
      <c r="N91" s="67" t="s">
        <v>268</v>
      </c>
      <c r="O91" s="66">
        <f>2546</f>
        <v>2546</v>
      </c>
      <c r="P91" s="67" t="s">
        <v>48</v>
      </c>
      <c r="Q91" s="66">
        <f>2606</f>
        <v>2606</v>
      </c>
      <c r="R91" s="67" t="s">
        <v>873</v>
      </c>
      <c r="S91" s="68">
        <f>2582.91</f>
        <v>2582.91</v>
      </c>
      <c r="T91" s="65">
        <f>286720</f>
        <v>286720</v>
      </c>
      <c r="U91" s="65">
        <f>230010</f>
        <v>230010</v>
      </c>
      <c r="V91" s="65">
        <f>746172798</f>
        <v>746172798</v>
      </c>
      <c r="W91" s="65">
        <f>599819788</f>
        <v>599819788</v>
      </c>
      <c r="X91" s="69">
        <f>22</f>
        <v>22</v>
      </c>
    </row>
    <row r="92" spans="1:24">
      <c r="A92" s="60" t="s">
        <v>907</v>
      </c>
      <c r="B92" s="60" t="s">
        <v>317</v>
      </c>
      <c r="C92" s="60" t="s">
        <v>318</v>
      </c>
      <c r="D92" s="60" t="s">
        <v>319</v>
      </c>
      <c r="E92" s="61" t="s">
        <v>46</v>
      </c>
      <c r="F92" s="62" t="s">
        <v>46</v>
      </c>
      <c r="G92" s="63" t="s">
        <v>46</v>
      </c>
      <c r="H92" s="64"/>
      <c r="I92" s="64" t="s">
        <v>47</v>
      </c>
      <c r="J92" s="65">
        <v>1</v>
      </c>
      <c r="K92" s="66">
        <f>2360</f>
        <v>2360</v>
      </c>
      <c r="L92" s="67" t="s">
        <v>853</v>
      </c>
      <c r="M92" s="66">
        <f>2388</f>
        <v>2388</v>
      </c>
      <c r="N92" s="67" t="s">
        <v>873</v>
      </c>
      <c r="O92" s="66">
        <f>2358</f>
        <v>2358</v>
      </c>
      <c r="P92" s="67" t="s">
        <v>853</v>
      </c>
      <c r="Q92" s="66">
        <f>2388</f>
        <v>2388</v>
      </c>
      <c r="R92" s="67" t="s">
        <v>873</v>
      </c>
      <c r="S92" s="68">
        <f>2373.09</f>
        <v>2373.09</v>
      </c>
      <c r="T92" s="65">
        <f>274866</f>
        <v>274866</v>
      </c>
      <c r="U92" s="65">
        <f>210002</f>
        <v>210002</v>
      </c>
      <c r="V92" s="65">
        <f>655964352</f>
        <v>655964352</v>
      </c>
      <c r="W92" s="65">
        <f>502009722</f>
        <v>502009722</v>
      </c>
      <c r="X92" s="69">
        <f>22</f>
        <v>22</v>
      </c>
    </row>
    <row r="93" spans="1:24">
      <c r="A93" s="60" t="s">
        <v>907</v>
      </c>
      <c r="B93" s="60" t="s">
        <v>320</v>
      </c>
      <c r="C93" s="60" t="s">
        <v>321</v>
      </c>
      <c r="D93" s="60" t="s">
        <v>322</v>
      </c>
      <c r="E93" s="61" t="s">
        <v>46</v>
      </c>
      <c r="F93" s="62" t="s">
        <v>46</v>
      </c>
      <c r="G93" s="63" t="s">
        <v>46</v>
      </c>
      <c r="H93" s="64"/>
      <c r="I93" s="64" t="s">
        <v>47</v>
      </c>
      <c r="J93" s="65">
        <v>1</v>
      </c>
      <c r="K93" s="66">
        <f>15060</f>
        <v>15060</v>
      </c>
      <c r="L93" s="67" t="s">
        <v>853</v>
      </c>
      <c r="M93" s="66">
        <f>15250</f>
        <v>15250</v>
      </c>
      <c r="N93" s="67" t="s">
        <v>854</v>
      </c>
      <c r="O93" s="66">
        <f>14480</f>
        <v>14480</v>
      </c>
      <c r="P93" s="67" t="s">
        <v>268</v>
      </c>
      <c r="Q93" s="66">
        <f>14930</f>
        <v>14930</v>
      </c>
      <c r="R93" s="67" t="s">
        <v>873</v>
      </c>
      <c r="S93" s="68">
        <f>15017.73</f>
        <v>15017.73</v>
      </c>
      <c r="T93" s="65">
        <f>14845</f>
        <v>14845</v>
      </c>
      <c r="U93" s="65">
        <f>3353</f>
        <v>3353</v>
      </c>
      <c r="V93" s="65">
        <f>220896872</f>
        <v>220896872</v>
      </c>
      <c r="W93" s="65">
        <f>49981112</f>
        <v>49981112</v>
      </c>
      <c r="X93" s="69">
        <f>22</f>
        <v>22</v>
      </c>
    </row>
    <row r="94" spans="1:24">
      <c r="A94" s="60" t="s">
        <v>907</v>
      </c>
      <c r="B94" s="60" t="s">
        <v>323</v>
      </c>
      <c r="C94" s="60" t="s">
        <v>324</v>
      </c>
      <c r="D94" s="60" t="s">
        <v>325</v>
      </c>
      <c r="E94" s="61" t="s">
        <v>46</v>
      </c>
      <c r="F94" s="62" t="s">
        <v>46</v>
      </c>
      <c r="G94" s="63" t="s">
        <v>46</v>
      </c>
      <c r="H94" s="64"/>
      <c r="I94" s="64" t="s">
        <v>47</v>
      </c>
      <c r="J94" s="65">
        <v>1</v>
      </c>
      <c r="K94" s="66">
        <f>8600</f>
        <v>8600</v>
      </c>
      <c r="L94" s="67" t="s">
        <v>853</v>
      </c>
      <c r="M94" s="66">
        <f>9040</f>
        <v>9040</v>
      </c>
      <c r="N94" s="67" t="s">
        <v>860</v>
      </c>
      <c r="O94" s="66">
        <f>8280</f>
        <v>8280</v>
      </c>
      <c r="P94" s="67" t="s">
        <v>873</v>
      </c>
      <c r="Q94" s="66">
        <f>8290</f>
        <v>8290</v>
      </c>
      <c r="R94" s="67" t="s">
        <v>873</v>
      </c>
      <c r="S94" s="68">
        <f>8772.73</f>
        <v>8772.73</v>
      </c>
      <c r="T94" s="65">
        <f>6601</f>
        <v>6601</v>
      </c>
      <c r="U94" s="65">
        <f>12</f>
        <v>12</v>
      </c>
      <c r="V94" s="65">
        <f>57016840</f>
        <v>57016840</v>
      </c>
      <c r="W94" s="65">
        <f>104910</f>
        <v>104910</v>
      </c>
      <c r="X94" s="69">
        <f>22</f>
        <v>22</v>
      </c>
    </row>
    <row r="95" spans="1:24">
      <c r="A95" s="60" t="s">
        <v>907</v>
      </c>
      <c r="B95" s="60" t="s">
        <v>326</v>
      </c>
      <c r="C95" s="60" t="s">
        <v>327</v>
      </c>
      <c r="D95" s="60" t="s">
        <v>328</v>
      </c>
      <c r="E95" s="61" t="s">
        <v>46</v>
      </c>
      <c r="F95" s="62" t="s">
        <v>46</v>
      </c>
      <c r="G95" s="63" t="s">
        <v>46</v>
      </c>
      <c r="H95" s="64"/>
      <c r="I95" s="64" t="s">
        <v>47</v>
      </c>
      <c r="J95" s="65">
        <v>1</v>
      </c>
      <c r="K95" s="66">
        <f>6400</f>
        <v>6400</v>
      </c>
      <c r="L95" s="67" t="s">
        <v>853</v>
      </c>
      <c r="M95" s="66">
        <f>6430</f>
        <v>6430</v>
      </c>
      <c r="N95" s="67" t="s">
        <v>853</v>
      </c>
      <c r="O95" s="66">
        <f>5910</f>
        <v>5910</v>
      </c>
      <c r="P95" s="67" t="s">
        <v>100</v>
      </c>
      <c r="Q95" s="66">
        <f>5960</f>
        <v>5960</v>
      </c>
      <c r="R95" s="67" t="s">
        <v>873</v>
      </c>
      <c r="S95" s="68">
        <f>6166.82</f>
        <v>6166.82</v>
      </c>
      <c r="T95" s="65">
        <f>4263362</f>
        <v>4263362</v>
      </c>
      <c r="U95" s="65">
        <f>131503</f>
        <v>131503</v>
      </c>
      <c r="V95" s="65">
        <f>26265527157</f>
        <v>26265527157</v>
      </c>
      <c r="W95" s="65">
        <f>808482247</f>
        <v>808482247</v>
      </c>
      <c r="X95" s="69">
        <f>22</f>
        <v>22</v>
      </c>
    </row>
    <row r="96" spans="1:24">
      <c r="A96" s="60" t="s">
        <v>907</v>
      </c>
      <c r="B96" s="60" t="s">
        <v>329</v>
      </c>
      <c r="C96" s="60" t="s">
        <v>330</v>
      </c>
      <c r="D96" s="60" t="s">
        <v>331</v>
      </c>
      <c r="E96" s="61" t="s">
        <v>46</v>
      </c>
      <c r="F96" s="62" t="s">
        <v>46</v>
      </c>
      <c r="G96" s="63" t="s">
        <v>46</v>
      </c>
      <c r="H96" s="64"/>
      <c r="I96" s="64" t="s">
        <v>47</v>
      </c>
      <c r="J96" s="65">
        <v>1</v>
      </c>
      <c r="K96" s="66">
        <f>3935</f>
        <v>3935</v>
      </c>
      <c r="L96" s="67" t="s">
        <v>853</v>
      </c>
      <c r="M96" s="66">
        <f>3955</f>
        <v>3955</v>
      </c>
      <c r="N96" s="67" t="s">
        <v>858</v>
      </c>
      <c r="O96" s="66">
        <f>3405</f>
        <v>3405</v>
      </c>
      <c r="P96" s="67" t="s">
        <v>268</v>
      </c>
      <c r="Q96" s="66">
        <f>3560</f>
        <v>3560</v>
      </c>
      <c r="R96" s="67" t="s">
        <v>873</v>
      </c>
      <c r="S96" s="68">
        <f>3739.09</f>
        <v>3739.09</v>
      </c>
      <c r="T96" s="65">
        <f>1119685</f>
        <v>1119685</v>
      </c>
      <c r="U96" s="65">
        <f>34</f>
        <v>34</v>
      </c>
      <c r="V96" s="65">
        <f>4154940980</f>
        <v>4154940980</v>
      </c>
      <c r="W96" s="65">
        <f>131900</f>
        <v>131900</v>
      </c>
      <c r="X96" s="69">
        <f>22</f>
        <v>22</v>
      </c>
    </row>
    <row r="97" spans="1:24">
      <c r="A97" s="60" t="s">
        <v>907</v>
      </c>
      <c r="B97" s="60" t="s">
        <v>332</v>
      </c>
      <c r="C97" s="60" t="s">
        <v>333</v>
      </c>
      <c r="D97" s="60" t="s">
        <v>334</v>
      </c>
      <c r="E97" s="61" t="s">
        <v>46</v>
      </c>
      <c r="F97" s="62" t="s">
        <v>46</v>
      </c>
      <c r="G97" s="63" t="s">
        <v>46</v>
      </c>
      <c r="H97" s="64"/>
      <c r="I97" s="64" t="s">
        <v>47</v>
      </c>
      <c r="J97" s="65">
        <v>1</v>
      </c>
      <c r="K97" s="66">
        <f>9220</f>
        <v>9220</v>
      </c>
      <c r="L97" s="67" t="s">
        <v>853</v>
      </c>
      <c r="M97" s="66">
        <f>9280</f>
        <v>9280</v>
      </c>
      <c r="N97" s="67" t="s">
        <v>853</v>
      </c>
      <c r="O97" s="66">
        <f>8370</f>
        <v>8370</v>
      </c>
      <c r="P97" s="67" t="s">
        <v>268</v>
      </c>
      <c r="Q97" s="66">
        <f>8580</f>
        <v>8580</v>
      </c>
      <c r="R97" s="67" t="s">
        <v>873</v>
      </c>
      <c r="S97" s="68">
        <f>8897.27</f>
        <v>8897.27</v>
      </c>
      <c r="T97" s="65">
        <f>626915</f>
        <v>626915</v>
      </c>
      <c r="U97" s="65">
        <f>31</f>
        <v>31</v>
      </c>
      <c r="V97" s="65">
        <f>5554602240</f>
        <v>5554602240</v>
      </c>
      <c r="W97" s="65">
        <f>278680</f>
        <v>278680</v>
      </c>
      <c r="X97" s="69">
        <f>22</f>
        <v>22</v>
      </c>
    </row>
    <row r="98" spans="1:24">
      <c r="A98" s="60" t="s">
        <v>907</v>
      </c>
      <c r="B98" s="60" t="s">
        <v>335</v>
      </c>
      <c r="C98" s="60" t="s">
        <v>336</v>
      </c>
      <c r="D98" s="60" t="s">
        <v>337</v>
      </c>
      <c r="E98" s="61" t="s">
        <v>46</v>
      </c>
      <c r="F98" s="62" t="s">
        <v>46</v>
      </c>
      <c r="G98" s="63" t="s">
        <v>46</v>
      </c>
      <c r="H98" s="64"/>
      <c r="I98" s="64" t="s">
        <v>47</v>
      </c>
      <c r="J98" s="65">
        <v>1</v>
      </c>
      <c r="K98" s="66">
        <f>92400</f>
        <v>92400</v>
      </c>
      <c r="L98" s="67" t="s">
        <v>853</v>
      </c>
      <c r="M98" s="66">
        <f>93900</f>
        <v>93900</v>
      </c>
      <c r="N98" s="67" t="s">
        <v>857</v>
      </c>
      <c r="O98" s="66">
        <f>82000</f>
        <v>82000</v>
      </c>
      <c r="P98" s="67" t="s">
        <v>268</v>
      </c>
      <c r="Q98" s="66">
        <f>88000</f>
        <v>88000</v>
      </c>
      <c r="R98" s="67" t="s">
        <v>873</v>
      </c>
      <c r="S98" s="68">
        <f>89550</f>
        <v>89550</v>
      </c>
      <c r="T98" s="65">
        <f>3377</f>
        <v>3377</v>
      </c>
      <c r="U98" s="65">
        <f>1</f>
        <v>1</v>
      </c>
      <c r="V98" s="65">
        <f>295809400</f>
        <v>295809400</v>
      </c>
      <c r="W98" s="65">
        <f>93100</f>
        <v>93100</v>
      </c>
      <c r="X98" s="69">
        <f>22</f>
        <v>22</v>
      </c>
    </row>
    <row r="99" spans="1:24">
      <c r="A99" s="60" t="s">
        <v>907</v>
      </c>
      <c r="B99" s="60" t="s">
        <v>338</v>
      </c>
      <c r="C99" s="60" t="s">
        <v>339</v>
      </c>
      <c r="D99" s="60" t="s">
        <v>340</v>
      </c>
      <c r="E99" s="61" t="s">
        <v>46</v>
      </c>
      <c r="F99" s="62" t="s">
        <v>46</v>
      </c>
      <c r="G99" s="63" t="s">
        <v>46</v>
      </c>
      <c r="H99" s="64"/>
      <c r="I99" s="64" t="s">
        <v>47</v>
      </c>
      <c r="J99" s="65">
        <v>1</v>
      </c>
      <c r="K99" s="66">
        <f>15190</f>
        <v>15190</v>
      </c>
      <c r="L99" s="67" t="s">
        <v>853</v>
      </c>
      <c r="M99" s="66">
        <f>16350</f>
        <v>16350</v>
      </c>
      <c r="N99" s="67" t="s">
        <v>873</v>
      </c>
      <c r="O99" s="66">
        <f>15050</f>
        <v>15050</v>
      </c>
      <c r="P99" s="67" t="s">
        <v>48</v>
      </c>
      <c r="Q99" s="66">
        <f>16320</f>
        <v>16320</v>
      </c>
      <c r="R99" s="67" t="s">
        <v>873</v>
      </c>
      <c r="S99" s="68">
        <f>15639.55</f>
        <v>15639.55</v>
      </c>
      <c r="T99" s="65">
        <f>1585356</f>
        <v>1585356</v>
      </c>
      <c r="U99" s="65">
        <f>32800</f>
        <v>32800</v>
      </c>
      <c r="V99" s="65">
        <f>24896647849</f>
        <v>24896647849</v>
      </c>
      <c r="W99" s="65">
        <f>512519359</f>
        <v>512519359</v>
      </c>
      <c r="X99" s="69">
        <f>22</f>
        <v>22</v>
      </c>
    </row>
    <row r="100" spans="1:24">
      <c r="A100" s="60" t="s">
        <v>907</v>
      </c>
      <c r="B100" s="60" t="s">
        <v>341</v>
      </c>
      <c r="C100" s="60" t="s">
        <v>342</v>
      </c>
      <c r="D100" s="60" t="s">
        <v>343</v>
      </c>
      <c r="E100" s="61" t="s">
        <v>46</v>
      </c>
      <c r="F100" s="62" t="s">
        <v>46</v>
      </c>
      <c r="G100" s="63" t="s">
        <v>46</v>
      </c>
      <c r="H100" s="64"/>
      <c r="I100" s="64" t="s">
        <v>47</v>
      </c>
      <c r="J100" s="65">
        <v>1</v>
      </c>
      <c r="K100" s="66">
        <f>37050</f>
        <v>37050</v>
      </c>
      <c r="L100" s="67" t="s">
        <v>853</v>
      </c>
      <c r="M100" s="66">
        <f>37550</f>
        <v>37550</v>
      </c>
      <c r="N100" s="67" t="s">
        <v>88</v>
      </c>
      <c r="O100" s="66">
        <f>35550</f>
        <v>35550</v>
      </c>
      <c r="P100" s="67" t="s">
        <v>268</v>
      </c>
      <c r="Q100" s="66">
        <f>37200</f>
        <v>37200</v>
      </c>
      <c r="R100" s="67" t="s">
        <v>873</v>
      </c>
      <c r="S100" s="68">
        <f>37027.27</f>
        <v>37027.269999999997</v>
      </c>
      <c r="T100" s="65">
        <f>257563</f>
        <v>257563</v>
      </c>
      <c r="U100" s="65">
        <f>81686</f>
        <v>81686</v>
      </c>
      <c r="V100" s="65">
        <f>9499716620</f>
        <v>9499716620</v>
      </c>
      <c r="W100" s="65">
        <f>3013554120</f>
        <v>3013554120</v>
      </c>
      <c r="X100" s="69">
        <f>22</f>
        <v>22</v>
      </c>
    </row>
    <row r="101" spans="1:24">
      <c r="A101" s="60" t="s">
        <v>907</v>
      </c>
      <c r="B101" s="60" t="s">
        <v>344</v>
      </c>
      <c r="C101" s="60" t="s">
        <v>345</v>
      </c>
      <c r="D101" s="60" t="s">
        <v>346</v>
      </c>
      <c r="E101" s="61" t="s">
        <v>46</v>
      </c>
      <c r="F101" s="62" t="s">
        <v>46</v>
      </c>
      <c r="G101" s="63" t="s">
        <v>46</v>
      </c>
      <c r="H101" s="64"/>
      <c r="I101" s="64" t="s">
        <v>47</v>
      </c>
      <c r="J101" s="65">
        <v>10</v>
      </c>
      <c r="K101" s="66">
        <f>5000</f>
        <v>5000</v>
      </c>
      <c r="L101" s="67" t="s">
        <v>853</v>
      </c>
      <c r="M101" s="66">
        <f>5170</f>
        <v>5170</v>
      </c>
      <c r="N101" s="67" t="s">
        <v>88</v>
      </c>
      <c r="O101" s="66">
        <f>4930</f>
        <v>4930</v>
      </c>
      <c r="P101" s="67" t="s">
        <v>268</v>
      </c>
      <c r="Q101" s="66">
        <f>5150</f>
        <v>5150</v>
      </c>
      <c r="R101" s="67" t="s">
        <v>873</v>
      </c>
      <c r="S101" s="68">
        <f>5059.55</f>
        <v>5059.55</v>
      </c>
      <c r="T101" s="65">
        <f>877880</f>
        <v>877880</v>
      </c>
      <c r="U101" s="65">
        <f>14820</f>
        <v>14820</v>
      </c>
      <c r="V101" s="65">
        <f>4437567005</f>
        <v>4437567005</v>
      </c>
      <c r="W101" s="65">
        <f>73828305</f>
        <v>73828305</v>
      </c>
      <c r="X101" s="69">
        <f>22</f>
        <v>22</v>
      </c>
    </row>
    <row r="102" spans="1:24">
      <c r="A102" s="60" t="s">
        <v>907</v>
      </c>
      <c r="B102" s="60" t="s">
        <v>347</v>
      </c>
      <c r="C102" s="60" t="s">
        <v>348</v>
      </c>
      <c r="D102" s="60" t="s">
        <v>349</v>
      </c>
      <c r="E102" s="61" t="s">
        <v>46</v>
      </c>
      <c r="F102" s="62" t="s">
        <v>46</v>
      </c>
      <c r="G102" s="63" t="s">
        <v>46</v>
      </c>
      <c r="H102" s="64"/>
      <c r="I102" s="64" t="s">
        <v>47</v>
      </c>
      <c r="J102" s="65">
        <v>10</v>
      </c>
      <c r="K102" s="66">
        <f>3360</f>
        <v>3360</v>
      </c>
      <c r="L102" s="67" t="s">
        <v>853</v>
      </c>
      <c r="M102" s="66">
        <f>3485</f>
        <v>3485</v>
      </c>
      <c r="N102" s="67" t="s">
        <v>873</v>
      </c>
      <c r="O102" s="66">
        <f>3280</f>
        <v>3280</v>
      </c>
      <c r="P102" s="67" t="s">
        <v>268</v>
      </c>
      <c r="Q102" s="66">
        <f>3435</f>
        <v>3435</v>
      </c>
      <c r="R102" s="67" t="s">
        <v>873</v>
      </c>
      <c r="S102" s="68">
        <f>3383.18</f>
        <v>3383.18</v>
      </c>
      <c r="T102" s="65">
        <f>182790</f>
        <v>182790</v>
      </c>
      <c r="U102" s="65">
        <f>40030</f>
        <v>40030</v>
      </c>
      <c r="V102" s="65">
        <f>620016850</f>
        <v>620016850</v>
      </c>
      <c r="W102" s="65">
        <f>135941350</f>
        <v>135941350</v>
      </c>
      <c r="X102" s="69">
        <f>22</f>
        <v>22</v>
      </c>
    </row>
    <row r="103" spans="1:24">
      <c r="A103" s="60" t="s">
        <v>907</v>
      </c>
      <c r="B103" s="60" t="s">
        <v>350</v>
      </c>
      <c r="C103" s="60" t="s">
        <v>351</v>
      </c>
      <c r="D103" s="60" t="s">
        <v>352</v>
      </c>
      <c r="E103" s="61" t="s">
        <v>46</v>
      </c>
      <c r="F103" s="62" t="s">
        <v>46</v>
      </c>
      <c r="G103" s="63" t="s">
        <v>46</v>
      </c>
      <c r="H103" s="64"/>
      <c r="I103" s="64" t="s">
        <v>47</v>
      </c>
      <c r="J103" s="65">
        <v>10</v>
      </c>
      <c r="K103" s="66">
        <f>5120</f>
        <v>5120</v>
      </c>
      <c r="L103" s="67" t="s">
        <v>853</v>
      </c>
      <c r="M103" s="66">
        <f>5440</f>
        <v>5440</v>
      </c>
      <c r="N103" s="67" t="s">
        <v>50</v>
      </c>
      <c r="O103" s="66">
        <f>5070</f>
        <v>5070</v>
      </c>
      <c r="P103" s="67" t="s">
        <v>853</v>
      </c>
      <c r="Q103" s="66">
        <f>5360</f>
        <v>5360</v>
      </c>
      <c r="R103" s="67" t="s">
        <v>873</v>
      </c>
      <c r="S103" s="68">
        <f>5261.82</f>
        <v>5261.82</v>
      </c>
      <c r="T103" s="65">
        <f>10600</f>
        <v>10600</v>
      </c>
      <c r="U103" s="65">
        <f>40</f>
        <v>40</v>
      </c>
      <c r="V103" s="65">
        <f>55727700</f>
        <v>55727700</v>
      </c>
      <c r="W103" s="65">
        <f>213600</f>
        <v>213600</v>
      </c>
      <c r="X103" s="69">
        <f>22</f>
        <v>22</v>
      </c>
    </row>
    <row r="104" spans="1:24">
      <c r="A104" s="60" t="s">
        <v>907</v>
      </c>
      <c r="B104" s="60" t="s">
        <v>353</v>
      </c>
      <c r="C104" s="60" t="s">
        <v>354</v>
      </c>
      <c r="D104" s="60" t="s">
        <v>355</v>
      </c>
      <c r="E104" s="61" t="s">
        <v>46</v>
      </c>
      <c r="F104" s="62" t="s">
        <v>46</v>
      </c>
      <c r="G104" s="63" t="s">
        <v>46</v>
      </c>
      <c r="H104" s="64"/>
      <c r="I104" s="64" t="s">
        <v>47</v>
      </c>
      <c r="J104" s="65">
        <v>1</v>
      </c>
      <c r="K104" s="66">
        <f>3050</f>
        <v>3050</v>
      </c>
      <c r="L104" s="67" t="s">
        <v>853</v>
      </c>
      <c r="M104" s="66">
        <f>3185</f>
        <v>3185</v>
      </c>
      <c r="N104" s="67" t="s">
        <v>268</v>
      </c>
      <c r="O104" s="66">
        <f>2577</f>
        <v>2577</v>
      </c>
      <c r="P104" s="67" t="s">
        <v>88</v>
      </c>
      <c r="Q104" s="66">
        <f>2617</f>
        <v>2617</v>
      </c>
      <c r="R104" s="67" t="s">
        <v>873</v>
      </c>
      <c r="S104" s="68">
        <f>2845.05</f>
        <v>2845.05</v>
      </c>
      <c r="T104" s="65">
        <f>25788272</f>
        <v>25788272</v>
      </c>
      <c r="U104" s="65">
        <f>83930</f>
        <v>83930</v>
      </c>
      <c r="V104" s="65">
        <f>73633762340</f>
        <v>73633762340</v>
      </c>
      <c r="W104" s="65">
        <f>244007296</f>
        <v>244007296</v>
      </c>
      <c r="X104" s="69">
        <f>22</f>
        <v>22</v>
      </c>
    </row>
    <row r="105" spans="1:24">
      <c r="A105" s="60" t="s">
        <v>907</v>
      </c>
      <c r="B105" s="60" t="s">
        <v>356</v>
      </c>
      <c r="C105" s="60" t="s">
        <v>357</v>
      </c>
      <c r="D105" s="60" t="s">
        <v>358</v>
      </c>
      <c r="E105" s="61" t="s">
        <v>46</v>
      </c>
      <c r="F105" s="62" t="s">
        <v>46</v>
      </c>
      <c r="G105" s="63" t="s">
        <v>46</v>
      </c>
      <c r="H105" s="64"/>
      <c r="I105" s="64" t="s">
        <v>47</v>
      </c>
      <c r="J105" s="65">
        <v>10</v>
      </c>
      <c r="K105" s="66">
        <f>2916</f>
        <v>2916</v>
      </c>
      <c r="L105" s="67" t="s">
        <v>853</v>
      </c>
      <c r="M105" s="66">
        <f>2994</f>
        <v>2994</v>
      </c>
      <c r="N105" s="67" t="s">
        <v>88</v>
      </c>
      <c r="O105" s="66">
        <f>2850</f>
        <v>2850</v>
      </c>
      <c r="P105" s="67" t="s">
        <v>268</v>
      </c>
      <c r="Q105" s="66">
        <f>2983</f>
        <v>2983</v>
      </c>
      <c r="R105" s="67" t="s">
        <v>873</v>
      </c>
      <c r="S105" s="68">
        <f>2944.18</f>
        <v>2944.18</v>
      </c>
      <c r="T105" s="65">
        <f>144170</f>
        <v>144170</v>
      </c>
      <c r="U105" s="65">
        <f>30</f>
        <v>30</v>
      </c>
      <c r="V105" s="65">
        <f>424789880</f>
        <v>424789880</v>
      </c>
      <c r="W105" s="65">
        <f>88210</f>
        <v>88210</v>
      </c>
      <c r="X105" s="69">
        <f>22</f>
        <v>22</v>
      </c>
    </row>
    <row r="106" spans="1:24">
      <c r="A106" s="60" t="s">
        <v>907</v>
      </c>
      <c r="B106" s="60" t="s">
        <v>359</v>
      </c>
      <c r="C106" s="60" t="s">
        <v>360</v>
      </c>
      <c r="D106" s="60" t="s">
        <v>361</v>
      </c>
      <c r="E106" s="61" t="s">
        <v>46</v>
      </c>
      <c r="F106" s="62" t="s">
        <v>46</v>
      </c>
      <c r="G106" s="63" t="s">
        <v>46</v>
      </c>
      <c r="H106" s="64"/>
      <c r="I106" s="64" t="s">
        <v>47</v>
      </c>
      <c r="J106" s="65">
        <v>10</v>
      </c>
      <c r="K106" s="66">
        <f>1669</f>
        <v>1669</v>
      </c>
      <c r="L106" s="67" t="s">
        <v>853</v>
      </c>
      <c r="M106" s="66">
        <f>1765</f>
        <v>1765</v>
      </c>
      <c r="N106" s="67" t="s">
        <v>875</v>
      </c>
      <c r="O106" s="66">
        <f>1659</f>
        <v>1659</v>
      </c>
      <c r="P106" s="67" t="s">
        <v>853</v>
      </c>
      <c r="Q106" s="66">
        <f>1740</f>
        <v>1740</v>
      </c>
      <c r="R106" s="67" t="s">
        <v>873</v>
      </c>
      <c r="S106" s="68">
        <f>1732.86</f>
        <v>1732.86</v>
      </c>
      <c r="T106" s="65">
        <f>207510</f>
        <v>207510</v>
      </c>
      <c r="U106" s="65" t="str">
        <f>"－"</f>
        <v>－</v>
      </c>
      <c r="V106" s="65">
        <f>358309290</f>
        <v>358309290</v>
      </c>
      <c r="W106" s="65" t="str">
        <f>"－"</f>
        <v>－</v>
      </c>
      <c r="X106" s="69">
        <f>22</f>
        <v>22</v>
      </c>
    </row>
    <row r="107" spans="1:24">
      <c r="A107" s="60" t="s">
        <v>907</v>
      </c>
      <c r="B107" s="60" t="s">
        <v>362</v>
      </c>
      <c r="C107" s="60" t="s">
        <v>363</v>
      </c>
      <c r="D107" s="60" t="s">
        <v>364</v>
      </c>
      <c r="E107" s="61" t="s">
        <v>46</v>
      </c>
      <c r="F107" s="62" t="s">
        <v>46</v>
      </c>
      <c r="G107" s="63" t="s">
        <v>46</v>
      </c>
      <c r="H107" s="64"/>
      <c r="I107" s="64" t="s">
        <v>47</v>
      </c>
      <c r="J107" s="65">
        <v>1</v>
      </c>
      <c r="K107" s="66">
        <f>46000</f>
        <v>46000</v>
      </c>
      <c r="L107" s="67" t="s">
        <v>853</v>
      </c>
      <c r="M107" s="66">
        <f>47350</f>
        <v>47350</v>
      </c>
      <c r="N107" s="67" t="s">
        <v>88</v>
      </c>
      <c r="O107" s="66">
        <f>45250</f>
        <v>45250</v>
      </c>
      <c r="P107" s="67" t="s">
        <v>268</v>
      </c>
      <c r="Q107" s="66">
        <f>47300</f>
        <v>47300</v>
      </c>
      <c r="R107" s="67" t="s">
        <v>873</v>
      </c>
      <c r="S107" s="68">
        <f>46543.18</f>
        <v>46543.18</v>
      </c>
      <c r="T107" s="65">
        <f>200986</f>
        <v>200986</v>
      </c>
      <c r="U107" s="65">
        <f>53000</f>
        <v>53000</v>
      </c>
      <c r="V107" s="65">
        <f>9335489320</f>
        <v>9335489320</v>
      </c>
      <c r="W107" s="65">
        <f>2465140120</f>
        <v>2465140120</v>
      </c>
      <c r="X107" s="69">
        <f>22</f>
        <v>22</v>
      </c>
    </row>
    <row r="108" spans="1:24">
      <c r="A108" s="60" t="s">
        <v>907</v>
      </c>
      <c r="B108" s="60" t="s">
        <v>365</v>
      </c>
      <c r="C108" s="60" t="s">
        <v>366</v>
      </c>
      <c r="D108" s="60" t="s">
        <v>367</v>
      </c>
      <c r="E108" s="61" t="s">
        <v>46</v>
      </c>
      <c r="F108" s="62" t="s">
        <v>46</v>
      </c>
      <c r="G108" s="63" t="s">
        <v>46</v>
      </c>
      <c r="H108" s="64"/>
      <c r="I108" s="64" t="s">
        <v>47</v>
      </c>
      <c r="J108" s="65">
        <v>1</v>
      </c>
      <c r="K108" s="66">
        <f>3040</f>
        <v>3040</v>
      </c>
      <c r="L108" s="67" t="s">
        <v>853</v>
      </c>
      <c r="M108" s="66">
        <f>3180</f>
        <v>3180</v>
      </c>
      <c r="N108" s="67" t="s">
        <v>172</v>
      </c>
      <c r="O108" s="66">
        <f>2980</f>
        <v>2980</v>
      </c>
      <c r="P108" s="67" t="s">
        <v>268</v>
      </c>
      <c r="Q108" s="66">
        <f>3075</f>
        <v>3075</v>
      </c>
      <c r="R108" s="67" t="s">
        <v>873</v>
      </c>
      <c r="S108" s="68">
        <f>3090.45</f>
        <v>3090.45</v>
      </c>
      <c r="T108" s="65">
        <f>13608</f>
        <v>13608</v>
      </c>
      <c r="U108" s="65" t="str">
        <f>"－"</f>
        <v>－</v>
      </c>
      <c r="V108" s="65">
        <f>41883956</f>
        <v>41883956</v>
      </c>
      <c r="W108" s="65" t="str">
        <f>"－"</f>
        <v>－</v>
      </c>
      <c r="X108" s="69">
        <f>22</f>
        <v>22</v>
      </c>
    </row>
    <row r="109" spans="1:24">
      <c r="A109" s="60" t="s">
        <v>907</v>
      </c>
      <c r="B109" s="60" t="s">
        <v>368</v>
      </c>
      <c r="C109" s="60" t="s">
        <v>369</v>
      </c>
      <c r="D109" s="60" t="s">
        <v>370</v>
      </c>
      <c r="E109" s="61" t="s">
        <v>46</v>
      </c>
      <c r="F109" s="62" t="s">
        <v>46</v>
      </c>
      <c r="G109" s="63" t="s">
        <v>46</v>
      </c>
      <c r="H109" s="64"/>
      <c r="I109" s="64" t="s">
        <v>47</v>
      </c>
      <c r="J109" s="65">
        <v>1</v>
      </c>
      <c r="K109" s="66">
        <f>4130</f>
        <v>4130</v>
      </c>
      <c r="L109" s="67" t="s">
        <v>853</v>
      </c>
      <c r="M109" s="66">
        <f>4245</f>
        <v>4245</v>
      </c>
      <c r="N109" s="67" t="s">
        <v>860</v>
      </c>
      <c r="O109" s="66">
        <f>4095</f>
        <v>4095</v>
      </c>
      <c r="P109" s="67" t="s">
        <v>873</v>
      </c>
      <c r="Q109" s="66">
        <f>4095</f>
        <v>4095</v>
      </c>
      <c r="R109" s="67" t="s">
        <v>873</v>
      </c>
      <c r="S109" s="68">
        <f>4155</f>
        <v>4155</v>
      </c>
      <c r="T109" s="65">
        <f>5191</f>
        <v>5191</v>
      </c>
      <c r="U109" s="65">
        <f>2</f>
        <v>2</v>
      </c>
      <c r="V109" s="65">
        <f>21546320</f>
        <v>21546320</v>
      </c>
      <c r="W109" s="65">
        <f>8320</f>
        <v>8320</v>
      </c>
      <c r="X109" s="69">
        <f>22</f>
        <v>22</v>
      </c>
    </row>
    <row r="110" spans="1:24">
      <c r="A110" s="60" t="s">
        <v>907</v>
      </c>
      <c r="B110" s="60" t="s">
        <v>372</v>
      </c>
      <c r="C110" s="60" t="s">
        <v>373</v>
      </c>
      <c r="D110" s="60" t="s">
        <v>374</v>
      </c>
      <c r="E110" s="61" t="s">
        <v>46</v>
      </c>
      <c r="F110" s="62" t="s">
        <v>46</v>
      </c>
      <c r="G110" s="63" t="s">
        <v>46</v>
      </c>
      <c r="H110" s="64"/>
      <c r="I110" s="64" t="s">
        <v>47</v>
      </c>
      <c r="J110" s="65">
        <v>1</v>
      </c>
      <c r="K110" s="66">
        <f>3390</f>
        <v>3390</v>
      </c>
      <c r="L110" s="67" t="s">
        <v>853</v>
      </c>
      <c r="M110" s="66">
        <f>4180</f>
        <v>4180</v>
      </c>
      <c r="N110" s="67" t="s">
        <v>873</v>
      </c>
      <c r="O110" s="66">
        <f>3335</f>
        <v>3335</v>
      </c>
      <c r="P110" s="67" t="s">
        <v>48</v>
      </c>
      <c r="Q110" s="66">
        <f>4165</f>
        <v>4165</v>
      </c>
      <c r="R110" s="67" t="s">
        <v>873</v>
      </c>
      <c r="S110" s="68">
        <f>3695</f>
        <v>3695</v>
      </c>
      <c r="T110" s="65">
        <f>258672</f>
        <v>258672</v>
      </c>
      <c r="U110" s="65" t="str">
        <f>"－"</f>
        <v>－</v>
      </c>
      <c r="V110" s="65">
        <f>965034920</f>
        <v>965034920</v>
      </c>
      <c r="W110" s="65" t="str">
        <f>"－"</f>
        <v>－</v>
      </c>
      <c r="X110" s="69">
        <f>22</f>
        <v>22</v>
      </c>
    </row>
    <row r="111" spans="1:24">
      <c r="A111" s="60" t="s">
        <v>907</v>
      </c>
      <c r="B111" s="60" t="s">
        <v>375</v>
      </c>
      <c r="C111" s="60" t="s">
        <v>376</v>
      </c>
      <c r="D111" s="60" t="s">
        <v>377</v>
      </c>
      <c r="E111" s="61" t="s">
        <v>46</v>
      </c>
      <c r="F111" s="62" t="s">
        <v>46</v>
      </c>
      <c r="G111" s="63" t="s">
        <v>46</v>
      </c>
      <c r="H111" s="64"/>
      <c r="I111" s="64" t="s">
        <v>47</v>
      </c>
      <c r="J111" s="65">
        <v>1</v>
      </c>
      <c r="K111" s="66">
        <f>45150</f>
        <v>45150</v>
      </c>
      <c r="L111" s="67" t="s">
        <v>853</v>
      </c>
      <c r="M111" s="66">
        <f>45700</f>
        <v>45700</v>
      </c>
      <c r="N111" s="67" t="s">
        <v>69</v>
      </c>
      <c r="O111" s="66">
        <f>44650</f>
        <v>44650</v>
      </c>
      <c r="P111" s="67" t="s">
        <v>268</v>
      </c>
      <c r="Q111" s="66">
        <f>45400</f>
        <v>45400</v>
      </c>
      <c r="R111" s="67" t="s">
        <v>873</v>
      </c>
      <c r="S111" s="68">
        <f>45402.27</f>
        <v>45402.27</v>
      </c>
      <c r="T111" s="65">
        <f>12818</f>
        <v>12818</v>
      </c>
      <c r="U111" s="65">
        <f>221</f>
        <v>221</v>
      </c>
      <c r="V111" s="65">
        <f>580975950</f>
        <v>580975950</v>
      </c>
      <c r="W111" s="65">
        <f>10009200</f>
        <v>10009200</v>
      </c>
      <c r="X111" s="69">
        <f>22</f>
        <v>22</v>
      </c>
    </row>
    <row r="112" spans="1:24">
      <c r="A112" s="60" t="s">
        <v>907</v>
      </c>
      <c r="B112" s="60" t="s">
        <v>378</v>
      </c>
      <c r="C112" s="60" t="s">
        <v>379</v>
      </c>
      <c r="D112" s="60" t="s">
        <v>380</v>
      </c>
      <c r="E112" s="61" t="s">
        <v>46</v>
      </c>
      <c r="F112" s="62" t="s">
        <v>46</v>
      </c>
      <c r="G112" s="63" t="s">
        <v>46</v>
      </c>
      <c r="H112" s="64" t="s">
        <v>540</v>
      </c>
      <c r="I112" s="64" t="s">
        <v>47</v>
      </c>
      <c r="J112" s="65">
        <v>10</v>
      </c>
      <c r="K112" s="66">
        <f>1250</f>
        <v>1250</v>
      </c>
      <c r="L112" s="67" t="s">
        <v>857</v>
      </c>
      <c r="M112" s="66">
        <f>1258</f>
        <v>1258</v>
      </c>
      <c r="N112" s="67" t="s">
        <v>268</v>
      </c>
      <c r="O112" s="66">
        <f>1250</f>
        <v>1250</v>
      </c>
      <c r="P112" s="67" t="s">
        <v>857</v>
      </c>
      <c r="Q112" s="66">
        <f>1258</f>
        <v>1258</v>
      </c>
      <c r="R112" s="67" t="s">
        <v>268</v>
      </c>
      <c r="S112" s="68">
        <f>1255</f>
        <v>1255</v>
      </c>
      <c r="T112" s="65">
        <f>110</f>
        <v>110</v>
      </c>
      <c r="U112" s="65" t="str">
        <f>"－"</f>
        <v>－</v>
      </c>
      <c r="V112" s="65">
        <f>138050</f>
        <v>138050</v>
      </c>
      <c r="W112" s="65" t="str">
        <f>"－"</f>
        <v>－</v>
      </c>
      <c r="X112" s="69">
        <f>3</f>
        <v>3</v>
      </c>
    </row>
    <row r="113" spans="1:24">
      <c r="A113" s="60" t="s">
        <v>907</v>
      </c>
      <c r="B113" s="60" t="s">
        <v>381</v>
      </c>
      <c r="C113" s="60" t="s">
        <v>382</v>
      </c>
      <c r="D113" s="60" t="s">
        <v>383</v>
      </c>
      <c r="E113" s="61" t="s">
        <v>46</v>
      </c>
      <c r="F113" s="62" t="s">
        <v>46</v>
      </c>
      <c r="G113" s="63" t="s">
        <v>46</v>
      </c>
      <c r="H113" s="64"/>
      <c r="I113" s="64" t="s">
        <v>47</v>
      </c>
      <c r="J113" s="65">
        <v>10</v>
      </c>
      <c r="K113" s="66">
        <f>23580</f>
        <v>23580</v>
      </c>
      <c r="L113" s="67" t="s">
        <v>853</v>
      </c>
      <c r="M113" s="66">
        <f>24840</f>
        <v>24840</v>
      </c>
      <c r="N113" s="67" t="s">
        <v>854</v>
      </c>
      <c r="O113" s="66">
        <f>22520</f>
        <v>22520</v>
      </c>
      <c r="P113" s="67" t="s">
        <v>268</v>
      </c>
      <c r="Q113" s="66">
        <f>23860</f>
        <v>23860</v>
      </c>
      <c r="R113" s="67" t="s">
        <v>873</v>
      </c>
      <c r="S113" s="68">
        <f>24089.55</f>
        <v>24089.55</v>
      </c>
      <c r="T113" s="65">
        <f>2791180</f>
        <v>2791180</v>
      </c>
      <c r="U113" s="65">
        <f>9270</f>
        <v>9270</v>
      </c>
      <c r="V113" s="65">
        <f>66851239800</f>
        <v>66851239800</v>
      </c>
      <c r="W113" s="65">
        <f>211425900</f>
        <v>211425900</v>
      </c>
      <c r="X113" s="69">
        <f>22</f>
        <v>22</v>
      </c>
    </row>
    <row r="114" spans="1:24">
      <c r="A114" s="60" t="s">
        <v>907</v>
      </c>
      <c r="B114" s="60" t="s">
        <v>384</v>
      </c>
      <c r="C114" s="60" t="s">
        <v>385</v>
      </c>
      <c r="D114" s="60" t="s">
        <v>386</v>
      </c>
      <c r="E114" s="61" t="s">
        <v>46</v>
      </c>
      <c r="F114" s="62" t="s">
        <v>46</v>
      </c>
      <c r="G114" s="63" t="s">
        <v>46</v>
      </c>
      <c r="H114" s="64"/>
      <c r="I114" s="64" t="s">
        <v>47</v>
      </c>
      <c r="J114" s="65">
        <v>10</v>
      </c>
      <c r="K114" s="66">
        <f>2254</f>
        <v>2254</v>
      </c>
      <c r="L114" s="67" t="s">
        <v>853</v>
      </c>
      <c r="M114" s="66">
        <f>2301</f>
        <v>2301</v>
      </c>
      <c r="N114" s="67" t="s">
        <v>268</v>
      </c>
      <c r="O114" s="66">
        <f>2196</f>
        <v>2196</v>
      </c>
      <c r="P114" s="67" t="s">
        <v>854</v>
      </c>
      <c r="Q114" s="66">
        <f>2235</f>
        <v>2235</v>
      </c>
      <c r="R114" s="67" t="s">
        <v>873</v>
      </c>
      <c r="S114" s="68">
        <f>2228.27</f>
        <v>2228.27</v>
      </c>
      <c r="T114" s="65">
        <f>451660</f>
        <v>451660</v>
      </c>
      <c r="U114" s="65">
        <f>74640</f>
        <v>74640</v>
      </c>
      <c r="V114" s="65">
        <f>1008585880</f>
        <v>1008585880</v>
      </c>
      <c r="W114" s="65">
        <f>166121390</f>
        <v>166121390</v>
      </c>
      <c r="X114" s="69">
        <f>22</f>
        <v>22</v>
      </c>
    </row>
    <row r="115" spans="1:24">
      <c r="A115" s="60" t="s">
        <v>907</v>
      </c>
      <c r="B115" s="60" t="s">
        <v>387</v>
      </c>
      <c r="C115" s="60" t="s">
        <v>388</v>
      </c>
      <c r="D115" s="60" t="s">
        <v>389</v>
      </c>
      <c r="E115" s="61" t="s">
        <v>46</v>
      </c>
      <c r="F115" s="62" t="s">
        <v>46</v>
      </c>
      <c r="G115" s="63" t="s">
        <v>46</v>
      </c>
      <c r="H115" s="64"/>
      <c r="I115" s="64" t="s">
        <v>47</v>
      </c>
      <c r="J115" s="65">
        <v>1</v>
      </c>
      <c r="K115" s="66">
        <f>16030</f>
        <v>16030</v>
      </c>
      <c r="L115" s="67" t="s">
        <v>853</v>
      </c>
      <c r="M115" s="66">
        <f>16520</f>
        <v>16520</v>
      </c>
      <c r="N115" s="67" t="s">
        <v>69</v>
      </c>
      <c r="O115" s="66">
        <f>14640</f>
        <v>14640</v>
      </c>
      <c r="P115" s="67" t="s">
        <v>268</v>
      </c>
      <c r="Q115" s="66">
        <f>15730</f>
        <v>15730</v>
      </c>
      <c r="R115" s="67" t="s">
        <v>873</v>
      </c>
      <c r="S115" s="68">
        <f>15911.36</f>
        <v>15911.36</v>
      </c>
      <c r="T115" s="65">
        <f>120027904</f>
        <v>120027904</v>
      </c>
      <c r="U115" s="65">
        <f>194508</f>
        <v>194508</v>
      </c>
      <c r="V115" s="65">
        <f>1898637332128</f>
        <v>1898637332128</v>
      </c>
      <c r="W115" s="65">
        <f>3066757458</f>
        <v>3066757458</v>
      </c>
      <c r="X115" s="69">
        <f>22</f>
        <v>22</v>
      </c>
    </row>
    <row r="116" spans="1:24">
      <c r="A116" s="60" t="s">
        <v>907</v>
      </c>
      <c r="B116" s="60" t="s">
        <v>390</v>
      </c>
      <c r="C116" s="60" t="s">
        <v>391</v>
      </c>
      <c r="D116" s="60" t="s">
        <v>392</v>
      </c>
      <c r="E116" s="61" t="s">
        <v>46</v>
      </c>
      <c r="F116" s="62" t="s">
        <v>46</v>
      </c>
      <c r="G116" s="63" t="s">
        <v>46</v>
      </c>
      <c r="H116" s="64"/>
      <c r="I116" s="64" t="s">
        <v>47</v>
      </c>
      <c r="J116" s="65">
        <v>1</v>
      </c>
      <c r="K116" s="66">
        <f>1008</f>
        <v>1008</v>
      </c>
      <c r="L116" s="67" t="s">
        <v>853</v>
      </c>
      <c r="M116" s="66">
        <f>1050</f>
        <v>1050</v>
      </c>
      <c r="N116" s="67" t="s">
        <v>268</v>
      </c>
      <c r="O116" s="66">
        <f>991</f>
        <v>991</v>
      </c>
      <c r="P116" s="67" t="s">
        <v>69</v>
      </c>
      <c r="Q116" s="66">
        <f>1011</f>
        <v>1011</v>
      </c>
      <c r="R116" s="67" t="s">
        <v>873</v>
      </c>
      <c r="S116" s="68">
        <f>1008.86</f>
        <v>1008.86</v>
      </c>
      <c r="T116" s="65">
        <f>12485861</f>
        <v>12485861</v>
      </c>
      <c r="U116" s="65">
        <f>520156</f>
        <v>520156</v>
      </c>
      <c r="V116" s="65">
        <f>12622623888</f>
        <v>12622623888</v>
      </c>
      <c r="W116" s="65">
        <f>522538932</f>
        <v>522538932</v>
      </c>
      <c r="X116" s="69">
        <f>22</f>
        <v>22</v>
      </c>
    </row>
    <row r="117" spans="1:24">
      <c r="A117" s="60" t="s">
        <v>907</v>
      </c>
      <c r="B117" s="60" t="s">
        <v>393</v>
      </c>
      <c r="C117" s="60" t="s">
        <v>394</v>
      </c>
      <c r="D117" s="60" t="s">
        <v>395</v>
      </c>
      <c r="E117" s="61" t="s">
        <v>46</v>
      </c>
      <c r="F117" s="62" t="s">
        <v>46</v>
      </c>
      <c r="G117" s="63" t="s">
        <v>46</v>
      </c>
      <c r="H117" s="64"/>
      <c r="I117" s="64" t="s">
        <v>47</v>
      </c>
      <c r="J117" s="65">
        <v>10</v>
      </c>
      <c r="K117" s="66">
        <f>11550</f>
        <v>11550</v>
      </c>
      <c r="L117" s="67" t="s">
        <v>853</v>
      </c>
      <c r="M117" s="66">
        <f>11850</f>
        <v>11850</v>
      </c>
      <c r="N117" s="67" t="s">
        <v>857</v>
      </c>
      <c r="O117" s="66">
        <f>10810</f>
        <v>10810</v>
      </c>
      <c r="P117" s="67" t="s">
        <v>132</v>
      </c>
      <c r="Q117" s="66">
        <f>11350</f>
        <v>11350</v>
      </c>
      <c r="R117" s="67" t="s">
        <v>873</v>
      </c>
      <c r="S117" s="68">
        <f>11378.64</f>
        <v>11378.64</v>
      </c>
      <c r="T117" s="65">
        <f>12040</f>
        <v>12040</v>
      </c>
      <c r="U117" s="65">
        <f>10</f>
        <v>10</v>
      </c>
      <c r="V117" s="65">
        <f>138056000</f>
        <v>138056000</v>
      </c>
      <c r="W117" s="65">
        <f>113500</f>
        <v>113500</v>
      </c>
      <c r="X117" s="69">
        <f>22</f>
        <v>22</v>
      </c>
    </row>
    <row r="118" spans="1:24">
      <c r="A118" s="60" t="s">
        <v>907</v>
      </c>
      <c r="B118" s="60" t="s">
        <v>396</v>
      </c>
      <c r="C118" s="60" t="s">
        <v>397</v>
      </c>
      <c r="D118" s="60" t="s">
        <v>398</v>
      </c>
      <c r="E118" s="61" t="s">
        <v>46</v>
      </c>
      <c r="F118" s="62" t="s">
        <v>46</v>
      </c>
      <c r="G118" s="63" t="s">
        <v>46</v>
      </c>
      <c r="H118" s="64"/>
      <c r="I118" s="64" t="s">
        <v>47</v>
      </c>
      <c r="J118" s="65">
        <v>10</v>
      </c>
      <c r="K118" s="66">
        <f>6610</f>
        <v>6610</v>
      </c>
      <c r="L118" s="67" t="s">
        <v>853</v>
      </c>
      <c r="M118" s="66">
        <f>6820</f>
        <v>6820</v>
      </c>
      <c r="N118" s="67" t="s">
        <v>132</v>
      </c>
      <c r="O118" s="66">
        <f>6500</f>
        <v>6500</v>
      </c>
      <c r="P118" s="67" t="s">
        <v>857</v>
      </c>
      <c r="Q118" s="66">
        <f>6650</f>
        <v>6650</v>
      </c>
      <c r="R118" s="67" t="s">
        <v>873</v>
      </c>
      <c r="S118" s="68">
        <f>6660</f>
        <v>6660</v>
      </c>
      <c r="T118" s="65">
        <f>2090</f>
        <v>2090</v>
      </c>
      <c r="U118" s="65" t="str">
        <f>"－"</f>
        <v>－</v>
      </c>
      <c r="V118" s="65">
        <f>13944400</f>
        <v>13944400</v>
      </c>
      <c r="W118" s="65" t="str">
        <f>"－"</f>
        <v>－</v>
      </c>
      <c r="X118" s="69">
        <f>22</f>
        <v>22</v>
      </c>
    </row>
    <row r="119" spans="1:24">
      <c r="A119" s="60" t="s">
        <v>907</v>
      </c>
      <c r="B119" s="60" t="s">
        <v>399</v>
      </c>
      <c r="C119" s="60" t="s">
        <v>400</v>
      </c>
      <c r="D119" s="60" t="s">
        <v>401</v>
      </c>
      <c r="E119" s="61" t="s">
        <v>46</v>
      </c>
      <c r="F119" s="62" t="s">
        <v>46</v>
      </c>
      <c r="G119" s="63" t="s">
        <v>46</v>
      </c>
      <c r="H119" s="64" t="s">
        <v>540</v>
      </c>
      <c r="I119" s="64" t="s">
        <v>47</v>
      </c>
      <c r="J119" s="65">
        <v>10</v>
      </c>
      <c r="K119" s="66">
        <f>1567</f>
        <v>1567</v>
      </c>
      <c r="L119" s="67" t="s">
        <v>857</v>
      </c>
      <c r="M119" s="66">
        <f>1611</f>
        <v>1611</v>
      </c>
      <c r="N119" s="67" t="s">
        <v>875</v>
      </c>
      <c r="O119" s="66">
        <f>1567</f>
        <v>1567</v>
      </c>
      <c r="P119" s="67" t="s">
        <v>857</v>
      </c>
      <c r="Q119" s="66">
        <f>1611</f>
        <v>1611</v>
      </c>
      <c r="R119" s="67" t="s">
        <v>875</v>
      </c>
      <c r="S119" s="68">
        <f>1596</f>
        <v>1596</v>
      </c>
      <c r="T119" s="65">
        <f>30</f>
        <v>30</v>
      </c>
      <c r="U119" s="65" t="str">
        <f>"－"</f>
        <v>－</v>
      </c>
      <c r="V119" s="65">
        <f>47880</f>
        <v>47880</v>
      </c>
      <c r="W119" s="65" t="str">
        <f>"－"</f>
        <v>－</v>
      </c>
      <c r="X119" s="69">
        <f>3</f>
        <v>3</v>
      </c>
    </row>
    <row r="120" spans="1:24">
      <c r="A120" s="60" t="s">
        <v>907</v>
      </c>
      <c r="B120" s="60" t="s">
        <v>402</v>
      </c>
      <c r="C120" s="60" t="s">
        <v>403</v>
      </c>
      <c r="D120" s="60" t="s">
        <v>404</v>
      </c>
      <c r="E120" s="61" t="s">
        <v>46</v>
      </c>
      <c r="F120" s="62" t="s">
        <v>46</v>
      </c>
      <c r="G120" s="63" t="s">
        <v>46</v>
      </c>
      <c r="H120" s="64"/>
      <c r="I120" s="64" t="s">
        <v>47</v>
      </c>
      <c r="J120" s="65">
        <v>10</v>
      </c>
      <c r="K120" s="66">
        <f>924</f>
        <v>924</v>
      </c>
      <c r="L120" s="67" t="s">
        <v>853</v>
      </c>
      <c r="M120" s="66">
        <f>924</f>
        <v>924</v>
      </c>
      <c r="N120" s="67" t="s">
        <v>853</v>
      </c>
      <c r="O120" s="66">
        <f>827</f>
        <v>827</v>
      </c>
      <c r="P120" s="67" t="s">
        <v>874</v>
      </c>
      <c r="Q120" s="66">
        <f>842</f>
        <v>842</v>
      </c>
      <c r="R120" s="67" t="s">
        <v>873</v>
      </c>
      <c r="S120" s="68">
        <f>860.55</f>
        <v>860.55</v>
      </c>
      <c r="T120" s="65">
        <f>26110</f>
        <v>26110</v>
      </c>
      <c r="U120" s="65">
        <f>50</f>
        <v>50</v>
      </c>
      <c r="V120" s="65">
        <f>22433660</f>
        <v>22433660</v>
      </c>
      <c r="W120" s="65">
        <f>42390</f>
        <v>42390</v>
      </c>
      <c r="X120" s="69">
        <f>22</f>
        <v>22</v>
      </c>
    </row>
    <row r="121" spans="1:24">
      <c r="A121" s="60" t="s">
        <v>907</v>
      </c>
      <c r="B121" s="60" t="s">
        <v>405</v>
      </c>
      <c r="C121" s="60" t="s">
        <v>406</v>
      </c>
      <c r="D121" s="60" t="s">
        <v>407</v>
      </c>
      <c r="E121" s="61" t="s">
        <v>896</v>
      </c>
      <c r="F121" s="62" t="s">
        <v>897</v>
      </c>
      <c r="G121" s="63" t="s">
        <v>909</v>
      </c>
      <c r="H121" s="64" t="s">
        <v>878</v>
      </c>
      <c r="I121" s="64"/>
      <c r="J121" s="65">
        <v>10</v>
      </c>
      <c r="K121" s="66">
        <f>825</f>
        <v>825</v>
      </c>
      <c r="L121" s="67" t="s">
        <v>853</v>
      </c>
      <c r="M121" s="66">
        <f>846</f>
        <v>846</v>
      </c>
      <c r="N121" s="67" t="s">
        <v>858</v>
      </c>
      <c r="O121" s="66">
        <f>796</f>
        <v>796</v>
      </c>
      <c r="P121" s="67" t="s">
        <v>172</v>
      </c>
      <c r="Q121" s="66">
        <f>818</f>
        <v>818</v>
      </c>
      <c r="R121" s="67" t="s">
        <v>96</v>
      </c>
      <c r="S121" s="68">
        <f>825.67</f>
        <v>825.67</v>
      </c>
      <c r="T121" s="65">
        <f>34190</f>
        <v>34190</v>
      </c>
      <c r="U121" s="65" t="str">
        <f>"－"</f>
        <v>－</v>
      </c>
      <c r="V121" s="65">
        <f>27808660</f>
        <v>27808660</v>
      </c>
      <c r="W121" s="65" t="str">
        <f>"－"</f>
        <v>－</v>
      </c>
      <c r="X121" s="69">
        <f>6</f>
        <v>6</v>
      </c>
    </row>
    <row r="122" spans="1:24">
      <c r="A122" s="60" t="s">
        <v>907</v>
      </c>
      <c r="B122" s="60" t="s">
        <v>408</v>
      </c>
      <c r="C122" s="60" t="s">
        <v>409</v>
      </c>
      <c r="D122" s="60" t="s">
        <v>410</v>
      </c>
      <c r="E122" s="61" t="s">
        <v>46</v>
      </c>
      <c r="F122" s="62" t="s">
        <v>46</v>
      </c>
      <c r="G122" s="63" t="s">
        <v>46</v>
      </c>
      <c r="H122" s="64"/>
      <c r="I122" s="64" t="s">
        <v>47</v>
      </c>
      <c r="J122" s="65">
        <v>1</v>
      </c>
      <c r="K122" s="66">
        <f>22960</f>
        <v>22960</v>
      </c>
      <c r="L122" s="67" t="s">
        <v>853</v>
      </c>
      <c r="M122" s="66">
        <f>23430</f>
        <v>23430</v>
      </c>
      <c r="N122" s="67" t="s">
        <v>96</v>
      </c>
      <c r="O122" s="66">
        <f>22150</f>
        <v>22150</v>
      </c>
      <c r="P122" s="67" t="s">
        <v>268</v>
      </c>
      <c r="Q122" s="66">
        <f>22640</f>
        <v>22640</v>
      </c>
      <c r="R122" s="67" t="s">
        <v>873</v>
      </c>
      <c r="S122" s="68">
        <f>23012.73</f>
        <v>23012.73</v>
      </c>
      <c r="T122" s="65">
        <f>123308</f>
        <v>123308</v>
      </c>
      <c r="U122" s="65">
        <f>84545</f>
        <v>84545</v>
      </c>
      <c r="V122" s="65">
        <f>2850412568</f>
        <v>2850412568</v>
      </c>
      <c r="W122" s="65">
        <f>1956296768</f>
        <v>1956296768</v>
      </c>
      <c r="X122" s="69">
        <f>22</f>
        <v>22</v>
      </c>
    </row>
    <row r="123" spans="1:24">
      <c r="A123" s="60" t="s">
        <v>907</v>
      </c>
      <c r="B123" s="60" t="s">
        <v>411</v>
      </c>
      <c r="C123" s="60" t="s">
        <v>412</v>
      </c>
      <c r="D123" s="60" t="s">
        <v>413</v>
      </c>
      <c r="E123" s="61" t="s">
        <v>46</v>
      </c>
      <c r="F123" s="62" t="s">
        <v>46</v>
      </c>
      <c r="G123" s="63" t="s">
        <v>46</v>
      </c>
      <c r="H123" s="64"/>
      <c r="I123" s="64" t="s">
        <v>47</v>
      </c>
      <c r="J123" s="65">
        <v>1</v>
      </c>
      <c r="K123" s="66">
        <f>2320</f>
        <v>2320</v>
      </c>
      <c r="L123" s="67" t="s">
        <v>853</v>
      </c>
      <c r="M123" s="66">
        <f>2356</f>
        <v>2356</v>
      </c>
      <c r="N123" s="67" t="s">
        <v>69</v>
      </c>
      <c r="O123" s="66">
        <f>2221</f>
        <v>2221</v>
      </c>
      <c r="P123" s="67" t="s">
        <v>268</v>
      </c>
      <c r="Q123" s="66">
        <f>2304</f>
        <v>2304</v>
      </c>
      <c r="R123" s="67" t="s">
        <v>873</v>
      </c>
      <c r="S123" s="68">
        <f>2312.14</f>
        <v>2312.14</v>
      </c>
      <c r="T123" s="65">
        <f>517923</f>
        <v>517923</v>
      </c>
      <c r="U123" s="65" t="str">
        <f>"－"</f>
        <v>－</v>
      </c>
      <c r="V123" s="65">
        <f>1204549514</f>
        <v>1204549514</v>
      </c>
      <c r="W123" s="65" t="str">
        <f>"－"</f>
        <v>－</v>
      </c>
      <c r="X123" s="69">
        <f>22</f>
        <v>22</v>
      </c>
    </row>
    <row r="124" spans="1:24">
      <c r="A124" s="60" t="s">
        <v>907</v>
      </c>
      <c r="B124" s="60" t="s">
        <v>414</v>
      </c>
      <c r="C124" s="60" t="s">
        <v>415</v>
      </c>
      <c r="D124" s="60" t="s">
        <v>416</v>
      </c>
      <c r="E124" s="61" t="s">
        <v>46</v>
      </c>
      <c r="F124" s="62" t="s">
        <v>46</v>
      </c>
      <c r="G124" s="63" t="s">
        <v>46</v>
      </c>
      <c r="H124" s="64"/>
      <c r="I124" s="64" t="s">
        <v>47</v>
      </c>
      <c r="J124" s="65">
        <v>10</v>
      </c>
      <c r="K124" s="66">
        <f>17120</f>
        <v>17120</v>
      </c>
      <c r="L124" s="67" t="s">
        <v>853</v>
      </c>
      <c r="M124" s="66">
        <f>17650</f>
        <v>17650</v>
      </c>
      <c r="N124" s="67" t="s">
        <v>69</v>
      </c>
      <c r="O124" s="66">
        <f>15630</f>
        <v>15630</v>
      </c>
      <c r="P124" s="67" t="s">
        <v>268</v>
      </c>
      <c r="Q124" s="66">
        <f>16820</f>
        <v>16820</v>
      </c>
      <c r="R124" s="67" t="s">
        <v>873</v>
      </c>
      <c r="S124" s="68">
        <f>16996.82</f>
        <v>16996.82</v>
      </c>
      <c r="T124" s="65">
        <f>20581520</f>
        <v>20581520</v>
      </c>
      <c r="U124" s="65">
        <f>2330</f>
        <v>2330</v>
      </c>
      <c r="V124" s="65">
        <f>348314263370</f>
        <v>348314263370</v>
      </c>
      <c r="W124" s="65">
        <f>37826870</f>
        <v>37826870</v>
      </c>
      <c r="X124" s="69">
        <f>22</f>
        <v>22</v>
      </c>
    </row>
    <row r="125" spans="1:24">
      <c r="A125" s="60" t="s">
        <v>907</v>
      </c>
      <c r="B125" s="60" t="s">
        <v>417</v>
      </c>
      <c r="C125" s="60" t="s">
        <v>418</v>
      </c>
      <c r="D125" s="60" t="s">
        <v>419</v>
      </c>
      <c r="E125" s="61" t="s">
        <v>46</v>
      </c>
      <c r="F125" s="62" t="s">
        <v>46</v>
      </c>
      <c r="G125" s="63" t="s">
        <v>46</v>
      </c>
      <c r="H125" s="64"/>
      <c r="I125" s="64" t="s">
        <v>47</v>
      </c>
      <c r="J125" s="65">
        <v>10</v>
      </c>
      <c r="K125" s="66">
        <f>2685</f>
        <v>2685</v>
      </c>
      <c r="L125" s="67" t="s">
        <v>853</v>
      </c>
      <c r="M125" s="66">
        <f>2800</f>
        <v>2800</v>
      </c>
      <c r="N125" s="67" t="s">
        <v>268</v>
      </c>
      <c r="O125" s="66">
        <f>2644</f>
        <v>2644</v>
      </c>
      <c r="P125" s="67" t="s">
        <v>69</v>
      </c>
      <c r="Q125" s="66">
        <f>2699</f>
        <v>2699</v>
      </c>
      <c r="R125" s="67" t="s">
        <v>873</v>
      </c>
      <c r="S125" s="68">
        <f>2691.41</f>
        <v>2691.41</v>
      </c>
      <c r="T125" s="65">
        <f>1043400</f>
        <v>1043400</v>
      </c>
      <c r="U125" s="65" t="str">
        <f>"－"</f>
        <v>－</v>
      </c>
      <c r="V125" s="65">
        <f>2817289410</f>
        <v>2817289410</v>
      </c>
      <c r="W125" s="65" t="str">
        <f>"－"</f>
        <v>－</v>
      </c>
      <c r="X125" s="69">
        <f>22</f>
        <v>22</v>
      </c>
    </row>
    <row r="126" spans="1:24">
      <c r="A126" s="60" t="s">
        <v>907</v>
      </c>
      <c r="B126" s="60" t="s">
        <v>420</v>
      </c>
      <c r="C126" s="60" t="s">
        <v>421</v>
      </c>
      <c r="D126" s="60" t="s">
        <v>422</v>
      </c>
      <c r="E126" s="61" t="s">
        <v>46</v>
      </c>
      <c r="F126" s="62" t="s">
        <v>46</v>
      </c>
      <c r="G126" s="63" t="s">
        <v>46</v>
      </c>
      <c r="H126" s="64"/>
      <c r="I126" s="64" t="s">
        <v>47</v>
      </c>
      <c r="J126" s="65">
        <v>10</v>
      </c>
      <c r="K126" s="66">
        <f>1013</f>
        <v>1013</v>
      </c>
      <c r="L126" s="67" t="s">
        <v>857</v>
      </c>
      <c r="M126" s="66">
        <f>1013</f>
        <v>1013</v>
      </c>
      <c r="N126" s="67" t="s">
        <v>857</v>
      </c>
      <c r="O126" s="66">
        <f>970</f>
        <v>970</v>
      </c>
      <c r="P126" s="67" t="s">
        <v>172</v>
      </c>
      <c r="Q126" s="66">
        <f>995</f>
        <v>995</v>
      </c>
      <c r="R126" s="67" t="s">
        <v>50</v>
      </c>
      <c r="S126" s="68">
        <f>992.81</f>
        <v>992.81</v>
      </c>
      <c r="T126" s="65">
        <f>2560</f>
        <v>2560</v>
      </c>
      <c r="U126" s="65" t="str">
        <f>"－"</f>
        <v>－</v>
      </c>
      <c r="V126" s="65">
        <f>2532100</f>
        <v>2532100</v>
      </c>
      <c r="W126" s="65" t="str">
        <f>"－"</f>
        <v>－</v>
      </c>
      <c r="X126" s="69">
        <f>16</f>
        <v>16</v>
      </c>
    </row>
    <row r="127" spans="1:24">
      <c r="A127" s="60" t="s">
        <v>907</v>
      </c>
      <c r="B127" s="60" t="s">
        <v>423</v>
      </c>
      <c r="C127" s="60" t="s">
        <v>424</v>
      </c>
      <c r="D127" s="60" t="s">
        <v>425</v>
      </c>
      <c r="E127" s="61" t="s">
        <v>46</v>
      </c>
      <c r="F127" s="62" t="s">
        <v>46</v>
      </c>
      <c r="G127" s="63" t="s">
        <v>46</v>
      </c>
      <c r="H127" s="64"/>
      <c r="I127" s="64" t="s">
        <v>47</v>
      </c>
      <c r="J127" s="65">
        <v>10</v>
      </c>
      <c r="K127" s="66">
        <f>1537</f>
        <v>1537</v>
      </c>
      <c r="L127" s="67" t="s">
        <v>853</v>
      </c>
      <c r="M127" s="66">
        <f>1567</f>
        <v>1567</v>
      </c>
      <c r="N127" s="67" t="s">
        <v>854</v>
      </c>
      <c r="O127" s="66">
        <f>1500</f>
        <v>1500</v>
      </c>
      <c r="P127" s="67" t="s">
        <v>858</v>
      </c>
      <c r="Q127" s="66">
        <f>1559</f>
        <v>1559</v>
      </c>
      <c r="R127" s="67" t="s">
        <v>88</v>
      </c>
      <c r="S127" s="68">
        <f>1543.47</f>
        <v>1543.47</v>
      </c>
      <c r="T127" s="65">
        <f>156390</f>
        <v>156390</v>
      </c>
      <c r="U127" s="65">
        <f>153930</f>
        <v>153930</v>
      </c>
      <c r="V127" s="65">
        <f>243535058</f>
        <v>243535058</v>
      </c>
      <c r="W127" s="65">
        <f>239737028</f>
        <v>239737028</v>
      </c>
      <c r="X127" s="69">
        <f>15</f>
        <v>15</v>
      </c>
    </row>
    <row r="128" spans="1:24">
      <c r="A128" s="60" t="s">
        <v>907</v>
      </c>
      <c r="B128" s="60" t="s">
        <v>426</v>
      </c>
      <c r="C128" s="60" t="s">
        <v>427</v>
      </c>
      <c r="D128" s="60" t="s">
        <v>428</v>
      </c>
      <c r="E128" s="61" t="s">
        <v>46</v>
      </c>
      <c r="F128" s="62" t="s">
        <v>46</v>
      </c>
      <c r="G128" s="63" t="s">
        <v>46</v>
      </c>
      <c r="H128" s="64"/>
      <c r="I128" s="64" t="s">
        <v>47</v>
      </c>
      <c r="J128" s="65">
        <v>1</v>
      </c>
      <c r="K128" s="66">
        <f>1722</f>
        <v>1722</v>
      </c>
      <c r="L128" s="67" t="s">
        <v>853</v>
      </c>
      <c r="M128" s="66">
        <f>1806</f>
        <v>1806</v>
      </c>
      <c r="N128" s="67" t="s">
        <v>49</v>
      </c>
      <c r="O128" s="66">
        <f>1702</f>
        <v>1702</v>
      </c>
      <c r="P128" s="67" t="s">
        <v>268</v>
      </c>
      <c r="Q128" s="66">
        <f>1742</f>
        <v>1742</v>
      </c>
      <c r="R128" s="67" t="s">
        <v>50</v>
      </c>
      <c r="S128" s="68">
        <f>1744.68</f>
        <v>1744.68</v>
      </c>
      <c r="T128" s="65">
        <f>272021</f>
        <v>272021</v>
      </c>
      <c r="U128" s="65">
        <f>270002</f>
        <v>270002</v>
      </c>
      <c r="V128" s="65">
        <f>476789609</f>
        <v>476789609</v>
      </c>
      <c r="W128" s="65">
        <f>473248730</f>
        <v>473248730</v>
      </c>
      <c r="X128" s="69">
        <f>19</f>
        <v>19</v>
      </c>
    </row>
    <row r="129" spans="1:24">
      <c r="A129" s="60" t="s">
        <v>907</v>
      </c>
      <c r="B129" s="60" t="s">
        <v>429</v>
      </c>
      <c r="C129" s="60" t="s">
        <v>430</v>
      </c>
      <c r="D129" s="60" t="s">
        <v>431</v>
      </c>
      <c r="E129" s="61" t="s">
        <v>46</v>
      </c>
      <c r="F129" s="62" t="s">
        <v>46</v>
      </c>
      <c r="G129" s="63" t="s">
        <v>46</v>
      </c>
      <c r="H129" s="64"/>
      <c r="I129" s="64" t="s">
        <v>47</v>
      </c>
      <c r="J129" s="65">
        <v>1</v>
      </c>
      <c r="K129" s="66">
        <f>17510</f>
        <v>17510</v>
      </c>
      <c r="L129" s="67" t="s">
        <v>853</v>
      </c>
      <c r="M129" s="66">
        <f>17950</f>
        <v>17950</v>
      </c>
      <c r="N129" s="67" t="s">
        <v>854</v>
      </c>
      <c r="O129" s="66">
        <f>17100</f>
        <v>17100</v>
      </c>
      <c r="P129" s="67" t="s">
        <v>268</v>
      </c>
      <c r="Q129" s="66">
        <f>17590</f>
        <v>17590</v>
      </c>
      <c r="R129" s="67" t="s">
        <v>873</v>
      </c>
      <c r="S129" s="68">
        <f>17681.36</f>
        <v>17681.36</v>
      </c>
      <c r="T129" s="65">
        <f>223350</f>
        <v>223350</v>
      </c>
      <c r="U129" s="65">
        <f>62968</f>
        <v>62968</v>
      </c>
      <c r="V129" s="65">
        <f>3962983072</f>
        <v>3962983072</v>
      </c>
      <c r="W129" s="65">
        <f>1124209112</f>
        <v>1124209112</v>
      </c>
      <c r="X129" s="69">
        <f>22</f>
        <v>22</v>
      </c>
    </row>
    <row r="130" spans="1:24">
      <c r="A130" s="60" t="s">
        <v>907</v>
      </c>
      <c r="B130" s="60" t="s">
        <v>432</v>
      </c>
      <c r="C130" s="60" t="s">
        <v>433</v>
      </c>
      <c r="D130" s="60" t="s">
        <v>434</v>
      </c>
      <c r="E130" s="61" t="s">
        <v>46</v>
      </c>
      <c r="F130" s="62" t="s">
        <v>46</v>
      </c>
      <c r="G130" s="63" t="s">
        <v>46</v>
      </c>
      <c r="H130" s="64"/>
      <c r="I130" s="64" t="s">
        <v>47</v>
      </c>
      <c r="J130" s="65">
        <v>1</v>
      </c>
      <c r="K130" s="66">
        <f>1619</f>
        <v>1619</v>
      </c>
      <c r="L130" s="67" t="s">
        <v>853</v>
      </c>
      <c r="M130" s="66">
        <f>1654</f>
        <v>1654</v>
      </c>
      <c r="N130" s="67" t="s">
        <v>854</v>
      </c>
      <c r="O130" s="66">
        <f>1579</f>
        <v>1579</v>
      </c>
      <c r="P130" s="67" t="s">
        <v>268</v>
      </c>
      <c r="Q130" s="66">
        <f>1621</f>
        <v>1621</v>
      </c>
      <c r="R130" s="67" t="s">
        <v>873</v>
      </c>
      <c r="S130" s="68">
        <f>1630.27</f>
        <v>1630.27</v>
      </c>
      <c r="T130" s="65">
        <f>175411</f>
        <v>175411</v>
      </c>
      <c r="U130" s="65">
        <f>9006</f>
        <v>9006</v>
      </c>
      <c r="V130" s="65">
        <f>283079366</f>
        <v>283079366</v>
      </c>
      <c r="W130" s="65">
        <f>14687042</f>
        <v>14687042</v>
      </c>
      <c r="X130" s="69">
        <f>22</f>
        <v>22</v>
      </c>
    </row>
    <row r="131" spans="1:24">
      <c r="A131" s="60" t="s">
        <v>907</v>
      </c>
      <c r="B131" s="60" t="s">
        <v>435</v>
      </c>
      <c r="C131" s="60" t="s">
        <v>436</v>
      </c>
      <c r="D131" s="60" t="s">
        <v>437</v>
      </c>
      <c r="E131" s="61" t="s">
        <v>46</v>
      </c>
      <c r="F131" s="62" t="s">
        <v>46</v>
      </c>
      <c r="G131" s="63" t="s">
        <v>46</v>
      </c>
      <c r="H131" s="64"/>
      <c r="I131" s="64" t="s">
        <v>47</v>
      </c>
      <c r="J131" s="65">
        <v>1</v>
      </c>
      <c r="K131" s="66">
        <f>18000</f>
        <v>18000</v>
      </c>
      <c r="L131" s="67" t="s">
        <v>853</v>
      </c>
      <c r="M131" s="66">
        <f>18460</f>
        <v>18460</v>
      </c>
      <c r="N131" s="67" t="s">
        <v>854</v>
      </c>
      <c r="O131" s="66">
        <f>17610</f>
        <v>17610</v>
      </c>
      <c r="P131" s="67" t="s">
        <v>268</v>
      </c>
      <c r="Q131" s="66">
        <f>18100</f>
        <v>18100</v>
      </c>
      <c r="R131" s="67" t="s">
        <v>873</v>
      </c>
      <c r="S131" s="68">
        <f>18199.09</f>
        <v>18199.09</v>
      </c>
      <c r="T131" s="65">
        <f>19666</f>
        <v>19666</v>
      </c>
      <c r="U131" s="65">
        <f>1805</f>
        <v>1805</v>
      </c>
      <c r="V131" s="65">
        <f>356685530</f>
        <v>356685530</v>
      </c>
      <c r="W131" s="65">
        <f>32827690</f>
        <v>32827690</v>
      </c>
      <c r="X131" s="69">
        <f>22</f>
        <v>22</v>
      </c>
    </row>
    <row r="132" spans="1:24">
      <c r="A132" s="60" t="s">
        <v>907</v>
      </c>
      <c r="B132" s="60" t="s">
        <v>438</v>
      </c>
      <c r="C132" s="60" t="s">
        <v>439</v>
      </c>
      <c r="D132" s="60" t="s">
        <v>440</v>
      </c>
      <c r="E132" s="61" t="s">
        <v>46</v>
      </c>
      <c r="F132" s="62" t="s">
        <v>46</v>
      </c>
      <c r="G132" s="63" t="s">
        <v>46</v>
      </c>
      <c r="H132" s="64"/>
      <c r="I132" s="64" t="s">
        <v>47</v>
      </c>
      <c r="J132" s="65">
        <v>10</v>
      </c>
      <c r="K132" s="66">
        <f>2107</f>
        <v>2107</v>
      </c>
      <c r="L132" s="67" t="s">
        <v>853</v>
      </c>
      <c r="M132" s="66">
        <f>2209</f>
        <v>2209</v>
      </c>
      <c r="N132" s="67" t="s">
        <v>873</v>
      </c>
      <c r="O132" s="66">
        <f>2092</f>
        <v>2092</v>
      </c>
      <c r="P132" s="67" t="s">
        <v>853</v>
      </c>
      <c r="Q132" s="66">
        <f>2194</f>
        <v>2194</v>
      </c>
      <c r="R132" s="67" t="s">
        <v>873</v>
      </c>
      <c r="S132" s="68">
        <f>2170.32</f>
        <v>2170.3200000000002</v>
      </c>
      <c r="T132" s="65">
        <f>838800</f>
        <v>838800</v>
      </c>
      <c r="U132" s="65">
        <f>159760</f>
        <v>159760</v>
      </c>
      <c r="V132" s="65">
        <f>1822986568</f>
        <v>1822986568</v>
      </c>
      <c r="W132" s="65">
        <f>347121518</f>
        <v>347121518</v>
      </c>
      <c r="X132" s="69">
        <f>22</f>
        <v>22</v>
      </c>
    </row>
    <row r="133" spans="1:24">
      <c r="A133" s="60" t="s">
        <v>907</v>
      </c>
      <c r="B133" s="60" t="s">
        <v>441</v>
      </c>
      <c r="C133" s="60" t="s">
        <v>442</v>
      </c>
      <c r="D133" s="60" t="s">
        <v>443</v>
      </c>
      <c r="E133" s="61" t="s">
        <v>46</v>
      </c>
      <c r="F133" s="62" t="s">
        <v>46</v>
      </c>
      <c r="G133" s="63" t="s">
        <v>46</v>
      </c>
      <c r="H133" s="64"/>
      <c r="I133" s="64" t="s">
        <v>47</v>
      </c>
      <c r="J133" s="65">
        <v>10</v>
      </c>
      <c r="K133" s="66">
        <f>1719</f>
        <v>1719</v>
      </c>
      <c r="L133" s="67" t="s">
        <v>853</v>
      </c>
      <c r="M133" s="66">
        <f>1766</f>
        <v>1766</v>
      </c>
      <c r="N133" s="67" t="s">
        <v>854</v>
      </c>
      <c r="O133" s="66">
        <f>1700</f>
        <v>1700</v>
      </c>
      <c r="P133" s="67" t="s">
        <v>268</v>
      </c>
      <c r="Q133" s="66">
        <f>1740</f>
        <v>1740</v>
      </c>
      <c r="R133" s="67" t="s">
        <v>132</v>
      </c>
      <c r="S133" s="68">
        <f>1729</f>
        <v>1729</v>
      </c>
      <c r="T133" s="65">
        <f>280</f>
        <v>280</v>
      </c>
      <c r="U133" s="65">
        <f>20</f>
        <v>20</v>
      </c>
      <c r="V133" s="65">
        <f>480420</f>
        <v>480420</v>
      </c>
      <c r="W133" s="65">
        <f>34200</f>
        <v>34200</v>
      </c>
      <c r="X133" s="69">
        <f>4</f>
        <v>4</v>
      </c>
    </row>
    <row r="134" spans="1:24">
      <c r="A134" s="60" t="s">
        <v>907</v>
      </c>
      <c r="B134" s="60" t="s">
        <v>444</v>
      </c>
      <c r="C134" s="60" t="s">
        <v>445</v>
      </c>
      <c r="D134" s="60" t="s">
        <v>446</v>
      </c>
      <c r="E134" s="61" t="s">
        <v>46</v>
      </c>
      <c r="F134" s="62" t="s">
        <v>46</v>
      </c>
      <c r="G134" s="63" t="s">
        <v>46</v>
      </c>
      <c r="H134" s="64"/>
      <c r="I134" s="64" t="s">
        <v>47</v>
      </c>
      <c r="J134" s="65">
        <v>10</v>
      </c>
      <c r="K134" s="66">
        <f>2125</f>
        <v>2125</v>
      </c>
      <c r="L134" s="67" t="s">
        <v>853</v>
      </c>
      <c r="M134" s="66">
        <f>2214</f>
        <v>2214</v>
      </c>
      <c r="N134" s="67" t="s">
        <v>873</v>
      </c>
      <c r="O134" s="66">
        <f>2112</f>
        <v>2112</v>
      </c>
      <c r="P134" s="67" t="s">
        <v>853</v>
      </c>
      <c r="Q134" s="66">
        <f>2200</f>
        <v>2200</v>
      </c>
      <c r="R134" s="67" t="s">
        <v>873</v>
      </c>
      <c r="S134" s="68">
        <f>2178.14</f>
        <v>2178.14</v>
      </c>
      <c r="T134" s="65">
        <f>1163650</f>
        <v>1163650</v>
      </c>
      <c r="U134" s="65">
        <f>216870</f>
        <v>216870</v>
      </c>
      <c r="V134" s="65">
        <f>2538372803</f>
        <v>2538372803</v>
      </c>
      <c r="W134" s="65">
        <f>475475253</f>
        <v>475475253</v>
      </c>
      <c r="X134" s="69">
        <f>22</f>
        <v>22</v>
      </c>
    </row>
    <row r="135" spans="1:24">
      <c r="A135" s="60" t="s">
        <v>907</v>
      </c>
      <c r="B135" s="60" t="s">
        <v>447</v>
      </c>
      <c r="C135" s="60" t="s">
        <v>448</v>
      </c>
      <c r="D135" s="60" t="s">
        <v>449</v>
      </c>
      <c r="E135" s="61" t="s">
        <v>46</v>
      </c>
      <c r="F135" s="62" t="s">
        <v>46</v>
      </c>
      <c r="G135" s="63" t="s">
        <v>46</v>
      </c>
      <c r="H135" s="64"/>
      <c r="I135" s="64" t="s">
        <v>47</v>
      </c>
      <c r="J135" s="65">
        <v>1</v>
      </c>
      <c r="K135" s="66">
        <f>19130</f>
        <v>19130</v>
      </c>
      <c r="L135" s="67" t="s">
        <v>857</v>
      </c>
      <c r="M135" s="66">
        <f>20330</f>
        <v>20330</v>
      </c>
      <c r="N135" s="67" t="s">
        <v>856</v>
      </c>
      <c r="O135" s="66">
        <f>18810</f>
        <v>18810</v>
      </c>
      <c r="P135" s="67" t="s">
        <v>172</v>
      </c>
      <c r="Q135" s="66">
        <f>20240</f>
        <v>20240</v>
      </c>
      <c r="R135" s="67" t="s">
        <v>873</v>
      </c>
      <c r="S135" s="68">
        <f>19741.25</f>
        <v>19741.25</v>
      </c>
      <c r="T135" s="65">
        <f>42</f>
        <v>42</v>
      </c>
      <c r="U135" s="65" t="str">
        <f>"－"</f>
        <v>－</v>
      </c>
      <c r="V135" s="65">
        <f>822990</f>
        <v>822990</v>
      </c>
      <c r="W135" s="65" t="str">
        <f>"－"</f>
        <v>－</v>
      </c>
      <c r="X135" s="69">
        <f>8</f>
        <v>8</v>
      </c>
    </row>
    <row r="136" spans="1:24">
      <c r="A136" s="60" t="s">
        <v>907</v>
      </c>
      <c r="B136" s="60" t="s">
        <v>450</v>
      </c>
      <c r="C136" s="60" t="s">
        <v>451</v>
      </c>
      <c r="D136" s="60" t="s">
        <v>452</v>
      </c>
      <c r="E136" s="61" t="s">
        <v>46</v>
      </c>
      <c r="F136" s="62" t="s">
        <v>46</v>
      </c>
      <c r="G136" s="63" t="s">
        <v>46</v>
      </c>
      <c r="H136" s="64"/>
      <c r="I136" s="64" t="s">
        <v>47</v>
      </c>
      <c r="J136" s="65">
        <v>1</v>
      </c>
      <c r="K136" s="66">
        <f>17830</f>
        <v>17830</v>
      </c>
      <c r="L136" s="67" t="s">
        <v>853</v>
      </c>
      <c r="M136" s="66">
        <f>18260</f>
        <v>18260</v>
      </c>
      <c r="N136" s="67" t="s">
        <v>854</v>
      </c>
      <c r="O136" s="66">
        <f>17460</f>
        <v>17460</v>
      </c>
      <c r="P136" s="67" t="s">
        <v>268</v>
      </c>
      <c r="Q136" s="66">
        <f>18100</f>
        <v>18100</v>
      </c>
      <c r="R136" s="67" t="s">
        <v>88</v>
      </c>
      <c r="S136" s="68">
        <f>18038.95</f>
        <v>18038.95</v>
      </c>
      <c r="T136" s="65">
        <f>1087</f>
        <v>1087</v>
      </c>
      <c r="U136" s="65">
        <f>2</f>
        <v>2</v>
      </c>
      <c r="V136" s="65">
        <f>19371420</f>
        <v>19371420</v>
      </c>
      <c r="W136" s="65">
        <f>36330</f>
        <v>36330</v>
      </c>
      <c r="X136" s="69">
        <f>19</f>
        <v>19</v>
      </c>
    </row>
    <row r="137" spans="1:24">
      <c r="A137" s="60" t="s">
        <v>907</v>
      </c>
      <c r="B137" s="60" t="s">
        <v>453</v>
      </c>
      <c r="C137" s="60" t="s">
        <v>454</v>
      </c>
      <c r="D137" s="60" t="s">
        <v>455</v>
      </c>
      <c r="E137" s="61" t="s">
        <v>46</v>
      </c>
      <c r="F137" s="62" t="s">
        <v>46</v>
      </c>
      <c r="G137" s="63" t="s">
        <v>46</v>
      </c>
      <c r="H137" s="64"/>
      <c r="I137" s="64" t="s">
        <v>47</v>
      </c>
      <c r="J137" s="65">
        <v>100</v>
      </c>
      <c r="K137" s="66">
        <f>155</f>
        <v>155</v>
      </c>
      <c r="L137" s="67" t="s">
        <v>853</v>
      </c>
      <c r="M137" s="66">
        <f>159</f>
        <v>159</v>
      </c>
      <c r="N137" s="67" t="s">
        <v>858</v>
      </c>
      <c r="O137" s="66">
        <f>146</f>
        <v>146</v>
      </c>
      <c r="P137" s="67" t="s">
        <v>268</v>
      </c>
      <c r="Q137" s="66">
        <f>149</f>
        <v>149</v>
      </c>
      <c r="R137" s="67" t="s">
        <v>873</v>
      </c>
      <c r="S137" s="68">
        <f>152.64</f>
        <v>152.63999999999999</v>
      </c>
      <c r="T137" s="65">
        <f>64659300</f>
        <v>64659300</v>
      </c>
      <c r="U137" s="65">
        <f>1200</f>
        <v>1200</v>
      </c>
      <c r="V137" s="65">
        <f>9872362190</f>
        <v>9872362190</v>
      </c>
      <c r="W137" s="65">
        <f>177090</f>
        <v>177090</v>
      </c>
      <c r="X137" s="69">
        <f>22</f>
        <v>22</v>
      </c>
    </row>
    <row r="138" spans="1:24">
      <c r="A138" s="60" t="s">
        <v>907</v>
      </c>
      <c r="B138" s="60" t="s">
        <v>456</v>
      </c>
      <c r="C138" s="60" t="s">
        <v>457</v>
      </c>
      <c r="D138" s="60" t="s">
        <v>458</v>
      </c>
      <c r="E138" s="61" t="s">
        <v>46</v>
      </c>
      <c r="F138" s="62" t="s">
        <v>46</v>
      </c>
      <c r="G138" s="63" t="s">
        <v>46</v>
      </c>
      <c r="H138" s="64"/>
      <c r="I138" s="64" t="s">
        <v>47</v>
      </c>
      <c r="J138" s="65">
        <v>1</v>
      </c>
      <c r="K138" s="66">
        <f>27610</f>
        <v>27610</v>
      </c>
      <c r="L138" s="67" t="s">
        <v>853</v>
      </c>
      <c r="M138" s="66">
        <f>28950</f>
        <v>28950</v>
      </c>
      <c r="N138" s="67" t="s">
        <v>854</v>
      </c>
      <c r="O138" s="66">
        <f>27230</f>
        <v>27230</v>
      </c>
      <c r="P138" s="67" t="s">
        <v>857</v>
      </c>
      <c r="Q138" s="66">
        <f>28070</f>
        <v>28070</v>
      </c>
      <c r="R138" s="67" t="s">
        <v>873</v>
      </c>
      <c r="S138" s="68">
        <f>28276.36</f>
        <v>28276.36</v>
      </c>
      <c r="T138" s="65">
        <f>1752</f>
        <v>1752</v>
      </c>
      <c r="U138" s="65">
        <f>2</f>
        <v>2</v>
      </c>
      <c r="V138" s="65">
        <f>49493450</f>
        <v>49493450</v>
      </c>
      <c r="W138" s="65">
        <f>57030</f>
        <v>57030</v>
      </c>
      <c r="X138" s="69">
        <f>22</f>
        <v>22</v>
      </c>
    </row>
    <row r="139" spans="1:24">
      <c r="A139" s="60" t="s">
        <v>907</v>
      </c>
      <c r="B139" s="60" t="s">
        <v>459</v>
      </c>
      <c r="C139" s="60" t="s">
        <v>460</v>
      </c>
      <c r="D139" s="60" t="s">
        <v>461</v>
      </c>
      <c r="E139" s="61" t="s">
        <v>46</v>
      </c>
      <c r="F139" s="62" t="s">
        <v>46</v>
      </c>
      <c r="G139" s="63" t="s">
        <v>46</v>
      </c>
      <c r="H139" s="64"/>
      <c r="I139" s="64" t="s">
        <v>47</v>
      </c>
      <c r="J139" s="65">
        <v>1</v>
      </c>
      <c r="K139" s="66">
        <f>9800</f>
        <v>9800</v>
      </c>
      <c r="L139" s="67" t="s">
        <v>853</v>
      </c>
      <c r="M139" s="66">
        <f>10550</f>
        <v>10550</v>
      </c>
      <c r="N139" s="67" t="s">
        <v>88</v>
      </c>
      <c r="O139" s="66">
        <f>9740</f>
        <v>9740</v>
      </c>
      <c r="P139" s="67" t="s">
        <v>853</v>
      </c>
      <c r="Q139" s="66">
        <f>10220</f>
        <v>10220</v>
      </c>
      <c r="R139" s="67" t="s">
        <v>873</v>
      </c>
      <c r="S139" s="68">
        <f>10197.27</f>
        <v>10197.27</v>
      </c>
      <c r="T139" s="65">
        <f>12562</f>
        <v>12562</v>
      </c>
      <c r="U139" s="65">
        <f>2</f>
        <v>2</v>
      </c>
      <c r="V139" s="65">
        <f>127586670</f>
        <v>127586670</v>
      </c>
      <c r="W139" s="65">
        <f>20590</f>
        <v>20590</v>
      </c>
      <c r="X139" s="69">
        <f>22</f>
        <v>22</v>
      </c>
    </row>
    <row r="140" spans="1:24">
      <c r="A140" s="60" t="s">
        <v>907</v>
      </c>
      <c r="B140" s="60" t="s">
        <v>462</v>
      </c>
      <c r="C140" s="60" t="s">
        <v>463</v>
      </c>
      <c r="D140" s="60" t="s">
        <v>464</v>
      </c>
      <c r="E140" s="61" t="s">
        <v>46</v>
      </c>
      <c r="F140" s="62" t="s">
        <v>46</v>
      </c>
      <c r="G140" s="63" t="s">
        <v>46</v>
      </c>
      <c r="H140" s="64"/>
      <c r="I140" s="64" t="s">
        <v>47</v>
      </c>
      <c r="J140" s="65">
        <v>1</v>
      </c>
      <c r="K140" s="66">
        <f>22120</f>
        <v>22120</v>
      </c>
      <c r="L140" s="67" t="s">
        <v>853</v>
      </c>
      <c r="M140" s="66">
        <f>22510</f>
        <v>22510</v>
      </c>
      <c r="N140" s="67" t="s">
        <v>96</v>
      </c>
      <c r="O140" s="66">
        <f>21430</f>
        <v>21430</v>
      </c>
      <c r="P140" s="67" t="s">
        <v>268</v>
      </c>
      <c r="Q140" s="66">
        <f>22140</f>
        <v>22140</v>
      </c>
      <c r="R140" s="67" t="s">
        <v>873</v>
      </c>
      <c r="S140" s="68">
        <f>22227.5</f>
        <v>22227.5</v>
      </c>
      <c r="T140" s="65">
        <f>2519</f>
        <v>2519</v>
      </c>
      <c r="U140" s="65" t="str">
        <f>"－"</f>
        <v>－</v>
      </c>
      <c r="V140" s="65">
        <f>56096920</f>
        <v>56096920</v>
      </c>
      <c r="W140" s="65" t="str">
        <f>"－"</f>
        <v>－</v>
      </c>
      <c r="X140" s="69">
        <f>20</f>
        <v>20</v>
      </c>
    </row>
    <row r="141" spans="1:24">
      <c r="A141" s="60" t="s">
        <v>907</v>
      </c>
      <c r="B141" s="60" t="s">
        <v>465</v>
      </c>
      <c r="C141" s="60" t="s">
        <v>466</v>
      </c>
      <c r="D141" s="60" t="s">
        <v>467</v>
      </c>
      <c r="E141" s="61" t="s">
        <v>46</v>
      </c>
      <c r="F141" s="62" t="s">
        <v>46</v>
      </c>
      <c r="G141" s="63" t="s">
        <v>46</v>
      </c>
      <c r="H141" s="64"/>
      <c r="I141" s="64" t="s">
        <v>47</v>
      </c>
      <c r="J141" s="65">
        <v>1</v>
      </c>
      <c r="K141" s="66">
        <f>27810</f>
        <v>27810</v>
      </c>
      <c r="L141" s="67" t="s">
        <v>853</v>
      </c>
      <c r="M141" s="66">
        <f>28370</f>
        <v>28370</v>
      </c>
      <c r="N141" s="67" t="s">
        <v>854</v>
      </c>
      <c r="O141" s="66">
        <f>26950</f>
        <v>26950</v>
      </c>
      <c r="P141" s="67" t="s">
        <v>268</v>
      </c>
      <c r="Q141" s="66">
        <f>28000</f>
        <v>28000</v>
      </c>
      <c r="R141" s="67" t="s">
        <v>873</v>
      </c>
      <c r="S141" s="68">
        <f>27908.18</f>
        <v>27908.18</v>
      </c>
      <c r="T141" s="65">
        <f>1486</f>
        <v>1486</v>
      </c>
      <c r="U141" s="65">
        <f>1</f>
        <v>1</v>
      </c>
      <c r="V141" s="65">
        <f>41341310</f>
        <v>41341310</v>
      </c>
      <c r="W141" s="65">
        <f>28190</f>
        <v>28190</v>
      </c>
      <c r="X141" s="69">
        <f>22</f>
        <v>22</v>
      </c>
    </row>
    <row r="142" spans="1:24">
      <c r="A142" s="60" t="s">
        <v>907</v>
      </c>
      <c r="B142" s="60" t="s">
        <v>468</v>
      </c>
      <c r="C142" s="60" t="s">
        <v>469</v>
      </c>
      <c r="D142" s="60" t="s">
        <v>470</v>
      </c>
      <c r="E142" s="61" t="s">
        <v>46</v>
      </c>
      <c r="F142" s="62" t="s">
        <v>46</v>
      </c>
      <c r="G142" s="63" t="s">
        <v>46</v>
      </c>
      <c r="H142" s="64"/>
      <c r="I142" s="64" t="s">
        <v>47</v>
      </c>
      <c r="J142" s="65">
        <v>1</v>
      </c>
      <c r="K142" s="66">
        <f>23120</f>
        <v>23120</v>
      </c>
      <c r="L142" s="67" t="s">
        <v>853</v>
      </c>
      <c r="M142" s="66">
        <f>26540</f>
        <v>26540</v>
      </c>
      <c r="N142" s="67" t="s">
        <v>96</v>
      </c>
      <c r="O142" s="66">
        <f>22530</f>
        <v>22530</v>
      </c>
      <c r="P142" s="67" t="s">
        <v>857</v>
      </c>
      <c r="Q142" s="66">
        <f>24290</f>
        <v>24290</v>
      </c>
      <c r="R142" s="67" t="s">
        <v>873</v>
      </c>
      <c r="S142" s="68">
        <f>24187.73</f>
        <v>24187.73</v>
      </c>
      <c r="T142" s="65">
        <f>14921</f>
        <v>14921</v>
      </c>
      <c r="U142" s="65" t="str">
        <f>"－"</f>
        <v>－</v>
      </c>
      <c r="V142" s="65">
        <f>361866630</f>
        <v>361866630</v>
      </c>
      <c r="W142" s="65" t="str">
        <f>"－"</f>
        <v>－</v>
      </c>
      <c r="X142" s="69">
        <f>22</f>
        <v>22</v>
      </c>
    </row>
    <row r="143" spans="1:24">
      <c r="A143" s="60" t="s">
        <v>907</v>
      </c>
      <c r="B143" s="60" t="s">
        <v>471</v>
      </c>
      <c r="C143" s="60" t="s">
        <v>472</v>
      </c>
      <c r="D143" s="60" t="s">
        <v>473</v>
      </c>
      <c r="E143" s="61" t="s">
        <v>46</v>
      </c>
      <c r="F143" s="62" t="s">
        <v>46</v>
      </c>
      <c r="G143" s="63" t="s">
        <v>46</v>
      </c>
      <c r="H143" s="64"/>
      <c r="I143" s="64" t="s">
        <v>47</v>
      </c>
      <c r="J143" s="65">
        <v>1</v>
      </c>
      <c r="K143" s="66">
        <f>23360</f>
        <v>23360</v>
      </c>
      <c r="L143" s="67" t="s">
        <v>853</v>
      </c>
      <c r="M143" s="66">
        <f>25250</f>
        <v>25250</v>
      </c>
      <c r="N143" s="67" t="s">
        <v>854</v>
      </c>
      <c r="O143" s="66">
        <f>23360</f>
        <v>23360</v>
      </c>
      <c r="P143" s="67" t="s">
        <v>853</v>
      </c>
      <c r="Q143" s="66">
        <f>24370</f>
        <v>24370</v>
      </c>
      <c r="R143" s="67" t="s">
        <v>873</v>
      </c>
      <c r="S143" s="68">
        <f>24496.82</f>
        <v>24496.82</v>
      </c>
      <c r="T143" s="65">
        <f>3236</f>
        <v>3236</v>
      </c>
      <c r="U143" s="65">
        <f>4</f>
        <v>4</v>
      </c>
      <c r="V143" s="65">
        <f>78988810</f>
        <v>78988810</v>
      </c>
      <c r="W143" s="65">
        <f>99100</f>
        <v>99100</v>
      </c>
      <c r="X143" s="69">
        <f>22</f>
        <v>22</v>
      </c>
    </row>
    <row r="144" spans="1:24">
      <c r="A144" s="60" t="s">
        <v>907</v>
      </c>
      <c r="B144" s="60" t="s">
        <v>474</v>
      </c>
      <c r="C144" s="60" t="s">
        <v>475</v>
      </c>
      <c r="D144" s="60" t="s">
        <v>476</v>
      </c>
      <c r="E144" s="61" t="s">
        <v>46</v>
      </c>
      <c r="F144" s="62" t="s">
        <v>46</v>
      </c>
      <c r="G144" s="63" t="s">
        <v>46</v>
      </c>
      <c r="H144" s="64"/>
      <c r="I144" s="64" t="s">
        <v>47</v>
      </c>
      <c r="J144" s="65">
        <v>1</v>
      </c>
      <c r="K144" s="66">
        <f>16740</f>
        <v>16740</v>
      </c>
      <c r="L144" s="67" t="s">
        <v>853</v>
      </c>
      <c r="M144" s="66">
        <f>16820</f>
        <v>16820</v>
      </c>
      <c r="N144" s="67" t="s">
        <v>853</v>
      </c>
      <c r="O144" s="66">
        <f>15040</f>
        <v>15040</v>
      </c>
      <c r="P144" s="67" t="s">
        <v>268</v>
      </c>
      <c r="Q144" s="66">
        <f>15710</f>
        <v>15710</v>
      </c>
      <c r="R144" s="67" t="s">
        <v>873</v>
      </c>
      <c r="S144" s="68">
        <f>16047.27</f>
        <v>16047.27</v>
      </c>
      <c r="T144" s="65">
        <f>10556</f>
        <v>10556</v>
      </c>
      <c r="U144" s="65">
        <f>4</f>
        <v>4</v>
      </c>
      <c r="V144" s="65">
        <f>168019700</f>
        <v>168019700</v>
      </c>
      <c r="W144" s="65">
        <f>62800</f>
        <v>62800</v>
      </c>
      <c r="X144" s="69">
        <f>22</f>
        <v>22</v>
      </c>
    </row>
    <row r="145" spans="1:24">
      <c r="A145" s="60" t="s">
        <v>907</v>
      </c>
      <c r="B145" s="60" t="s">
        <v>477</v>
      </c>
      <c r="C145" s="60" t="s">
        <v>478</v>
      </c>
      <c r="D145" s="60" t="s">
        <v>479</v>
      </c>
      <c r="E145" s="61" t="s">
        <v>46</v>
      </c>
      <c r="F145" s="62" t="s">
        <v>46</v>
      </c>
      <c r="G145" s="63" t="s">
        <v>46</v>
      </c>
      <c r="H145" s="64"/>
      <c r="I145" s="64" t="s">
        <v>47</v>
      </c>
      <c r="J145" s="65">
        <v>1</v>
      </c>
      <c r="K145" s="66">
        <f>40700</f>
        <v>40700</v>
      </c>
      <c r="L145" s="67" t="s">
        <v>853</v>
      </c>
      <c r="M145" s="66">
        <f>41300</f>
        <v>41300</v>
      </c>
      <c r="N145" s="67" t="s">
        <v>48</v>
      </c>
      <c r="O145" s="66">
        <f>38350</f>
        <v>38350</v>
      </c>
      <c r="P145" s="67" t="s">
        <v>268</v>
      </c>
      <c r="Q145" s="66">
        <f>39150</f>
        <v>39150</v>
      </c>
      <c r="R145" s="67" t="s">
        <v>873</v>
      </c>
      <c r="S145" s="68">
        <f>39884.09</f>
        <v>39884.089999999997</v>
      </c>
      <c r="T145" s="65">
        <f>3743</f>
        <v>3743</v>
      </c>
      <c r="U145" s="65">
        <f>2</f>
        <v>2</v>
      </c>
      <c r="V145" s="65">
        <f>148932650</f>
        <v>148932650</v>
      </c>
      <c r="W145" s="65">
        <f>78050</f>
        <v>78050</v>
      </c>
      <c r="X145" s="69">
        <f>22</f>
        <v>22</v>
      </c>
    </row>
    <row r="146" spans="1:24">
      <c r="A146" s="60" t="s">
        <v>907</v>
      </c>
      <c r="B146" s="60" t="s">
        <v>480</v>
      </c>
      <c r="C146" s="60" t="s">
        <v>481</v>
      </c>
      <c r="D146" s="60" t="s">
        <v>482</v>
      </c>
      <c r="E146" s="61" t="s">
        <v>46</v>
      </c>
      <c r="F146" s="62" t="s">
        <v>46</v>
      </c>
      <c r="G146" s="63" t="s">
        <v>46</v>
      </c>
      <c r="H146" s="64"/>
      <c r="I146" s="64" t="s">
        <v>47</v>
      </c>
      <c r="J146" s="65">
        <v>1</v>
      </c>
      <c r="K146" s="66">
        <f>28150</f>
        <v>28150</v>
      </c>
      <c r="L146" s="67" t="s">
        <v>853</v>
      </c>
      <c r="M146" s="66">
        <f>28980</f>
        <v>28980</v>
      </c>
      <c r="N146" s="67" t="s">
        <v>88</v>
      </c>
      <c r="O146" s="66">
        <f>27780</f>
        <v>27780</v>
      </c>
      <c r="P146" s="67" t="s">
        <v>268</v>
      </c>
      <c r="Q146" s="66">
        <f>28870</f>
        <v>28870</v>
      </c>
      <c r="R146" s="67" t="s">
        <v>873</v>
      </c>
      <c r="S146" s="68">
        <f>28484.09</f>
        <v>28484.09</v>
      </c>
      <c r="T146" s="65">
        <f>4384</f>
        <v>4384</v>
      </c>
      <c r="U146" s="65" t="str">
        <f>"－"</f>
        <v>－</v>
      </c>
      <c r="V146" s="65">
        <f>124272900</f>
        <v>124272900</v>
      </c>
      <c r="W146" s="65" t="str">
        <f>"－"</f>
        <v>－</v>
      </c>
      <c r="X146" s="69">
        <f>22</f>
        <v>22</v>
      </c>
    </row>
    <row r="147" spans="1:24">
      <c r="A147" s="60" t="s">
        <v>907</v>
      </c>
      <c r="B147" s="60" t="s">
        <v>483</v>
      </c>
      <c r="C147" s="60" t="s">
        <v>484</v>
      </c>
      <c r="D147" s="60" t="s">
        <v>485</v>
      </c>
      <c r="E147" s="61" t="s">
        <v>46</v>
      </c>
      <c r="F147" s="62" t="s">
        <v>46</v>
      </c>
      <c r="G147" s="63" t="s">
        <v>46</v>
      </c>
      <c r="H147" s="64"/>
      <c r="I147" s="64" t="s">
        <v>47</v>
      </c>
      <c r="J147" s="65">
        <v>1</v>
      </c>
      <c r="K147" s="66">
        <f>30350</f>
        <v>30350</v>
      </c>
      <c r="L147" s="67" t="s">
        <v>853</v>
      </c>
      <c r="M147" s="66">
        <f>30550</f>
        <v>30550</v>
      </c>
      <c r="N147" s="67" t="s">
        <v>69</v>
      </c>
      <c r="O147" s="66">
        <f>28750</f>
        <v>28750</v>
      </c>
      <c r="P147" s="67" t="s">
        <v>268</v>
      </c>
      <c r="Q147" s="66">
        <f>30100</f>
        <v>30100</v>
      </c>
      <c r="R147" s="67" t="s">
        <v>873</v>
      </c>
      <c r="S147" s="68">
        <f>30100.45</f>
        <v>30100.45</v>
      </c>
      <c r="T147" s="65">
        <f>3179</f>
        <v>3179</v>
      </c>
      <c r="U147" s="65">
        <f>3</f>
        <v>3</v>
      </c>
      <c r="V147" s="65">
        <f>95479520</f>
        <v>95479520</v>
      </c>
      <c r="W147" s="65">
        <f>89860</f>
        <v>89860</v>
      </c>
      <c r="X147" s="69">
        <f>22</f>
        <v>22</v>
      </c>
    </row>
    <row r="148" spans="1:24">
      <c r="A148" s="60" t="s">
        <v>907</v>
      </c>
      <c r="B148" s="60" t="s">
        <v>486</v>
      </c>
      <c r="C148" s="60" t="s">
        <v>487</v>
      </c>
      <c r="D148" s="60" t="s">
        <v>488</v>
      </c>
      <c r="E148" s="61" t="s">
        <v>46</v>
      </c>
      <c r="F148" s="62" t="s">
        <v>46</v>
      </c>
      <c r="G148" s="63" t="s">
        <v>46</v>
      </c>
      <c r="H148" s="64"/>
      <c r="I148" s="64" t="s">
        <v>47</v>
      </c>
      <c r="J148" s="65">
        <v>1</v>
      </c>
      <c r="K148" s="66">
        <f>6170</f>
        <v>6170</v>
      </c>
      <c r="L148" s="67" t="s">
        <v>853</v>
      </c>
      <c r="M148" s="66">
        <f>6330</f>
        <v>6330</v>
      </c>
      <c r="N148" s="67" t="s">
        <v>854</v>
      </c>
      <c r="O148" s="66">
        <f>6020</f>
        <v>6020</v>
      </c>
      <c r="P148" s="67" t="s">
        <v>857</v>
      </c>
      <c r="Q148" s="66">
        <f>6170</f>
        <v>6170</v>
      </c>
      <c r="R148" s="67" t="s">
        <v>873</v>
      </c>
      <c r="S148" s="68">
        <f>6170</f>
        <v>6170</v>
      </c>
      <c r="T148" s="65">
        <f>19087</f>
        <v>19087</v>
      </c>
      <c r="U148" s="65">
        <f>1</f>
        <v>1</v>
      </c>
      <c r="V148" s="65">
        <f>117672490</f>
        <v>117672490</v>
      </c>
      <c r="W148" s="65">
        <f>6170</f>
        <v>6170</v>
      </c>
      <c r="X148" s="69">
        <f>22</f>
        <v>22</v>
      </c>
    </row>
    <row r="149" spans="1:24">
      <c r="A149" s="60" t="s">
        <v>907</v>
      </c>
      <c r="B149" s="60" t="s">
        <v>489</v>
      </c>
      <c r="C149" s="60" t="s">
        <v>490</v>
      </c>
      <c r="D149" s="60" t="s">
        <v>491</v>
      </c>
      <c r="E149" s="61" t="s">
        <v>46</v>
      </c>
      <c r="F149" s="62" t="s">
        <v>46</v>
      </c>
      <c r="G149" s="63" t="s">
        <v>46</v>
      </c>
      <c r="H149" s="64"/>
      <c r="I149" s="64" t="s">
        <v>47</v>
      </c>
      <c r="J149" s="65">
        <v>1</v>
      </c>
      <c r="K149" s="66">
        <f>15120</f>
        <v>15120</v>
      </c>
      <c r="L149" s="67" t="s">
        <v>853</v>
      </c>
      <c r="M149" s="66">
        <f>16270</f>
        <v>16270</v>
      </c>
      <c r="N149" s="67" t="s">
        <v>49</v>
      </c>
      <c r="O149" s="66">
        <f>14980</f>
        <v>14980</v>
      </c>
      <c r="P149" s="67" t="s">
        <v>853</v>
      </c>
      <c r="Q149" s="66">
        <f>15480</f>
        <v>15480</v>
      </c>
      <c r="R149" s="67" t="s">
        <v>873</v>
      </c>
      <c r="S149" s="68">
        <f>15799.09</f>
        <v>15799.09</v>
      </c>
      <c r="T149" s="65">
        <f>47955</f>
        <v>47955</v>
      </c>
      <c r="U149" s="65">
        <f>18</f>
        <v>18</v>
      </c>
      <c r="V149" s="65">
        <f>757711395</f>
        <v>757711395</v>
      </c>
      <c r="W149" s="65">
        <f>276365</f>
        <v>276365</v>
      </c>
      <c r="X149" s="69">
        <f>22</f>
        <v>22</v>
      </c>
    </row>
    <row r="150" spans="1:24">
      <c r="A150" s="60" t="s">
        <v>907</v>
      </c>
      <c r="B150" s="60" t="s">
        <v>492</v>
      </c>
      <c r="C150" s="60" t="s">
        <v>493</v>
      </c>
      <c r="D150" s="60" t="s">
        <v>494</v>
      </c>
      <c r="E150" s="61" t="s">
        <v>46</v>
      </c>
      <c r="F150" s="62" t="s">
        <v>46</v>
      </c>
      <c r="G150" s="63" t="s">
        <v>46</v>
      </c>
      <c r="H150" s="64"/>
      <c r="I150" s="64" t="s">
        <v>47</v>
      </c>
      <c r="J150" s="65">
        <v>1</v>
      </c>
      <c r="K150" s="66">
        <f>39300</f>
        <v>39300</v>
      </c>
      <c r="L150" s="67" t="s">
        <v>853</v>
      </c>
      <c r="M150" s="66">
        <f>40900</f>
        <v>40900</v>
      </c>
      <c r="N150" s="67" t="s">
        <v>854</v>
      </c>
      <c r="O150" s="66">
        <f>38350</f>
        <v>38350</v>
      </c>
      <c r="P150" s="67" t="s">
        <v>268</v>
      </c>
      <c r="Q150" s="66">
        <f>39550</f>
        <v>39550</v>
      </c>
      <c r="R150" s="67" t="s">
        <v>873</v>
      </c>
      <c r="S150" s="68">
        <f>39959.09</f>
        <v>39959.089999999997</v>
      </c>
      <c r="T150" s="65">
        <f>3796</f>
        <v>3796</v>
      </c>
      <c r="U150" s="65">
        <f>4</f>
        <v>4</v>
      </c>
      <c r="V150" s="65">
        <f>150387550</f>
        <v>150387550</v>
      </c>
      <c r="W150" s="65">
        <f>158700</f>
        <v>158700</v>
      </c>
      <c r="X150" s="69">
        <f>22</f>
        <v>22</v>
      </c>
    </row>
    <row r="151" spans="1:24">
      <c r="A151" s="60" t="s">
        <v>907</v>
      </c>
      <c r="B151" s="60" t="s">
        <v>495</v>
      </c>
      <c r="C151" s="60" t="s">
        <v>496</v>
      </c>
      <c r="D151" s="60" t="s">
        <v>497</v>
      </c>
      <c r="E151" s="61" t="s">
        <v>46</v>
      </c>
      <c r="F151" s="62" t="s">
        <v>46</v>
      </c>
      <c r="G151" s="63" t="s">
        <v>46</v>
      </c>
      <c r="H151" s="64"/>
      <c r="I151" s="64" t="s">
        <v>47</v>
      </c>
      <c r="J151" s="65">
        <v>1</v>
      </c>
      <c r="K151" s="66">
        <f>23150</f>
        <v>23150</v>
      </c>
      <c r="L151" s="67" t="s">
        <v>853</v>
      </c>
      <c r="M151" s="66">
        <f>24320</f>
        <v>24320</v>
      </c>
      <c r="N151" s="67" t="s">
        <v>88</v>
      </c>
      <c r="O151" s="66">
        <f>23000</f>
        <v>23000</v>
      </c>
      <c r="P151" s="67" t="s">
        <v>857</v>
      </c>
      <c r="Q151" s="66">
        <f>24000</f>
        <v>24000</v>
      </c>
      <c r="R151" s="67" t="s">
        <v>873</v>
      </c>
      <c r="S151" s="68">
        <f>23588.57</f>
        <v>23588.57</v>
      </c>
      <c r="T151" s="65">
        <f>625</f>
        <v>625</v>
      </c>
      <c r="U151" s="65">
        <f>2</f>
        <v>2</v>
      </c>
      <c r="V151" s="65">
        <f>14747940</f>
        <v>14747940</v>
      </c>
      <c r="W151" s="65">
        <f>46530</f>
        <v>46530</v>
      </c>
      <c r="X151" s="69">
        <f>21</f>
        <v>21</v>
      </c>
    </row>
    <row r="152" spans="1:24">
      <c r="A152" s="60" t="s">
        <v>907</v>
      </c>
      <c r="B152" s="60" t="s">
        <v>498</v>
      </c>
      <c r="C152" s="60" t="s">
        <v>499</v>
      </c>
      <c r="D152" s="60" t="s">
        <v>500</v>
      </c>
      <c r="E152" s="61" t="s">
        <v>46</v>
      </c>
      <c r="F152" s="62" t="s">
        <v>46</v>
      </c>
      <c r="G152" s="63" t="s">
        <v>46</v>
      </c>
      <c r="H152" s="64"/>
      <c r="I152" s="64" t="s">
        <v>47</v>
      </c>
      <c r="J152" s="65">
        <v>1</v>
      </c>
      <c r="K152" s="66">
        <f>8080</f>
        <v>8080</v>
      </c>
      <c r="L152" s="67" t="s">
        <v>853</v>
      </c>
      <c r="M152" s="66">
        <f>8250</f>
        <v>8250</v>
      </c>
      <c r="N152" s="67" t="s">
        <v>48</v>
      </c>
      <c r="O152" s="66">
        <f>7600</f>
        <v>7600</v>
      </c>
      <c r="P152" s="67" t="s">
        <v>268</v>
      </c>
      <c r="Q152" s="66">
        <f>7750</f>
        <v>7750</v>
      </c>
      <c r="R152" s="67" t="s">
        <v>873</v>
      </c>
      <c r="S152" s="68">
        <f>7945</f>
        <v>7945</v>
      </c>
      <c r="T152" s="65">
        <f>60905</f>
        <v>60905</v>
      </c>
      <c r="U152" s="65">
        <f>15</f>
        <v>15</v>
      </c>
      <c r="V152" s="65">
        <f>481120795</f>
        <v>481120795</v>
      </c>
      <c r="W152" s="65">
        <f>120335</f>
        <v>120335</v>
      </c>
      <c r="X152" s="69">
        <f>22</f>
        <v>22</v>
      </c>
    </row>
    <row r="153" spans="1:24">
      <c r="A153" s="60" t="s">
        <v>907</v>
      </c>
      <c r="B153" s="60" t="s">
        <v>501</v>
      </c>
      <c r="C153" s="60" t="s">
        <v>502</v>
      </c>
      <c r="D153" s="60" t="s">
        <v>503</v>
      </c>
      <c r="E153" s="61" t="s">
        <v>46</v>
      </c>
      <c r="F153" s="62" t="s">
        <v>46</v>
      </c>
      <c r="G153" s="63" t="s">
        <v>46</v>
      </c>
      <c r="H153" s="64"/>
      <c r="I153" s="64" t="s">
        <v>47</v>
      </c>
      <c r="J153" s="65">
        <v>1</v>
      </c>
      <c r="K153" s="66">
        <f>13440</f>
        <v>13440</v>
      </c>
      <c r="L153" s="67" t="s">
        <v>853</v>
      </c>
      <c r="M153" s="66">
        <f>13840</f>
        <v>13840</v>
      </c>
      <c r="N153" s="67" t="s">
        <v>48</v>
      </c>
      <c r="O153" s="66">
        <f>12750</f>
        <v>12750</v>
      </c>
      <c r="P153" s="67" t="s">
        <v>268</v>
      </c>
      <c r="Q153" s="66">
        <f>13050</f>
        <v>13050</v>
      </c>
      <c r="R153" s="67" t="s">
        <v>873</v>
      </c>
      <c r="S153" s="68">
        <f>13355</f>
        <v>13355</v>
      </c>
      <c r="T153" s="65">
        <f>4980</f>
        <v>4980</v>
      </c>
      <c r="U153" s="65">
        <f>4</f>
        <v>4</v>
      </c>
      <c r="V153" s="65">
        <f>65856590</f>
        <v>65856590</v>
      </c>
      <c r="W153" s="65">
        <f>53480</f>
        <v>53480</v>
      </c>
      <c r="X153" s="69">
        <f>22</f>
        <v>22</v>
      </c>
    </row>
    <row r="154" spans="1:24">
      <c r="A154" s="60" t="s">
        <v>907</v>
      </c>
      <c r="B154" s="60" t="s">
        <v>504</v>
      </c>
      <c r="C154" s="60" t="s">
        <v>505</v>
      </c>
      <c r="D154" s="60" t="s">
        <v>506</v>
      </c>
      <c r="E154" s="61" t="s">
        <v>46</v>
      </c>
      <c r="F154" s="62" t="s">
        <v>46</v>
      </c>
      <c r="G154" s="63" t="s">
        <v>46</v>
      </c>
      <c r="H154" s="64"/>
      <c r="I154" s="64" t="s">
        <v>47</v>
      </c>
      <c r="J154" s="65">
        <v>1</v>
      </c>
      <c r="K154" s="66">
        <f>29300</f>
        <v>29300</v>
      </c>
      <c r="L154" s="67" t="s">
        <v>853</v>
      </c>
      <c r="M154" s="66">
        <f>32150</f>
        <v>32150</v>
      </c>
      <c r="N154" s="67" t="s">
        <v>860</v>
      </c>
      <c r="O154" s="66">
        <f>29300</f>
        <v>29300</v>
      </c>
      <c r="P154" s="67" t="s">
        <v>853</v>
      </c>
      <c r="Q154" s="66">
        <f>30100</f>
        <v>30100</v>
      </c>
      <c r="R154" s="67" t="s">
        <v>873</v>
      </c>
      <c r="S154" s="68">
        <f>30939.09</f>
        <v>30939.09</v>
      </c>
      <c r="T154" s="65">
        <f>4239</f>
        <v>4239</v>
      </c>
      <c r="U154" s="65">
        <f>4</f>
        <v>4</v>
      </c>
      <c r="V154" s="65">
        <f>131100750</f>
        <v>131100750</v>
      </c>
      <c r="W154" s="65">
        <f>122000</f>
        <v>122000</v>
      </c>
      <c r="X154" s="69">
        <f>22</f>
        <v>22</v>
      </c>
    </row>
    <row r="155" spans="1:24">
      <c r="A155" s="60" t="s">
        <v>907</v>
      </c>
      <c r="B155" s="60" t="s">
        <v>507</v>
      </c>
      <c r="C155" s="60" t="s">
        <v>508</v>
      </c>
      <c r="D155" s="60" t="s">
        <v>509</v>
      </c>
      <c r="E155" s="61" t="s">
        <v>46</v>
      </c>
      <c r="F155" s="62" t="s">
        <v>46</v>
      </c>
      <c r="G155" s="63" t="s">
        <v>46</v>
      </c>
      <c r="H155" s="64"/>
      <c r="I155" s="64" t="s">
        <v>47</v>
      </c>
      <c r="J155" s="65">
        <v>10</v>
      </c>
      <c r="K155" s="66">
        <f>1087</f>
        <v>1087</v>
      </c>
      <c r="L155" s="67" t="s">
        <v>853</v>
      </c>
      <c r="M155" s="66">
        <f>1115</f>
        <v>1115</v>
      </c>
      <c r="N155" s="67" t="s">
        <v>172</v>
      </c>
      <c r="O155" s="66">
        <f>1047</f>
        <v>1047</v>
      </c>
      <c r="P155" s="67" t="s">
        <v>268</v>
      </c>
      <c r="Q155" s="66">
        <f>1078</f>
        <v>1078</v>
      </c>
      <c r="R155" s="67" t="s">
        <v>873</v>
      </c>
      <c r="S155" s="68">
        <f>1092.68</f>
        <v>1092.68</v>
      </c>
      <c r="T155" s="65">
        <f>170220</f>
        <v>170220</v>
      </c>
      <c r="U155" s="65">
        <f>40030</f>
        <v>40030</v>
      </c>
      <c r="V155" s="65">
        <f>187333380</f>
        <v>187333380</v>
      </c>
      <c r="W155" s="65">
        <f>44420990</f>
        <v>44420990</v>
      </c>
      <c r="X155" s="69">
        <f>22</f>
        <v>22</v>
      </c>
    </row>
    <row r="156" spans="1:24">
      <c r="A156" s="60" t="s">
        <v>907</v>
      </c>
      <c r="B156" s="60" t="s">
        <v>510</v>
      </c>
      <c r="C156" s="60" t="s">
        <v>511</v>
      </c>
      <c r="D156" s="60" t="s">
        <v>512</v>
      </c>
      <c r="E156" s="61" t="s">
        <v>46</v>
      </c>
      <c r="F156" s="62" t="s">
        <v>46</v>
      </c>
      <c r="G156" s="63" t="s">
        <v>46</v>
      </c>
      <c r="H156" s="64"/>
      <c r="I156" s="64" t="s">
        <v>47</v>
      </c>
      <c r="J156" s="65">
        <v>10</v>
      </c>
      <c r="K156" s="66">
        <f>2380</f>
        <v>2380</v>
      </c>
      <c r="L156" s="67" t="s">
        <v>858</v>
      </c>
      <c r="M156" s="66">
        <f>2431</f>
        <v>2431</v>
      </c>
      <c r="N156" s="67" t="s">
        <v>854</v>
      </c>
      <c r="O156" s="66">
        <f>2356</f>
        <v>2356</v>
      </c>
      <c r="P156" s="67" t="s">
        <v>268</v>
      </c>
      <c r="Q156" s="66">
        <f>2419</f>
        <v>2419</v>
      </c>
      <c r="R156" s="67" t="s">
        <v>176</v>
      </c>
      <c r="S156" s="68">
        <f>2403.5</f>
        <v>2403.5</v>
      </c>
      <c r="T156" s="65">
        <f>3520</f>
        <v>3520</v>
      </c>
      <c r="U156" s="65" t="str">
        <f>"－"</f>
        <v>－</v>
      </c>
      <c r="V156" s="65">
        <f>8459550</f>
        <v>8459550</v>
      </c>
      <c r="W156" s="65" t="str">
        <f>"－"</f>
        <v>－</v>
      </c>
      <c r="X156" s="69">
        <f>14</f>
        <v>14</v>
      </c>
    </row>
    <row r="157" spans="1:24">
      <c r="A157" s="60" t="s">
        <v>907</v>
      </c>
      <c r="B157" s="60" t="s">
        <v>513</v>
      </c>
      <c r="C157" s="60" t="s">
        <v>514</v>
      </c>
      <c r="D157" s="60" t="s">
        <v>515</v>
      </c>
      <c r="E157" s="61" t="s">
        <v>46</v>
      </c>
      <c r="F157" s="62" t="s">
        <v>46</v>
      </c>
      <c r="G157" s="63" t="s">
        <v>46</v>
      </c>
      <c r="H157" s="64"/>
      <c r="I157" s="64" t="s">
        <v>47</v>
      </c>
      <c r="J157" s="65">
        <v>10</v>
      </c>
      <c r="K157" s="66">
        <f>2465</f>
        <v>2465</v>
      </c>
      <c r="L157" s="67" t="s">
        <v>853</v>
      </c>
      <c r="M157" s="66">
        <f>2528</f>
        <v>2528</v>
      </c>
      <c r="N157" s="67" t="s">
        <v>854</v>
      </c>
      <c r="O157" s="66">
        <f>2416</f>
        <v>2416</v>
      </c>
      <c r="P157" s="67" t="s">
        <v>268</v>
      </c>
      <c r="Q157" s="66">
        <f>2481</f>
        <v>2481</v>
      </c>
      <c r="R157" s="67" t="s">
        <v>873</v>
      </c>
      <c r="S157" s="68">
        <f>2493.05</f>
        <v>2493.0500000000002</v>
      </c>
      <c r="T157" s="65">
        <f>96270</f>
        <v>96270</v>
      </c>
      <c r="U157" s="65">
        <f>83000</f>
        <v>83000</v>
      </c>
      <c r="V157" s="65">
        <f>233588990</f>
        <v>233588990</v>
      </c>
      <c r="W157" s="65">
        <f>201026000</f>
        <v>201026000</v>
      </c>
      <c r="X157" s="69">
        <f>21</f>
        <v>21</v>
      </c>
    </row>
    <row r="158" spans="1:24">
      <c r="A158" s="60" t="s">
        <v>907</v>
      </c>
      <c r="B158" s="60" t="s">
        <v>516</v>
      </c>
      <c r="C158" s="60" t="s">
        <v>517</v>
      </c>
      <c r="D158" s="60" t="s">
        <v>518</v>
      </c>
      <c r="E158" s="61" t="s">
        <v>46</v>
      </c>
      <c r="F158" s="62" t="s">
        <v>46</v>
      </c>
      <c r="G158" s="63" t="s">
        <v>46</v>
      </c>
      <c r="H158" s="64"/>
      <c r="I158" s="64" t="s">
        <v>47</v>
      </c>
      <c r="J158" s="65">
        <v>10</v>
      </c>
      <c r="K158" s="66">
        <f>1525</f>
        <v>1525</v>
      </c>
      <c r="L158" s="67" t="s">
        <v>858</v>
      </c>
      <c r="M158" s="66">
        <f>1529</f>
        <v>1529</v>
      </c>
      <c r="N158" s="67" t="s">
        <v>88</v>
      </c>
      <c r="O158" s="66">
        <f>1485</f>
        <v>1485</v>
      </c>
      <c r="P158" s="67" t="s">
        <v>268</v>
      </c>
      <c r="Q158" s="66">
        <f>1513</f>
        <v>1513</v>
      </c>
      <c r="R158" s="67" t="s">
        <v>873</v>
      </c>
      <c r="S158" s="68">
        <f>1516.13</f>
        <v>1516.13</v>
      </c>
      <c r="T158" s="65">
        <f>930</f>
        <v>930</v>
      </c>
      <c r="U158" s="65">
        <f>20</f>
        <v>20</v>
      </c>
      <c r="V158" s="65">
        <f>1415740</f>
        <v>1415740</v>
      </c>
      <c r="W158" s="65">
        <f>30380</f>
        <v>30380</v>
      </c>
      <c r="X158" s="69">
        <f>8</f>
        <v>8</v>
      </c>
    </row>
    <row r="159" spans="1:24">
      <c r="A159" s="60" t="s">
        <v>907</v>
      </c>
      <c r="B159" s="60" t="s">
        <v>519</v>
      </c>
      <c r="C159" s="60" t="s">
        <v>520</v>
      </c>
      <c r="D159" s="60" t="s">
        <v>521</v>
      </c>
      <c r="E159" s="61" t="s">
        <v>46</v>
      </c>
      <c r="F159" s="62" t="s">
        <v>46</v>
      </c>
      <c r="G159" s="63" t="s">
        <v>46</v>
      </c>
      <c r="H159" s="64"/>
      <c r="I159" s="64" t="s">
        <v>47</v>
      </c>
      <c r="J159" s="65">
        <v>1</v>
      </c>
      <c r="K159" s="66">
        <f>3300</f>
        <v>3300</v>
      </c>
      <c r="L159" s="67" t="s">
        <v>853</v>
      </c>
      <c r="M159" s="66">
        <f>3410</f>
        <v>3410</v>
      </c>
      <c r="N159" s="67" t="s">
        <v>88</v>
      </c>
      <c r="O159" s="66">
        <f>3255</f>
        <v>3255</v>
      </c>
      <c r="P159" s="67" t="s">
        <v>268</v>
      </c>
      <c r="Q159" s="66">
        <f>3400</f>
        <v>3400</v>
      </c>
      <c r="R159" s="67" t="s">
        <v>873</v>
      </c>
      <c r="S159" s="68">
        <f>3344.09</f>
        <v>3344.09</v>
      </c>
      <c r="T159" s="65">
        <f>4053286</f>
        <v>4053286</v>
      </c>
      <c r="U159" s="65">
        <f>559740</f>
        <v>559740</v>
      </c>
      <c r="V159" s="65">
        <f>13513714191</f>
        <v>13513714191</v>
      </c>
      <c r="W159" s="65">
        <f>1827851301</f>
        <v>1827851301</v>
      </c>
      <c r="X159" s="69">
        <f>22</f>
        <v>22</v>
      </c>
    </row>
    <row r="160" spans="1:24">
      <c r="A160" s="60" t="s">
        <v>907</v>
      </c>
      <c r="B160" s="60" t="s">
        <v>522</v>
      </c>
      <c r="C160" s="60" t="s">
        <v>523</v>
      </c>
      <c r="D160" s="60" t="s">
        <v>524</v>
      </c>
      <c r="E160" s="61" t="s">
        <v>46</v>
      </c>
      <c r="F160" s="62" t="s">
        <v>46</v>
      </c>
      <c r="G160" s="63" t="s">
        <v>46</v>
      </c>
      <c r="H160" s="64"/>
      <c r="I160" s="64" t="s">
        <v>47</v>
      </c>
      <c r="J160" s="65">
        <v>1</v>
      </c>
      <c r="K160" s="66">
        <f>2590</f>
        <v>2590</v>
      </c>
      <c r="L160" s="67" t="s">
        <v>853</v>
      </c>
      <c r="M160" s="66">
        <f>2645</f>
        <v>2645</v>
      </c>
      <c r="N160" s="67" t="s">
        <v>856</v>
      </c>
      <c r="O160" s="66">
        <f>2580</f>
        <v>2580</v>
      </c>
      <c r="P160" s="67" t="s">
        <v>853</v>
      </c>
      <c r="Q160" s="66">
        <f>2630</f>
        <v>2630</v>
      </c>
      <c r="R160" s="67" t="s">
        <v>873</v>
      </c>
      <c r="S160" s="68">
        <f>2615.05</f>
        <v>2615.0500000000002</v>
      </c>
      <c r="T160" s="65">
        <f>1396502</f>
        <v>1396502</v>
      </c>
      <c r="U160" s="65">
        <f>261101</f>
        <v>261101</v>
      </c>
      <c r="V160" s="65">
        <f>3652044086</f>
        <v>3652044086</v>
      </c>
      <c r="W160" s="65">
        <f>687965130</f>
        <v>687965130</v>
      </c>
      <c r="X160" s="69">
        <f>22</f>
        <v>22</v>
      </c>
    </row>
    <row r="161" spans="1:24">
      <c r="A161" s="60" t="s">
        <v>907</v>
      </c>
      <c r="B161" s="60" t="s">
        <v>525</v>
      </c>
      <c r="C161" s="60" t="s">
        <v>526</v>
      </c>
      <c r="D161" s="60" t="s">
        <v>527</v>
      </c>
      <c r="E161" s="61" t="s">
        <v>46</v>
      </c>
      <c r="F161" s="62" t="s">
        <v>46</v>
      </c>
      <c r="G161" s="63" t="s">
        <v>46</v>
      </c>
      <c r="H161" s="64"/>
      <c r="I161" s="64" t="s">
        <v>47</v>
      </c>
      <c r="J161" s="65">
        <v>1</v>
      </c>
      <c r="K161" s="66">
        <f>2999</f>
        <v>2999</v>
      </c>
      <c r="L161" s="67" t="s">
        <v>853</v>
      </c>
      <c r="M161" s="66">
        <f>3075</f>
        <v>3075</v>
      </c>
      <c r="N161" s="67" t="s">
        <v>88</v>
      </c>
      <c r="O161" s="66">
        <f>2935</f>
        <v>2935</v>
      </c>
      <c r="P161" s="67" t="s">
        <v>268</v>
      </c>
      <c r="Q161" s="66">
        <f>3060</f>
        <v>3060</v>
      </c>
      <c r="R161" s="67" t="s">
        <v>873</v>
      </c>
      <c r="S161" s="68">
        <f>3023.5</f>
        <v>3023.5</v>
      </c>
      <c r="T161" s="65">
        <f>83587</f>
        <v>83587</v>
      </c>
      <c r="U161" s="65">
        <f>3276</f>
        <v>3276</v>
      </c>
      <c r="V161" s="65">
        <f>252319713</f>
        <v>252319713</v>
      </c>
      <c r="W161" s="65">
        <f>9970337</f>
        <v>9970337</v>
      </c>
      <c r="X161" s="69">
        <f>22</f>
        <v>22</v>
      </c>
    </row>
    <row r="162" spans="1:24">
      <c r="A162" s="60" t="s">
        <v>907</v>
      </c>
      <c r="B162" s="60" t="s">
        <v>528</v>
      </c>
      <c r="C162" s="60" t="s">
        <v>529</v>
      </c>
      <c r="D162" s="60" t="s">
        <v>530</v>
      </c>
      <c r="E162" s="61" t="s">
        <v>46</v>
      </c>
      <c r="F162" s="62" t="s">
        <v>46</v>
      </c>
      <c r="G162" s="63" t="s">
        <v>46</v>
      </c>
      <c r="H162" s="64"/>
      <c r="I162" s="64" t="s">
        <v>47</v>
      </c>
      <c r="J162" s="65">
        <v>1</v>
      </c>
      <c r="K162" s="66">
        <f>2461</f>
        <v>2461</v>
      </c>
      <c r="L162" s="67" t="s">
        <v>853</v>
      </c>
      <c r="M162" s="66">
        <f>2550</f>
        <v>2550</v>
      </c>
      <c r="N162" s="67" t="s">
        <v>88</v>
      </c>
      <c r="O162" s="66">
        <f>2411</f>
        <v>2411</v>
      </c>
      <c r="P162" s="67" t="s">
        <v>268</v>
      </c>
      <c r="Q162" s="66">
        <f>2494</f>
        <v>2494</v>
      </c>
      <c r="R162" s="67" t="s">
        <v>873</v>
      </c>
      <c r="S162" s="68">
        <f>2477</f>
        <v>2477</v>
      </c>
      <c r="T162" s="65">
        <f>142693</f>
        <v>142693</v>
      </c>
      <c r="U162" s="65">
        <f>2</f>
        <v>2</v>
      </c>
      <c r="V162" s="65">
        <f>351974208</f>
        <v>351974208</v>
      </c>
      <c r="W162" s="65">
        <f>4946</f>
        <v>4946</v>
      </c>
      <c r="X162" s="69">
        <f>22</f>
        <v>22</v>
      </c>
    </row>
    <row r="163" spans="1:24">
      <c r="A163" s="60" t="s">
        <v>907</v>
      </c>
      <c r="B163" s="60" t="s">
        <v>531</v>
      </c>
      <c r="C163" s="60" t="s">
        <v>532</v>
      </c>
      <c r="D163" s="60" t="s">
        <v>533</v>
      </c>
      <c r="E163" s="61" t="s">
        <v>46</v>
      </c>
      <c r="F163" s="62" t="s">
        <v>46</v>
      </c>
      <c r="G163" s="63" t="s">
        <v>46</v>
      </c>
      <c r="H163" s="64"/>
      <c r="I163" s="64" t="s">
        <v>47</v>
      </c>
      <c r="J163" s="65">
        <v>1</v>
      </c>
      <c r="K163" s="66">
        <f>2340</f>
        <v>2340</v>
      </c>
      <c r="L163" s="67" t="s">
        <v>853</v>
      </c>
      <c r="M163" s="66">
        <f>2486</f>
        <v>2486</v>
      </c>
      <c r="N163" s="67" t="s">
        <v>69</v>
      </c>
      <c r="O163" s="66">
        <f>2328</f>
        <v>2328</v>
      </c>
      <c r="P163" s="67" t="s">
        <v>853</v>
      </c>
      <c r="Q163" s="66">
        <f>2428</f>
        <v>2428</v>
      </c>
      <c r="R163" s="67" t="s">
        <v>873</v>
      </c>
      <c r="S163" s="68">
        <f>2434.95</f>
        <v>2434.9499999999998</v>
      </c>
      <c r="T163" s="65">
        <f>967451</f>
        <v>967451</v>
      </c>
      <c r="U163" s="65">
        <f>611932</f>
        <v>611932</v>
      </c>
      <c r="V163" s="65">
        <f>2366518100</f>
        <v>2366518100</v>
      </c>
      <c r="W163" s="65">
        <f>1498468382</f>
        <v>1498468382</v>
      </c>
      <c r="X163" s="69">
        <f>22</f>
        <v>22</v>
      </c>
    </row>
    <row r="164" spans="1:24">
      <c r="A164" s="60" t="s">
        <v>907</v>
      </c>
      <c r="B164" s="60" t="s">
        <v>534</v>
      </c>
      <c r="C164" s="60" t="s">
        <v>535</v>
      </c>
      <c r="D164" s="60" t="s">
        <v>536</v>
      </c>
      <c r="E164" s="61" t="s">
        <v>46</v>
      </c>
      <c r="F164" s="62" t="s">
        <v>46</v>
      </c>
      <c r="G164" s="63" t="s">
        <v>46</v>
      </c>
      <c r="H164" s="64"/>
      <c r="I164" s="64" t="s">
        <v>47</v>
      </c>
      <c r="J164" s="65">
        <v>1</v>
      </c>
      <c r="K164" s="66">
        <f>11950</f>
        <v>11950</v>
      </c>
      <c r="L164" s="67" t="s">
        <v>853</v>
      </c>
      <c r="M164" s="66">
        <f>14200</f>
        <v>14200</v>
      </c>
      <c r="N164" s="67" t="s">
        <v>49</v>
      </c>
      <c r="O164" s="66">
        <f>11850</f>
        <v>11850</v>
      </c>
      <c r="P164" s="67" t="s">
        <v>853</v>
      </c>
      <c r="Q164" s="66">
        <f>12450</f>
        <v>12450</v>
      </c>
      <c r="R164" s="67" t="s">
        <v>873</v>
      </c>
      <c r="S164" s="68">
        <f>12488.64</f>
        <v>12488.64</v>
      </c>
      <c r="T164" s="65">
        <f>118094</f>
        <v>118094</v>
      </c>
      <c r="U164" s="65">
        <f>8904</f>
        <v>8904</v>
      </c>
      <c r="V164" s="65">
        <f>1468272792</f>
        <v>1468272792</v>
      </c>
      <c r="W164" s="65">
        <f>109739832</f>
        <v>109739832</v>
      </c>
      <c r="X164" s="69">
        <f>22</f>
        <v>22</v>
      </c>
    </row>
    <row r="165" spans="1:24">
      <c r="A165" s="60" t="s">
        <v>907</v>
      </c>
      <c r="B165" s="60" t="s">
        <v>541</v>
      </c>
      <c r="C165" s="60" t="s">
        <v>542</v>
      </c>
      <c r="D165" s="60" t="s">
        <v>543</v>
      </c>
      <c r="E165" s="61" t="s">
        <v>46</v>
      </c>
      <c r="F165" s="62" t="s">
        <v>46</v>
      </c>
      <c r="G165" s="63" t="s">
        <v>46</v>
      </c>
      <c r="H165" s="64"/>
      <c r="I165" s="64" t="s">
        <v>47</v>
      </c>
      <c r="J165" s="65">
        <v>1</v>
      </c>
      <c r="K165" s="66">
        <f>1406</f>
        <v>1406</v>
      </c>
      <c r="L165" s="67" t="s">
        <v>853</v>
      </c>
      <c r="M165" s="66">
        <f>1583</f>
        <v>1583</v>
      </c>
      <c r="N165" s="67" t="s">
        <v>88</v>
      </c>
      <c r="O165" s="66">
        <f>1404</f>
        <v>1404</v>
      </c>
      <c r="P165" s="67" t="s">
        <v>853</v>
      </c>
      <c r="Q165" s="66">
        <f>1556</f>
        <v>1556</v>
      </c>
      <c r="R165" s="67" t="s">
        <v>873</v>
      </c>
      <c r="S165" s="68">
        <f>1500.91</f>
        <v>1500.91</v>
      </c>
      <c r="T165" s="65">
        <f>30706132</f>
        <v>30706132</v>
      </c>
      <c r="U165" s="65">
        <f>10679</f>
        <v>10679</v>
      </c>
      <c r="V165" s="65">
        <f>45903726844</f>
        <v>45903726844</v>
      </c>
      <c r="W165" s="65">
        <f>16552243</f>
        <v>16552243</v>
      </c>
      <c r="X165" s="69">
        <f>22</f>
        <v>22</v>
      </c>
    </row>
    <row r="166" spans="1:24">
      <c r="A166" s="60" t="s">
        <v>907</v>
      </c>
      <c r="B166" s="60" t="s">
        <v>544</v>
      </c>
      <c r="C166" s="60" t="s">
        <v>545</v>
      </c>
      <c r="D166" s="60" t="s">
        <v>546</v>
      </c>
      <c r="E166" s="61" t="s">
        <v>46</v>
      </c>
      <c r="F166" s="62" t="s">
        <v>46</v>
      </c>
      <c r="G166" s="63" t="s">
        <v>46</v>
      </c>
      <c r="H166" s="64"/>
      <c r="I166" s="64" t="s">
        <v>47</v>
      </c>
      <c r="J166" s="65">
        <v>1</v>
      </c>
      <c r="K166" s="66">
        <f>19840</f>
        <v>19840</v>
      </c>
      <c r="L166" s="67" t="s">
        <v>853</v>
      </c>
      <c r="M166" s="66">
        <f>19840</f>
        <v>19840</v>
      </c>
      <c r="N166" s="67" t="s">
        <v>853</v>
      </c>
      <c r="O166" s="66">
        <f>18020</f>
        <v>18020</v>
      </c>
      <c r="P166" s="67" t="s">
        <v>100</v>
      </c>
      <c r="Q166" s="66">
        <f>18400</f>
        <v>18400</v>
      </c>
      <c r="R166" s="67" t="s">
        <v>873</v>
      </c>
      <c r="S166" s="68">
        <f>19110.91</f>
        <v>19110.91</v>
      </c>
      <c r="T166" s="65">
        <f>8913</f>
        <v>8913</v>
      </c>
      <c r="U166" s="65">
        <f>6</f>
        <v>6</v>
      </c>
      <c r="V166" s="65">
        <f>171350920</f>
        <v>171350920</v>
      </c>
      <c r="W166" s="65">
        <f>114330</f>
        <v>114330</v>
      </c>
      <c r="X166" s="69">
        <f>22</f>
        <v>22</v>
      </c>
    </row>
    <row r="167" spans="1:24">
      <c r="A167" s="60" t="s">
        <v>907</v>
      </c>
      <c r="B167" s="60" t="s">
        <v>547</v>
      </c>
      <c r="C167" s="60" t="s">
        <v>548</v>
      </c>
      <c r="D167" s="60" t="s">
        <v>549</v>
      </c>
      <c r="E167" s="61" t="s">
        <v>46</v>
      </c>
      <c r="F167" s="62" t="s">
        <v>46</v>
      </c>
      <c r="G167" s="63" t="s">
        <v>46</v>
      </c>
      <c r="H167" s="64"/>
      <c r="I167" s="64" t="s">
        <v>47</v>
      </c>
      <c r="J167" s="65">
        <v>10</v>
      </c>
      <c r="K167" s="66">
        <f>2865</f>
        <v>2865</v>
      </c>
      <c r="L167" s="67" t="s">
        <v>853</v>
      </c>
      <c r="M167" s="66">
        <f>2896</f>
        <v>2896</v>
      </c>
      <c r="N167" s="67" t="s">
        <v>858</v>
      </c>
      <c r="O167" s="66">
        <f>2625</f>
        <v>2625</v>
      </c>
      <c r="P167" s="67" t="s">
        <v>268</v>
      </c>
      <c r="Q167" s="66">
        <f>2666</f>
        <v>2666</v>
      </c>
      <c r="R167" s="67" t="s">
        <v>873</v>
      </c>
      <c r="S167" s="68">
        <f>2769.73</f>
        <v>2769.73</v>
      </c>
      <c r="T167" s="65">
        <f>42990</f>
        <v>42990</v>
      </c>
      <c r="U167" s="65">
        <f>40</f>
        <v>40</v>
      </c>
      <c r="V167" s="65">
        <f>120548320</f>
        <v>120548320</v>
      </c>
      <c r="W167" s="65">
        <f>108550</f>
        <v>108550</v>
      </c>
      <c r="X167" s="69">
        <f>22</f>
        <v>22</v>
      </c>
    </row>
    <row r="168" spans="1:24">
      <c r="A168" s="60" t="s">
        <v>907</v>
      </c>
      <c r="B168" s="60" t="s">
        <v>550</v>
      </c>
      <c r="C168" s="60" t="s">
        <v>551</v>
      </c>
      <c r="D168" s="60" t="s">
        <v>552</v>
      </c>
      <c r="E168" s="61" t="s">
        <v>46</v>
      </c>
      <c r="F168" s="62" t="s">
        <v>46</v>
      </c>
      <c r="G168" s="63" t="s">
        <v>46</v>
      </c>
      <c r="H168" s="64"/>
      <c r="I168" s="64" t="s">
        <v>47</v>
      </c>
      <c r="J168" s="65">
        <v>1</v>
      </c>
      <c r="K168" s="66">
        <f>12200</f>
        <v>12200</v>
      </c>
      <c r="L168" s="67" t="s">
        <v>853</v>
      </c>
      <c r="M168" s="66">
        <f>12250</f>
        <v>12250</v>
      </c>
      <c r="N168" s="67" t="s">
        <v>857</v>
      </c>
      <c r="O168" s="66">
        <f>10560</f>
        <v>10560</v>
      </c>
      <c r="P168" s="67" t="s">
        <v>268</v>
      </c>
      <c r="Q168" s="66">
        <f>11010</f>
        <v>11010</v>
      </c>
      <c r="R168" s="67" t="s">
        <v>873</v>
      </c>
      <c r="S168" s="68">
        <f>11567.27</f>
        <v>11567.27</v>
      </c>
      <c r="T168" s="65">
        <f>8947</f>
        <v>8947</v>
      </c>
      <c r="U168" s="65">
        <f>3</f>
        <v>3</v>
      </c>
      <c r="V168" s="65">
        <f>102887660</f>
        <v>102887660</v>
      </c>
      <c r="W168" s="65">
        <f>34600</f>
        <v>34600</v>
      </c>
      <c r="X168" s="69">
        <f>22</f>
        <v>22</v>
      </c>
    </row>
    <row r="169" spans="1:24">
      <c r="A169" s="60" t="s">
        <v>907</v>
      </c>
      <c r="B169" s="60" t="s">
        <v>553</v>
      </c>
      <c r="C169" s="60" t="s">
        <v>554</v>
      </c>
      <c r="D169" s="60" t="s">
        <v>555</v>
      </c>
      <c r="E169" s="61" t="s">
        <v>46</v>
      </c>
      <c r="F169" s="62" t="s">
        <v>46</v>
      </c>
      <c r="G169" s="63" t="s">
        <v>46</v>
      </c>
      <c r="H169" s="64"/>
      <c r="I169" s="64" t="s">
        <v>47</v>
      </c>
      <c r="J169" s="65">
        <v>1</v>
      </c>
      <c r="K169" s="66">
        <f>29000</f>
        <v>29000</v>
      </c>
      <c r="L169" s="67" t="s">
        <v>853</v>
      </c>
      <c r="M169" s="66">
        <f>29530</f>
        <v>29530</v>
      </c>
      <c r="N169" s="67" t="s">
        <v>853</v>
      </c>
      <c r="O169" s="66">
        <f>25330</f>
        <v>25330</v>
      </c>
      <c r="P169" s="67" t="s">
        <v>268</v>
      </c>
      <c r="Q169" s="66">
        <f>27590</f>
        <v>27590</v>
      </c>
      <c r="R169" s="67" t="s">
        <v>873</v>
      </c>
      <c r="S169" s="68">
        <f>27960</f>
        <v>27960</v>
      </c>
      <c r="T169" s="65">
        <f>1276</f>
        <v>1276</v>
      </c>
      <c r="U169" s="65">
        <f>2</f>
        <v>2</v>
      </c>
      <c r="V169" s="65">
        <f>35345530</f>
        <v>35345530</v>
      </c>
      <c r="W169" s="65">
        <f>55600</f>
        <v>55600</v>
      </c>
      <c r="X169" s="69">
        <f>22</f>
        <v>22</v>
      </c>
    </row>
    <row r="170" spans="1:24">
      <c r="A170" s="60" t="s">
        <v>907</v>
      </c>
      <c r="B170" s="60" t="s">
        <v>556</v>
      </c>
      <c r="C170" s="60" t="s">
        <v>557</v>
      </c>
      <c r="D170" s="60" t="s">
        <v>558</v>
      </c>
      <c r="E170" s="61" t="s">
        <v>46</v>
      </c>
      <c r="F170" s="62" t="s">
        <v>46</v>
      </c>
      <c r="G170" s="63" t="s">
        <v>46</v>
      </c>
      <c r="H170" s="64"/>
      <c r="I170" s="64" t="s">
        <v>47</v>
      </c>
      <c r="J170" s="65">
        <v>1</v>
      </c>
      <c r="K170" s="66">
        <f>18880</f>
        <v>18880</v>
      </c>
      <c r="L170" s="67" t="s">
        <v>48</v>
      </c>
      <c r="M170" s="66">
        <f>18890</f>
        <v>18890</v>
      </c>
      <c r="N170" s="67" t="s">
        <v>172</v>
      </c>
      <c r="O170" s="66">
        <f>16690</f>
        <v>16690</v>
      </c>
      <c r="P170" s="67" t="s">
        <v>856</v>
      </c>
      <c r="Q170" s="66">
        <f>17840</f>
        <v>17840</v>
      </c>
      <c r="R170" s="67" t="s">
        <v>88</v>
      </c>
      <c r="S170" s="68">
        <f>17994.44</f>
        <v>17994.439999999999</v>
      </c>
      <c r="T170" s="65">
        <f>44</f>
        <v>44</v>
      </c>
      <c r="U170" s="65" t="str">
        <f>"－"</f>
        <v>－</v>
      </c>
      <c r="V170" s="65">
        <f>772330</f>
        <v>772330</v>
      </c>
      <c r="W170" s="65" t="str">
        <f>"－"</f>
        <v>－</v>
      </c>
      <c r="X170" s="69">
        <f>9</f>
        <v>9</v>
      </c>
    </row>
    <row r="171" spans="1:24">
      <c r="A171" s="60" t="s">
        <v>907</v>
      </c>
      <c r="B171" s="60" t="s">
        <v>559</v>
      </c>
      <c r="C171" s="60" t="s">
        <v>560</v>
      </c>
      <c r="D171" s="60" t="s">
        <v>561</v>
      </c>
      <c r="E171" s="61" t="s">
        <v>46</v>
      </c>
      <c r="F171" s="62" t="s">
        <v>46</v>
      </c>
      <c r="G171" s="63" t="s">
        <v>46</v>
      </c>
      <c r="H171" s="64"/>
      <c r="I171" s="64" t="s">
        <v>47</v>
      </c>
      <c r="J171" s="65">
        <v>10</v>
      </c>
      <c r="K171" s="66">
        <f>51900</f>
        <v>51900</v>
      </c>
      <c r="L171" s="67" t="s">
        <v>853</v>
      </c>
      <c r="M171" s="66">
        <f>52300</f>
        <v>52300</v>
      </c>
      <c r="N171" s="67" t="s">
        <v>875</v>
      </c>
      <c r="O171" s="66">
        <f>51600</f>
        <v>51600</v>
      </c>
      <c r="P171" s="67" t="s">
        <v>100</v>
      </c>
      <c r="Q171" s="66">
        <f>51800</f>
        <v>51800</v>
      </c>
      <c r="R171" s="67" t="s">
        <v>873</v>
      </c>
      <c r="S171" s="68">
        <f>51995.45</f>
        <v>51995.45</v>
      </c>
      <c r="T171" s="65">
        <f>7990</f>
        <v>7990</v>
      </c>
      <c r="U171" s="65" t="str">
        <f>"－"</f>
        <v>－</v>
      </c>
      <c r="V171" s="65">
        <f>415444000</f>
        <v>415444000</v>
      </c>
      <c r="W171" s="65" t="str">
        <f>"－"</f>
        <v>－</v>
      </c>
      <c r="X171" s="69">
        <f>22</f>
        <v>22</v>
      </c>
    </row>
    <row r="172" spans="1:24">
      <c r="A172" s="60" t="s">
        <v>907</v>
      </c>
      <c r="B172" s="60" t="s">
        <v>562</v>
      </c>
      <c r="C172" s="60" t="s">
        <v>563</v>
      </c>
      <c r="D172" s="60" t="s">
        <v>564</v>
      </c>
      <c r="E172" s="61" t="s">
        <v>46</v>
      </c>
      <c r="F172" s="62" t="s">
        <v>46</v>
      </c>
      <c r="G172" s="63" t="s">
        <v>46</v>
      </c>
      <c r="H172" s="64"/>
      <c r="I172" s="64" t="s">
        <v>47</v>
      </c>
      <c r="J172" s="65">
        <v>100</v>
      </c>
      <c r="K172" s="66">
        <f>210</f>
        <v>210</v>
      </c>
      <c r="L172" s="67" t="s">
        <v>853</v>
      </c>
      <c r="M172" s="66">
        <f>213</f>
        <v>213</v>
      </c>
      <c r="N172" s="67" t="s">
        <v>69</v>
      </c>
      <c r="O172" s="66">
        <f>204</f>
        <v>204</v>
      </c>
      <c r="P172" s="67" t="s">
        <v>100</v>
      </c>
      <c r="Q172" s="66">
        <f>210</f>
        <v>210</v>
      </c>
      <c r="R172" s="67" t="s">
        <v>873</v>
      </c>
      <c r="S172" s="68">
        <f>209.45</f>
        <v>209.45</v>
      </c>
      <c r="T172" s="65">
        <f>9169900</f>
        <v>9169900</v>
      </c>
      <c r="U172" s="65">
        <f>48800</f>
        <v>48800</v>
      </c>
      <c r="V172" s="65">
        <f>1919881770</f>
        <v>1919881770</v>
      </c>
      <c r="W172" s="65">
        <f>10235970</f>
        <v>10235970</v>
      </c>
      <c r="X172" s="69">
        <f>22</f>
        <v>22</v>
      </c>
    </row>
    <row r="173" spans="1:24">
      <c r="A173" s="60" t="s">
        <v>907</v>
      </c>
      <c r="B173" s="60" t="s">
        <v>565</v>
      </c>
      <c r="C173" s="60" t="s">
        <v>566</v>
      </c>
      <c r="D173" s="60" t="s">
        <v>567</v>
      </c>
      <c r="E173" s="61" t="s">
        <v>46</v>
      </c>
      <c r="F173" s="62" t="s">
        <v>46</v>
      </c>
      <c r="G173" s="63" t="s">
        <v>46</v>
      </c>
      <c r="H173" s="64"/>
      <c r="I173" s="64" t="s">
        <v>47</v>
      </c>
      <c r="J173" s="65">
        <v>10</v>
      </c>
      <c r="K173" s="66">
        <f>33350</f>
        <v>33350</v>
      </c>
      <c r="L173" s="67" t="s">
        <v>853</v>
      </c>
      <c r="M173" s="66">
        <f>33600</f>
        <v>33600</v>
      </c>
      <c r="N173" s="67" t="s">
        <v>48</v>
      </c>
      <c r="O173" s="66">
        <f>31900</f>
        <v>31900</v>
      </c>
      <c r="P173" s="67" t="s">
        <v>268</v>
      </c>
      <c r="Q173" s="66">
        <f>33350</f>
        <v>33350</v>
      </c>
      <c r="R173" s="67" t="s">
        <v>873</v>
      </c>
      <c r="S173" s="68">
        <f>33227.27</f>
        <v>33227.269999999997</v>
      </c>
      <c r="T173" s="65">
        <f>7880</f>
        <v>7880</v>
      </c>
      <c r="U173" s="65">
        <f>20</f>
        <v>20</v>
      </c>
      <c r="V173" s="65">
        <f>261285000</f>
        <v>261285000</v>
      </c>
      <c r="W173" s="65">
        <f>669000</f>
        <v>669000</v>
      </c>
      <c r="X173" s="69">
        <f>22</f>
        <v>22</v>
      </c>
    </row>
    <row r="174" spans="1:24">
      <c r="A174" s="60" t="s">
        <v>907</v>
      </c>
      <c r="B174" s="60" t="s">
        <v>568</v>
      </c>
      <c r="C174" s="60" t="s">
        <v>569</v>
      </c>
      <c r="D174" s="60" t="s">
        <v>570</v>
      </c>
      <c r="E174" s="61" t="s">
        <v>46</v>
      </c>
      <c r="F174" s="62" t="s">
        <v>46</v>
      </c>
      <c r="G174" s="63" t="s">
        <v>46</v>
      </c>
      <c r="H174" s="64"/>
      <c r="I174" s="64" t="s">
        <v>47</v>
      </c>
      <c r="J174" s="65">
        <v>10</v>
      </c>
      <c r="K174" s="66">
        <f>3430</f>
        <v>3430</v>
      </c>
      <c r="L174" s="67" t="s">
        <v>853</v>
      </c>
      <c r="M174" s="66">
        <f>3545</f>
        <v>3545</v>
      </c>
      <c r="N174" s="67" t="s">
        <v>88</v>
      </c>
      <c r="O174" s="66">
        <f>3390</f>
        <v>3390</v>
      </c>
      <c r="P174" s="67" t="s">
        <v>268</v>
      </c>
      <c r="Q174" s="66">
        <f>3535</f>
        <v>3535</v>
      </c>
      <c r="R174" s="67" t="s">
        <v>873</v>
      </c>
      <c r="S174" s="68">
        <f>3472.05</f>
        <v>3472.05</v>
      </c>
      <c r="T174" s="65">
        <f>92440</f>
        <v>92440</v>
      </c>
      <c r="U174" s="65">
        <f>190</f>
        <v>190</v>
      </c>
      <c r="V174" s="65">
        <f>322049800</f>
        <v>322049800</v>
      </c>
      <c r="W174" s="65">
        <f>658450</f>
        <v>658450</v>
      </c>
      <c r="X174" s="69">
        <f>22</f>
        <v>22</v>
      </c>
    </row>
    <row r="175" spans="1:24">
      <c r="A175" s="60" t="s">
        <v>907</v>
      </c>
      <c r="B175" s="60" t="s">
        <v>571</v>
      </c>
      <c r="C175" s="60" t="s">
        <v>572</v>
      </c>
      <c r="D175" s="60" t="s">
        <v>573</v>
      </c>
      <c r="E175" s="61" t="s">
        <v>46</v>
      </c>
      <c r="F175" s="62" t="s">
        <v>46</v>
      </c>
      <c r="G175" s="63" t="s">
        <v>46</v>
      </c>
      <c r="H175" s="64"/>
      <c r="I175" s="64" t="s">
        <v>47</v>
      </c>
      <c r="J175" s="65">
        <v>10</v>
      </c>
      <c r="K175" s="66">
        <f>1886</f>
        <v>1886</v>
      </c>
      <c r="L175" s="67" t="s">
        <v>853</v>
      </c>
      <c r="M175" s="66">
        <f>1926</f>
        <v>1926</v>
      </c>
      <c r="N175" s="67" t="s">
        <v>858</v>
      </c>
      <c r="O175" s="66">
        <f>1849</f>
        <v>1849</v>
      </c>
      <c r="P175" s="67" t="s">
        <v>268</v>
      </c>
      <c r="Q175" s="66">
        <f>1912</f>
        <v>1912</v>
      </c>
      <c r="R175" s="67" t="s">
        <v>873</v>
      </c>
      <c r="S175" s="68">
        <f>1897.91</f>
        <v>1897.91</v>
      </c>
      <c r="T175" s="65">
        <f>175560</f>
        <v>175560</v>
      </c>
      <c r="U175" s="65">
        <f>120</f>
        <v>120</v>
      </c>
      <c r="V175" s="65">
        <f>333550880</f>
        <v>333550880</v>
      </c>
      <c r="W175" s="65">
        <f>231060</f>
        <v>231060</v>
      </c>
      <c r="X175" s="69">
        <f>22</f>
        <v>22</v>
      </c>
    </row>
    <row r="176" spans="1:24">
      <c r="A176" s="60" t="s">
        <v>907</v>
      </c>
      <c r="B176" s="60" t="s">
        <v>574</v>
      </c>
      <c r="C176" s="60" t="s">
        <v>575</v>
      </c>
      <c r="D176" s="60" t="s">
        <v>576</v>
      </c>
      <c r="E176" s="61" t="s">
        <v>46</v>
      </c>
      <c r="F176" s="62" t="s">
        <v>46</v>
      </c>
      <c r="G176" s="63" t="s">
        <v>46</v>
      </c>
      <c r="H176" s="64"/>
      <c r="I176" s="64" t="s">
        <v>47</v>
      </c>
      <c r="J176" s="65">
        <v>100</v>
      </c>
      <c r="K176" s="66">
        <f>223</f>
        <v>223</v>
      </c>
      <c r="L176" s="67" t="s">
        <v>853</v>
      </c>
      <c r="M176" s="66">
        <f>225</f>
        <v>225</v>
      </c>
      <c r="N176" s="67" t="s">
        <v>857</v>
      </c>
      <c r="O176" s="66">
        <f>196</f>
        <v>196</v>
      </c>
      <c r="P176" s="67" t="s">
        <v>268</v>
      </c>
      <c r="Q176" s="66">
        <f>202</f>
        <v>202</v>
      </c>
      <c r="R176" s="67" t="s">
        <v>873</v>
      </c>
      <c r="S176" s="68">
        <f>213.5</f>
        <v>213.5</v>
      </c>
      <c r="T176" s="65">
        <f>573900</f>
        <v>573900</v>
      </c>
      <c r="U176" s="65">
        <f>200</f>
        <v>200</v>
      </c>
      <c r="V176" s="65">
        <f>120300600</f>
        <v>120300600</v>
      </c>
      <c r="W176" s="65">
        <f>41000</f>
        <v>41000</v>
      </c>
      <c r="X176" s="69">
        <f>22</f>
        <v>22</v>
      </c>
    </row>
    <row r="177" spans="1:24">
      <c r="A177" s="60" t="s">
        <v>907</v>
      </c>
      <c r="B177" s="60" t="s">
        <v>577</v>
      </c>
      <c r="C177" s="60" t="s">
        <v>578</v>
      </c>
      <c r="D177" s="60" t="s">
        <v>579</v>
      </c>
      <c r="E177" s="61" t="s">
        <v>46</v>
      </c>
      <c r="F177" s="62" t="s">
        <v>46</v>
      </c>
      <c r="G177" s="63" t="s">
        <v>46</v>
      </c>
      <c r="H177" s="64"/>
      <c r="I177" s="64" t="s">
        <v>47</v>
      </c>
      <c r="J177" s="65">
        <v>10</v>
      </c>
      <c r="K177" s="66">
        <f>1063</f>
        <v>1063</v>
      </c>
      <c r="L177" s="67" t="s">
        <v>853</v>
      </c>
      <c r="M177" s="66">
        <f>1137</f>
        <v>1137</v>
      </c>
      <c r="N177" s="67" t="s">
        <v>49</v>
      </c>
      <c r="O177" s="66">
        <f>1039</f>
        <v>1039</v>
      </c>
      <c r="P177" s="67" t="s">
        <v>873</v>
      </c>
      <c r="Q177" s="66">
        <f>1039</f>
        <v>1039</v>
      </c>
      <c r="R177" s="67" t="s">
        <v>873</v>
      </c>
      <c r="S177" s="68">
        <f>1099.83</f>
        <v>1099.83</v>
      </c>
      <c r="T177" s="65">
        <f>420</f>
        <v>420</v>
      </c>
      <c r="U177" s="65" t="str">
        <f>"－"</f>
        <v>－</v>
      </c>
      <c r="V177" s="65">
        <f>450100</f>
        <v>450100</v>
      </c>
      <c r="W177" s="65" t="str">
        <f>"－"</f>
        <v>－</v>
      </c>
      <c r="X177" s="69">
        <f>6</f>
        <v>6</v>
      </c>
    </row>
    <row r="178" spans="1:24">
      <c r="A178" s="60" t="s">
        <v>907</v>
      </c>
      <c r="B178" s="60" t="s">
        <v>580</v>
      </c>
      <c r="C178" s="60" t="s">
        <v>581</v>
      </c>
      <c r="D178" s="60" t="s">
        <v>582</v>
      </c>
      <c r="E178" s="61" t="s">
        <v>46</v>
      </c>
      <c r="F178" s="62" t="s">
        <v>46</v>
      </c>
      <c r="G178" s="63" t="s">
        <v>46</v>
      </c>
      <c r="H178" s="64"/>
      <c r="I178" s="64" t="s">
        <v>47</v>
      </c>
      <c r="J178" s="65">
        <v>10</v>
      </c>
      <c r="K178" s="66">
        <f>310</f>
        <v>310</v>
      </c>
      <c r="L178" s="67" t="s">
        <v>853</v>
      </c>
      <c r="M178" s="66">
        <f>349</f>
        <v>349</v>
      </c>
      <c r="N178" s="67" t="s">
        <v>88</v>
      </c>
      <c r="O178" s="66">
        <f>309</f>
        <v>309</v>
      </c>
      <c r="P178" s="67" t="s">
        <v>853</v>
      </c>
      <c r="Q178" s="66">
        <f>344</f>
        <v>344</v>
      </c>
      <c r="R178" s="67" t="s">
        <v>873</v>
      </c>
      <c r="S178" s="68">
        <f>329.09</f>
        <v>329.09</v>
      </c>
      <c r="T178" s="65">
        <f>48790</f>
        <v>48790</v>
      </c>
      <c r="U178" s="65">
        <f>20</f>
        <v>20</v>
      </c>
      <c r="V178" s="65">
        <f>16161520</f>
        <v>16161520</v>
      </c>
      <c r="W178" s="65">
        <f>6520</f>
        <v>6520</v>
      </c>
      <c r="X178" s="69">
        <f>22</f>
        <v>22</v>
      </c>
    </row>
    <row r="179" spans="1:24">
      <c r="A179" s="60" t="s">
        <v>907</v>
      </c>
      <c r="B179" s="60" t="s">
        <v>583</v>
      </c>
      <c r="C179" s="60" t="s">
        <v>584</v>
      </c>
      <c r="D179" s="60" t="s">
        <v>585</v>
      </c>
      <c r="E179" s="61" t="s">
        <v>46</v>
      </c>
      <c r="F179" s="62" t="s">
        <v>46</v>
      </c>
      <c r="G179" s="63" t="s">
        <v>46</v>
      </c>
      <c r="H179" s="64"/>
      <c r="I179" s="64" t="s">
        <v>47</v>
      </c>
      <c r="J179" s="65">
        <v>10</v>
      </c>
      <c r="K179" s="66">
        <f>1726</f>
        <v>1726</v>
      </c>
      <c r="L179" s="67" t="s">
        <v>853</v>
      </c>
      <c r="M179" s="66">
        <f>1786</f>
        <v>1786</v>
      </c>
      <c r="N179" s="67" t="s">
        <v>857</v>
      </c>
      <c r="O179" s="66">
        <f>1582</f>
        <v>1582</v>
      </c>
      <c r="P179" s="67" t="s">
        <v>268</v>
      </c>
      <c r="Q179" s="66">
        <f>1728</f>
        <v>1728</v>
      </c>
      <c r="R179" s="67" t="s">
        <v>873</v>
      </c>
      <c r="S179" s="68">
        <f>1699.5</f>
        <v>1699.5</v>
      </c>
      <c r="T179" s="65">
        <f>6880</f>
        <v>6880</v>
      </c>
      <c r="U179" s="65">
        <f>30</f>
        <v>30</v>
      </c>
      <c r="V179" s="65">
        <f>11614400</f>
        <v>11614400</v>
      </c>
      <c r="W179" s="65">
        <f>49700</f>
        <v>49700</v>
      </c>
      <c r="X179" s="69">
        <f>22</f>
        <v>22</v>
      </c>
    </row>
    <row r="180" spans="1:24">
      <c r="A180" s="60" t="s">
        <v>907</v>
      </c>
      <c r="B180" s="60" t="s">
        <v>586</v>
      </c>
      <c r="C180" s="60" t="s">
        <v>587</v>
      </c>
      <c r="D180" s="60" t="s">
        <v>588</v>
      </c>
      <c r="E180" s="61" t="s">
        <v>46</v>
      </c>
      <c r="F180" s="62" t="s">
        <v>46</v>
      </c>
      <c r="G180" s="63" t="s">
        <v>46</v>
      </c>
      <c r="H180" s="64"/>
      <c r="I180" s="64" t="s">
        <v>47</v>
      </c>
      <c r="J180" s="65">
        <v>10</v>
      </c>
      <c r="K180" s="66">
        <f>632</f>
        <v>632</v>
      </c>
      <c r="L180" s="67" t="s">
        <v>853</v>
      </c>
      <c r="M180" s="66">
        <f>658</f>
        <v>658</v>
      </c>
      <c r="N180" s="67" t="s">
        <v>172</v>
      </c>
      <c r="O180" s="66">
        <f>570</f>
        <v>570</v>
      </c>
      <c r="P180" s="67" t="s">
        <v>100</v>
      </c>
      <c r="Q180" s="66">
        <f>604</f>
        <v>604</v>
      </c>
      <c r="R180" s="67" t="s">
        <v>873</v>
      </c>
      <c r="S180" s="68">
        <f>618.41</f>
        <v>618.41</v>
      </c>
      <c r="T180" s="65">
        <f>86250</f>
        <v>86250</v>
      </c>
      <c r="U180" s="65">
        <f>40</f>
        <v>40</v>
      </c>
      <c r="V180" s="65">
        <f>53324190</f>
        <v>53324190</v>
      </c>
      <c r="W180" s="65">
        <f>24160</f>
        <v>24160</v>
      </c>
      <c r="X180" s="69">
        <f>22</f>
        <v>22</v>
      </c>
    </row>
    <row r="181" spans="1:24">
      <c r="A181" s="60" t="s">
        <v>907</v>
      </c>
      <c r="B181" s="60" t="s">
        <v>589</v>
      </c>
      <c r="C181" s="60" t="s">
        <v>590</v>
      </c>
      <c r="D181" s="60" t="s">
        <v>591</v>
      </c>
      <c r="E181" s="61" t="s">
        <v>46</v>
      </c>
      <c r="F181" s="62" t="s">
        <v>46</v>
      </c>
      <c r="G181" s="63" t="s">
        <v>46</v>
      </c>
      <c r="H181" s="64"/>
      <c r="I181" s="64" t="s">
        <v>47</v>
      </c>
      <c r="J181" s="65">
        <v>10</v>
      </c>
      <c r="K181" s="66">
        <f>473</f>
        <v>473</v>
      </c>
      <c r="L181" s="67" t="s">
        <v>853</v>
      </c>
      <c r="M181" s="66">
        <f>495</f>
        <v>495</v>
      </c>
      <c r="N181" s="67" t="s">
        <v>172</v>
      </c>
      <c r="O181" s="66">
        <f>424</f>
        <v>424</v>
      </c>
      <c r="P181" s="67" t="s">
        <v>100</v>
      </c>
      <c r="Q181" s="66">
        <f>438</f>
        <v>438</v>
      </c>
      <c r="R181" s="67" t="s">
        <v>873</v>
      </c>
      <c r="S181" s="68">
        <f>458.09</f>
        <v>458.09</v>
      </c>
      <c r="T181" s="65">
        <f>318830</f>
        <v>318830</v>
      </c>
      <c r="U181" s="65">
        <f>40</f>
        <v>40</v>
      </c>
      <c r="V181" s="65">
        <f>145434310</f>
        <v>145434310</v>
      </c>
      <c r="W181" s="65">
        <f>17710</f>
        <v>17710</v>
      </c>
      <c r="X181" s="69">
        <f>22</f>
        <v>22</v>
      </c>
    </row>
    <row r="182" spans="1:24">
      <c r="A182" s="60" t="s">
        <v>907</v>
      </c>
      <c r="B182" s="60" t="s">
        <v>592</v>
      </c>
      <c r="C182" s="60" t="s">
        <v>593</v>
      </c>
      <c r="D182" s="60" t="s">
        <v>594</v>
      </c>
      <c r="E182" s="61" t="s">
        <v>46</v>
      </c>
      <c r="F182" s="62" t="s">
        <v>46</v>
      </c>
      <c r="G182" s="63" t="s">
        <v>46</v>
      </c>
      <c r="H182" s="64"/>
      <c r="I182" s="64" t="s">
        <v>47</v>
      </c>
      <c r="J182" s="65">
        <v>100</v>
      </c>
      <c r="K182" s="66">
        <f>2</f>
        <v>2</v>
      </c>
      <c r="L182" s="67" t="s">
        <v>853</v>
      </c>
      <c r="M182" s="66">
        <f>2</f>
        <v>2</v>
      </c>
      <c r="N182" s="67" t="s">
        <v>853</v>
      </c>
      <c r="O182" s="66">
        <f>1</f>
        <v>1</v>
      </c>
      <c r="P182" s="67" t="s">
        <v>853</v>
      </c>
      <c r="Q182" s="66">
        <f>2</f>
        <v>2</v>
      </c>
      <c r="R182" s="67" t="s">
        <v>873</v>
      </c>
      <c r="S182" s="68">
        <f>1.59</f>
        <v>1.59</v>
      </c>
      <c r="T182" s="65">
        <f>204456800</f>
        <v>204456800</v>
      </c>
      <c r="U182" s="65" t="str">
        <f>"－"</f>
        <v>－</v>
      </c>
      <c r="V182" s="65">
        <f>341691000</f>
        <v>341691000</v>
      </c>
      <c r="W182" s="65" t="str">
        <f>"－"</f>
        <v>－</v>
      </c>
      <c r="X182" s="69">
        <f>22</f>
        <v>22</v>
      </c>
    </row>
    <row r="183" spans="1:24">
      <c r="A183" s="60" t="s">
        <v>907</v>
      </c>
      <c r="B183" s="60" t="s">
        <v>595</v>
      </c>
      <c r="C183" s="60" t="s">
        <v>596</v>
      </c>
      <c r="D183" s="60" t="s">
        <v>597</v>
      </c>
      <c r="E183" s="61" t="s">
        <v>46</v>
      </c>
      <c r="F183" s="62" t="s">
        <v>46</v>
      </c>
      <c r="G183" s="63" t="s">
        <v>46</v>
      </c>
      <c r="H183" s="64"/>
      <c r="I183" s="64" t="s">
        <v>47</v>
      </c>
      <c r="J183" s="65">
        <v>10</v>
      </c>
      <c r="K183" s="66">
        <f>660</f>
        <v>660</v>
      </c>
      <c r="L183" s="67" t="s">
        <v>853</v>
      </c>
      <c r="M183" s="66">
        <f>739</f>
        <v>739</v>
      </c>
      <c r="N183" s="67" t="s">
        <v>88</v>
      </c>
      <c r="O183" s="66">
        <f>660</f>
        <v>660</v>
      </c>
      <c r="P183" s="67" t="s">
        <v>853</v>
      </c>
      <c r="Q183" s="66">
        <f>725</f>
        <v>725</v>
      </c>
      <c r="R183" s="67" t="s">
        <v>873</v>
      </c>
      <c r="S183" s="68">
        <f>702.14</f>
        <v>702.14</v>
      </c>
      <c r="T183" s="65">
        <f>895210</f>
        <v>895210</v>
      </c>
      <c r="U183" s="65">
        <f>20</f>
        <v>20</v>
      </c>
      <c r="V183" s="65">
        <f>627730310</f>
        <v>627730310</v>
      </c>
      <c r="W183" s="65">
        <f>14060</f>
        <v>14060</v>
      </c>
      <c r="X183" s="69">
        <f>22</f>
        <v>22</v>
      </c>
    </row>
    <row r="184" spans="1:24">
      <c r="A184" s="60" t="s">
        <v>907</v>
      </c>
      <c r="B184" s="60" t="s">
        <v>598</v>
      </c>
      <c r="C184" s="60" t="s">
        <v>599</v>
      </c>
      <c r="D184" s="60" t="s">
        <v>600</v>
      </c>
      <c r="E184" s="61" t="s">
        <v>46</v>
      </c>
      <c r="F184" s="62" t="s">
        <v>46</v>
      </c>
      <c r="G184" s="63" t="s">
        <v>46</v>
      </c>
      <c r="H184" s="64"/>
      <c r="I184" s="64" t="s">
        <v>47</v>
      </c>
      <c r="J184" s="65">
        <v>1</v>
      </c>
      <c r="K184" s="66">
        <f>2919</f>
        <v>2919</v>
      </c>
      <c r="L184" s="67" t="s">
        <v>853</v>
      </c>
      <c r="M184" s="66">
        <f>3265</f>
        <v>3265</v>
      </c>
      <c r="N184" s="67" t="s">
        <v>176</v>
      </c>
      <c r="O184" s="66">
        <f>2874</f>
        <v>2874</v>
      </c>
      <c r="P184" s="67" t="s">
        <v>100</v>
      </c>
      <c r="Q184" s="66">
        <f>3085</f>
        <v>3085</v>
      </c>
      <c r="R184" s="67" t="s">
        <v>873</v>
      </c>
      <c r="S184" s="68">
        <f>3040</f>
        <v>3040</v>
      </c>
      <c r="T184" s="65">
        <f>3800</f>
        <v>3800</v>
      </c>
      <c r="U184" s="65">
        <f>3</f>
        <v>3</v>
      </c>
      <c r="V184" s="65">
        <f>11549730</f>
        <v>11549730</v>
      </c>
      <c r="W184" s="65">
        <f>9062</f>
        <v>9062</v>
      </c>
      <c r="X184" s="69">
        <f>22</f>
        <v>22</v>
      </c>
    </row>
    <row r="185" spans="1:24">
      <c r="A185" s="60" t="s">
        <v>907</v>
      </c>
      <c r="B185" s="60" t="s">
        <v>601</v>
      </c>
      <c r="C185" s="60" t="s">
        <v>602</v>
      </c>
      <c r="D185" s="60" t="s">
        <v>603</v>
      </c>
      <c r="E185" s="61" t="s">
        <v>46</v>
      </c>
      <c r="F185" s="62" t="s">
        <v>46</v>
      </c>
      <c r="G185" s="63" t="s">
        <v>46</v>
      </c>
      <c r="H185" s="64"/>
      <c r="I185" s="64" t="s">
        <v>47</v>
      </c>
      <c r="J185" s="65">
        <v>100</v>
      </c>
      <c r="K185" s="66">
        <f>383</f>
        <v>383</v>
      </c>
      <c r="L185" s="67" t="s">
        <v>853</v>
      </c>
      <c r="M185" s="66">
        <f>398</f>
        <v>398</v>
      </c>
      <c r="N185" s="67" t="s">
        <v>873</v>
      </c>
      <c r="O185" s="66">
        <f>364</f>
        <v>364</v>
      </c>
      <c r="P185" s="67" t="s">
        <v>268</v>
      </c>
      <c r="Q185" s="66">
        <f>397</f>
        <v>397</v>
      </c>
      <c r="R185" s="67" t="s">
        <v>873</v>
      </c>
      <c r="S185" s="68">
        <f>378.9</f>
        <v>378.9</v>
      </c>
      <c r="T185" s="65">
        <f>25000</f>
        <v>25000</v>
      </c>
      <c r="U185" s="65">
        <f>700</f>
        <v>700</v>
      </c>
      <c r="V185" s="65">
        <f>9491700</f>
        <v>9491700</v>
      </c>
      <c r="W185" s="65">
        <f>268600</f>
        <v>268600</v>
      </c>
      <c r="X185" s="69">
        <f>21</f>
        <v>21</v>
      </c>
    </row>
    <row r="186" spans="1:24">
      <c r="A186" s="60" t="s">
        <v>907</v>
      </c>
      <c r="B186" s="60" t="s">
        <v>604</v>
      </c>
      <c r="C186" s="60" t="s">
        <v>605</v>
      </c>
      <c r="D186" s="60" t="s">
        <v>606</v>
      </c>
      <c r="E186" s="61" t="s">
        <v>46</v>
      </c>
      <c r="F186" s="62" t="s">
        <v>46</v>
      </c>
      <c r="G186" s="63" t="s">
        <v>46</v>
      </c>
      <c r="H186" s="64"/>
      <c r="I186" s="64" t="s">
        <v>47</v>
      </c>
      <c r="J186" s="65">
        <v>10</v>
      </c>
      <c r="K186" s="66">
        <f>4565</f>
        <v>4565</v>
      </c>
      <c r="L186" s="67" t="s">
        <v>853</v>
      </c>
      <c r="M186" s="66">
        <f>4595</f>
        <v>4595</v>
      </c>
      <c r="N186" s="67" t="s">
        <v>853</v>
      </c>
      <c r="O186" s="66">
        <f>4000</f>
        <v>4000</v>
      </c>
      <c r="P186" s="67" t="s">
        <v>268</v>
      </c>
      <c r="Q186" s="66">
        <f>4165</f>
        <v>4165</v>
      </c>
      <c r="R186" s="67" t="s">
        <v>873</v>
      </c>
      <c r="S186" s="68">
        <f>4313.41</f>
        <v>4313.41</v>
      </c>
      <c r="T186" s="65">
        <f>88070</f>
        <v>88070</v>
      </c>
      <c r="U186" s="65">
        <f>30</f>
        <v>30</v>
      </c>
      <c r="V186" s="65">
        <f>379962500</f>
        <v>379962500</v>
      </c>
      <c r="W186" s="65">
        <f>125900</f>
        <v>125900</v>
      </c>
      <c r="X186" s="69">
        <f>22</f>
        <v>22</v>
      </c>
    </row>
    <row r="187" spans="1:24">
      <c r="A187" s="60" t="s">
        <v>907</v>
      </c>
      <c r="B187" s="60" t="s">
        <v>607</v>
      </c>
      <c r="C187" s="60" t="s">
        <v>608</v>
      </c>
      <c r="D187" s="60" t="s">
        <v>609</v>
      </c>
      <c r="E187" s="61" t="s">
        <v>46</v>
      </c>
      <c r="F187" s="62" t="s">
        <v>46</v>
      </c>
      <c r="G187" s="63" t="s">
        <v>46</v>
      </c>
      <c r="H187" s="64"/>
      <c r="I187" s="64" t="s">
        <v>47</v>
      </c>
      <c r="J187" s="65">
        <v>10</v>
      </c>
      <c r="K187" s="66">
        <f>1843</f>
        <v>1843</v>
      </c>
      <c r="L187" s="67" t="s">
        <v>853</v>
      </c>
      <c r="M187" s="66">
        <f>1924</f>
        <v>1924</v>
      </c>
      <c r="N187" s="67" t="s">
        <v>88</v>
      </c>
      <c r="O187" s="66">
        <f>1752</f>
        <v>1752</v>
      </c>
      <c r="P187" s="67" t="s">
        <v>100</v>
      </c>
      <c r="Q187" s="66">
        <f>1871</f>
        <v>1871</v>
      </c>
      <c r="R187" s="67" t="s">
        <v>873</v>
      </c>
      <c r="S187" s="68">
        <f>1838.95</f>
        <v>1838.95</v>
      </c>
      <c r="T187" s="65">
        <f>36690</f>
        <v>36690</v>
      </c>
      <c r="U187" s="65">
        <f>40</f>
        <v>40</v>
      </c>
      <c r="V187" s="65">
        <f>67770220</f>
        <v>67770220</v>
      </c>
      <c r="W187" s="65">
        <f>73800</f>
        <v>73800</v>
      </c>
      <c r="X187" s="69">
        <f>22</f>
        <v>22</v>
      </c>
    </row>
    <row r="188" spans="1:24">
      <c r="A188" s="60" t="s">
        <v>907</v>
      </c>
      <c r="B188" s="60" t="s">
        <v>610</v>
      </c>
      <c r="C188" s="60" t="s">
        <v>611</v>
      </c>
      <c r="D188" s="60" t="s">
        <v>612</v>
      </c>
      <c r="E188" s="61" t="s">
        <v>46</v>
      </c>
      <c r="F188" s="62" t="s">
        <v>46</v>
      </c>
      <c r="G188" s="63" t="s">
        <v>46</v>
      </c>
      <c r="H188" s="64"/>
      <c r="I188" s="64" t="s">
        <v>47</v>
      </c>
      <c r="J188" s="65">
        <v>100</v>
      </c>
      <c r="K188" s="66">
        <f>82</f>
        <v>82</v>
      </c>
      <c r="L188" s="67" t="s">
        <v>853</v>
      </c>
      <c r="M188" s="66">
        <f>86</f>
        <v>86</v>
      </c>
      <c r="N188" s="67" t="s">
        <v>172</v>
      </c>
      <c r="O188" s="66">
        <f>78</f>
        <v>78</v>
      </c>
      <c r="P188" s="67" t="s">
        <v>100</v>
      </c>
      <c r="Q188" s="66">
        <f>79</f>
        <v>79</v>
      </c>
      <c r="R188" s="67" t="s">
        <v>873</v>
      </c>
      <c r="S188" s="68">
        <f>81.5</f>
        <v>81.5</v>
      </c>
      <c r="T188" s="65">
        <f>4007400</f>
        <v>4007400</v>
      </c>
      <c r="U188" s="65" t="str">
        <f>"－"</f>
        <v>－</v>
      </c>
      <c r="V188" s="65">
        <f>326636000</f>
        <v>326636000</v>
      </c>
      <c r="W188" s="65" t="str">
        <f>"－"</f>
        <v>－</v>
      </c>
      <c r="X188" s="69">
        <f>22</f>
        <v>22</v>
      </c>
    </row>
    <row r="189" spans="1:24">
      <c r="A189" s="60" t="s">
        <v>907</v>
      </c>
      <c r="B189" s="60" t="s">
        <v>614</v>
      </c>
      <c r="C189" s="60" t="s">
        <v>615</v>
      </c>
      <c r="D189" s="60" t="s">
        <v>616</v>
      </c>
      <c r="E189" s="61" t="s">
        <v>46</v>
      </c>
      <c r="F189" s="62" t="s">
        <v>46</v>
      </c>
      <c r="G189" s="63" t="s">
        <v>46</v>
      </c>
      <c r="H189" s="64"/>
      <c r="I189" s="64" t="s">
        <v>47</v>
      </c>
      <c r="J189" s="65">
        <v>100</v>
      </c>
      <c r="K189" s="66">
        <f>128</f>
        <v>128</v>
      </c>
      <c r="L189" s="67" t="s">
        <v>853</v>
      </c>
      <c r="M189" s="66">
        <f>137</f>
        <v>137</v>
      </c>
      <c r="N189" s="67" t="s">
        <v>172</v>
      </c>
      <c r="O189" s="66">
        <f>113</f>
        <v>113</v>
      </c>
      <c r="P189" s="67" t="s">
        <v>88</v>
      </c>
      <c r="Q189" s="66">
        <f>119</f>
        <v>119</v>
      </c>
      <c r="R189" s="67" t="s">
        <v>873</v>
      </c>
      <c r="S189" s="68">
        <f>125.45</f>
        <v>125.45</v>
      </c>
      <c r="T189" s="65">
        <f>3463800</f>
        <v>3463800</v>
      </c>
      <c r="U189" s="65" t="str">
        <f>"－"</f>
        <v>－</v>
      </c>
      <c r="V189" s="65">
        <f>433135600</f>
        <v>433135600</v>
      </c>
      <c r="W189" s="65" t="str">
        <f>"－"</f>
        <v>－</v>
      </c>
      <c r="X189" s="69">
        <f>22</f>
        <v>22</v>
      </c>
    </row>
    <row r="190" spans="1:24">
      <c r="A190" s="60" t="s">
        <v>907</v>
      </c>
      <c r="B190" s="60" t="s">
        <v>617</v>
      </c>
      <c r="C190" s="60" t="s">
        <v>618</v>
      </c>
      <c r="D190" s="60" t="s">
        <v>619</v>
      </c>
      <c r="E190" s="61" t="s">
        <v>46</v>
      </c>
      <c r="F190" s="62" t="s">
        <v>46</v>
      </c>
      <c r="G190" s="63" t="s">
        <v>46</v>
      </c>
      <c r="H190" s="64"/>
      <c r="I190" s="64" t="s">
        <v>47</v>
      </c>
      <c r="J190" s="65">
        <v>10</v>
      </c>
      <c r="K190" s="66">
        <f>2926</f>
        <v>2926</v>
      </c>
      <c r="L190" s="67" t="s">
        <v>853</v>
      </c>
      <c r="M190" s="66">
        <f>3080</f>
        <v>3080</v>
      </c>
      <c r="N190" s="67" t="s">
        <v>172</v>
      </c>
      <c r="O190" s="66">
        <f>2563</f>
        <v>2563</v>
      </c>
      <c r="P190" s="67" t="s">
        <v>100</v>
      </c>
      <c r="Q190" s="66">
        <f>2708</f>
        <v>2708</v>
      </c>
      <c r="R190" s="67" t="s">
        <v>873</v>
      </c>
      <c r="S190" s="68">
        <f>2826.64</f>
        <v>2826.64</v>
      </c>
      <c r="T190" s="65">
        <f>45690</f>
        <v>45690</v>
      </c>
      <c r="U190" s="65">
        <f>10</f>
        <v>10</v>
      </c>
      <c r="V190" s="65">
        <f>129498170</f>
        <v>129498170</v>
      </c>
      <c r="W190" s="65">
        <f>27080</f>
        <v>27080</v>
      </c>
      <c r="X190" s="69">
        <f>22</f>
        <v>22</v>
      </c>
    </row>
    <row r="191" spans="1:24">
      <c r="A191" s="60" t="s">
        <v>907</v>
      </c>
      <c r="B191" s="60" t="s">
        <v>620</v>
      </c>
      <c r="C191" s="60" t="s">
        <v>621</v>
      </c>
      <c r="D191" s="60" t="s">
        <v>622</v>
      </c>
      <c r="E191" s="61" t="s">
        <v>46</v>
      </c>
      <c r="F191" s="62" t="s">
        <v>46</v>
      </c>
      <c r="G191" s="63" t="s">
        <v>46</v>
      </c>
      <c r="H191" s="64"/>
      <c r="I191" s="64" t="s">
        <v>47</v>
      </c>
      <c r="J191" s="65">
        <v>10</v>
      </c>
      <c r="K191" s="66">
        <f>1841</f>
        <v>1841</v>
      </c>
      <c r="L191" s="67" t="s">
        <v>853</v>
      </c>
      <c r="M191" s="66">
        <f>1904</f>
        <v>1904</v>
      </c>
      <c r="N191" s="67" t="s">
        <v>854</v>
      </c>
      <c r="O191" s="66">
        <f>1809</f>
        <v>1809</v>
      </c>
      <c r="P191" s="67" t="s">
        <v>268</v>
      </c>
      <c r="Q191" s="66">
        <f>1854</f>
        <v>1854</v>
      </c>
      <c r="R191" s="67" t="s">
        <v>873</v>
      </c>
      <c r="S191" s="68">
        <f>1868.18</f>
        <v>1868.18</v>
      </c>
      <c r="T191" s="65">
        <f>37080</f>
        <v>37080</v>
      </c>
      <c r="U191" s="65" t="str">
        <f>"－"</f>
        <v>－</v>
      </c>
      <c r="V191" s="65">
        <f>69160100</f>
        <v>69160100</v>
      </c>
      <c r="W191" s="65" t="str">
        <f>"－"</f>
        <v>－</v>
      </c>
      <c r="X191" s="69">
        <f>22</f>
        <v>22</v>
      </c>
    </row>
    <row r="192" spans="1:24">
      <c r="A192" s="60" t="s">
        <v>907</v>
      </c>
      <c r="B192" s="60" t="s">
        <v>623</v>
      </c>
      <c r="C192" s="60" t="s">
        <v>624</v>
      </c>
      <c r="D192" s="60" t="s">
        <v>625</v>
      </c>
      <c r="E192" s="61" t="s">
        <v>46</v>
      </c>
      <c r="F192" s="62" t="s">
        <v>46</v>
      </c>
      <c r="G192" s="63" t="s">
        <v>46</v>
      </c>
      <c r="H192" s="64"/>
      <c r="I192" s="64" t="s">
        <v>47</v>
      </c>
      <c r="J192" s="65">
        <v>10</v>
      </c>
      <c r="K192" s="66">
        <f>174</f>
        <v>174</v>
      </c>
      <c r="L192" s="67" t="s">
        <v>853</v>
      </c>
      <c r="M192" s="66">
        <f>195</f>
        <v>195</v>
      </c>
      <c r="N192" s="67" t="s">
        <v>88</v>
      </c>
      <c r="O192" s="66">
        <f>174</f>
        <v>174</v>
      </c>
      <c r="P192" s="67" t="s">
        <v>853</v>
      </c>
      <c r="Q192" s="66">
        <f>191</f>
        <v>191</v>
      </c>
      <c r="R192" s="67" t="s">
        <v>873</v>
      </c>
      <c r="S192" s="68">
        <f>185.23</f>
        <v>185.23</v>
      </c>
      <c r="T192" s="65">
        <f>132805420</f>
        <v>132805420</v>
      </c>
      <c r="U192" s="65">
        <f>174170</f>
        <v>174170</v>
      </c>
      <c r="V192" s="65">
        <f>24507173342</f>
        <v>24507173342</v>
      </c>
      <c r="W192" s="65">
        <f>32762042</f>
        <v>32762042</v>
      </c>
      <c r="X192" s="69">
        <f>22</f>
        <v>22</v>
      </c>
    </row>
    <row r="193" spans="1:24">
      <c r="A193" s="60" t="s">
        <v>907</v>
      </c>
      <c r="B193" s="60" t="s">
        <v>626</v>
      </c>
      <c r="C193" s="60" t="s">
        <v>627</v>
      </c>
      <c r="D193" s="60" t="s">
        <v>628</v>
      </c>
      <c r="E193" s="61" t="s">
        <v>46</v>
      </c>
      <c r="F193" s="62" t="s">
        <v>46</v>
      </c>
      <c r="G193" s="63" t="s">
        <v>46</v>
      </c>
      <c r="H193" s="64"/>
      <c r="I193" s="64" t="s">
        <v>629</v>
      </c>
      <c r="J193" s="65">
        <v>1</v>
      </c>
      <c r="K193" s="66">
        <f>12230</f>
        <v>12230</v>
      </c>
      <c r="L193" s="67" t="s">
        <v>853</v>
      </c>
      <c r="M193" s="66">
        <f>12430</f>
        <v>12430</v>
      </c>
      <c r="N193" s="67" t="s">
        <v>857</v>
      </c>
      <c r="O193" s="66">
        <f>11400</f>
        <v>11400</v>
      </c>
      <c r="P193" s="67" t="s">
        <v>268</v>
      </c>
      <c r="Q193" s="66">
        <f>12010</f>
        <v>12010</v>
      </c>
      <c r="R193" s="67" t="s">
        <v>873</v>
      </c>
      <c r="S193" s="68">
        <f>11902.73</f>
        <v>11902.73</v>
      </c>
      <c r="T193" s="65">
        <f>2920</f>
        <v>2920</v>
      </c>
      <c r="U193" s="65" t="str">
        <f>"－"</f>
        <v>－</v>
      </c>
      <c r="V193" s="65">
        <f>35085610</f>
        <v>35085610</v>
      </c>
      <c r="W193" s="65" t="str">
        <f>"－"</f>
        <v>－</v>
      </c>
      <c r="X193" s="69">
        <f>22</f>
        <v>22</v>
      </c>
    </row>
    <row r="194" spans="1:24">
      <c r="A194" s="60" t="s">
        <v>907</v>
      </c>
      <c r="B194" s="60" t="s">
        <v>630</v>
      </c>
      <c r="C194" s="60" t="s">
        <v>631</v>
      </c>
      <c r="D194" s="60" t="s">
        <v>632</v>
      </c>
      <c r="E194" s="61" t="s">
        <v>46</v>
      </c>
      <c r="F194" s="62" t="s">
        <v>46</v>
      </c>
      <c r="G194" s="63" t="s">
        <v>46</v>
      </c>
      <c r="H194" s="64"/>
      <c r="I194" s="64" t="s">
        <v>629</v>
      </c>
      <c r="J194" s="65">
        <v>1</v>
      </c>
      <c r="K194" s="66">
        <f>5110</f>
        <v>5110</v>
      </c>
      <c r="L194" s="67" t="s">
        <v>853</v>
      </c>
      <c r="M194" s="66">
        <f>5380</f>
        <v>5380</v>
      </c>
      <c r="N194" s="67" t="s">
        <v>855</v>
      </c>
      <c r="O194" s="66">
        <f>5100</f>
        <v>5100</v>
      </c>
      <c r="P194" s="67" t="s">
        <v>853</v>
      </c>
      <c r="Q194" s="66">
        <f>5230</f>
        <v>5230</v>
      </c>
      <c r="R194" s="67" t="s">
        <v>873</v>
      </c>
      <c r="S194" s="68">
        <f>5227.62</f>
        <v>5227.62</v>
      </c>
      <c r="T194" s="65">
        <f>533</f>
        <v>533</v>
      </c>
      <c r="U194" s="65" t="str">
        <f>"－"</f>
        <v>－</v>
      </c>
      <c r="V194" s="65">
        <f>2777670</f>
        <v>2777670</v>
      </c>
      <c r="W194" s="65" t="str">
        <f>"－"</f>
        <v>－</v>
      </c>
      <c r="X194" s="69">
        <f>21</f>
        <v>21</v>
      </c>
    </row>
    <row r="195" spans="1:24">
      <c r="A195" s="60" t="s">
        <v>907</v>
      </c>
      <c r="B195" s="60" t="s">
        <v>633</v>
      </c>
      <c r="C195" s="60" t="s">
        <v>634</v>
      </c>
      <c r="D195" s="60" t="s">
        <v>635</v>
      </c>
      <c r="E195" s="61" t="s">
        <v>46</v>
      </c>
      <c r="F195" s="62" t="s">
        <v>46</v>
      </c>
      <c r="G195" s="63" t="s">
        <v>46</v>
      </c>
      <c r="H195" s="64"/>
      <c r="I195" s="64" t="s">
        <v>629</v>
      </c>
      <c r="J195" s="65">
        <v>1</v>
      </c>
      <c r="K195" s="66">
        <f>20180</f>
        <v>20180</v>
      </c>
      <c r="L195" s="67" t="s">
        <v>853</v>
      </c>
      <c r="M195" s="66">
        <f>21340</f>
        <v>21340</v>
      </c>
      <c r="N195" s="67" t="s">
        <v>88</v>
      </c>
      <c r="O195" s="66">
        <f>19700</f>
        <v>19700</v>
      </c>
      <c r="P195" s="67" t="s">
        <v>268</v>
      </c>
      <c r="Q195" s="66">
        <f>21120</f>
        <v>21120</v>
      </c>
      <c r="R195" s="67" t="s">
        <v>873</v>
      </c>
      <c r="S195" s="68">
        <f>20427.65</f>
        <v>20427.650000000001</v>
      </c>
      <c r="T195" s="65">
        <f>2458</f>
        <v>2458</v>
      </c>
      <c r="U195" s="65">
        <f>1</f>
        <v>1</v>
      </c>
      <c r="V195" s="65">
        <f>51901440</f>
        <v>51901440</v>
      </c>
      <c r="W195" s="65">
        <f>19700</f>
        <v>19700</v>
      </c>
      <c r="X195" s="69">
        <f>17</f>
        <v>17</v>
      </c>
    </row>
    <row r="196" spans="1:24">
      <c r="A196" s="60" t="s">
        <v>907</v>
      </c>
      <c r="B196" s="60" t="s">
        <v>636</v>
      </c>
      <c r="C196" s="60" t="s">
        <v>637</v>
      </c>
      <c r="D196" s="60" t="s">
        <v>638</v>
      </c>
      <c r="E196" s="61" t="s">
        <v>46</v>
      </c>
      <c r="F196" s="62" t="s">
        <v>46</v>
      </c>
      <c r="G196" s="63" t="s">
        <v>46</v>
      </c>
      <c r="H196" s="64"/>
      <c r="I196" s="64" t="s">
        <v>629</v>
      </c>
      <c r="J196" s="65">
        <v>1</v>
      </c>
      <c r="K196" s="66">
        <f>5900</f>
        <v>5900</v>
      </c>
      <c r="L196" s="67" t="s">
        <v>853</v>
      </c>
      <c r="M196" s="66">
        <f>5970</f>
        <v>5970</v>
      </c>
      <c r="N196" s="67" t="s">
        <v>857</v>
      </c>
      <c r="O196" s="66">
        <f>5760</f>
        <v>5760</v>
      </c>
      <c r="P196" s="67" t="s">
        <v>873</v>
      </c>
      <c r="Q196" s="66">
        <f>5760</f>
        <v>5760</v>
      </c>
      <c r="R196" s="67" t="s">
        <v>873</v>
      </c>
      <c r="S196" s="68">
        <f>5835.91</f>
        <v>5835.91</v>
      </c>
      <c r="T196" s="65">
        <f>6583</f>
        <v>6583</v>
      </c>
      <c r="U196" s="65" t="str">
        <f>"－"</f>
        <v>－</v>
      </c>
      <c r="V196" s="65">
        <f>38470440</f>
        <v>38470440</v>
      </c>
      <c r="W196" s="65" t="str">
        <f>"－"</f>
        <v>－</v>
      </c>
      <c r="X196" s="69">
        <f>22</f>
        <v>22</v>
      </c>
    </row>
    <row r="197" spans="1:24">
      <c r="A197" s="60" t="s">
        <v>907</v>
      </c>
      <c r="B197" s="60" t="s">
        <v>639</v>
      </c>
      <c r="C197" s="60" t="s">
        <v>640</v>
      </c>
      <c r="D197" s="60" t="s">
        <v>641</v>
      </c>
      <c r="E197" s="61" t="s">
        <v>46</v>
      </c>
      <c r="F197" s="62" t="s">
        <v>46</v>
      </c>
      <c r="G197" s="63" t="s">
        <v>46</v>
      </c>
      <c r="H197" s="64"/>
      <c r="I197" s="64" t="s">
        <v>629</v>
      </c>
      <c r="J197" s="65">
        <v>1</v>
      </c>
      <c r="K197" s="66">
        <f>223</f>
        <v>223</v>
      </c>
      <c r="L197" s="67" t="s">
        <v>853</v>
      </c>
      <c r="M197" s="66">
        <f>227</f>
        <v>227</v>
      </c>
      <c r="N197" s="67" t="s">
        <v>853</v>
      </c>
      <c r="O197" s="66">
        <f>175</f>
        <v>175</v>
      </c>
      <c r="P197" s="67" t="s">
        <v>873</v>
      </c>
      <c r="Q197" s="66">
        <f>178</f>
        <v>178</v>
      </c>
      <c r="R197" s="67" t="s">
        <v>873</v>
      </c>
      <c r="S197" s="68">
        <f>201.82</f>
        <v>201.82</v>
      </c>
      <c r="T197" s="65">
        <f>19943677</f>
        <v>19943677</v>
      </c>
      <c r="U197" s="65" t="str">
        <f>"－"</f>
        <v>－</v>
      </c>
      <c r="V197" s="65">
        <f>4006908992</f>
        <v>4006908992</v>
      </c>
      <c r="W197" s="65" t="str">
        <f>"－"</f>
        <v>－</v>
      </c>
      <c r="X197" s="69">
        <f>22</f>
        <v>22</v>
      </c>
    </row>
    <row r="198" spans="1:24">
      <c r="A198" s="60" t="s">
        <v>907</v>
      </c>
      <c r="B198" s="60" t="s">
        <v>642</v>
      </c>
      <c r="C198" s="60" t="s">
        <v>643</v>
      </c>
      <c r="D198" s="60" t="s">
        <v>644</v>
      </c>
      <c r="E198" s="61" t="s">
        <v>46</v>
      </c>
      <c r="F198" s="62" t="s">
        <v>46</v>
      </c>
      <c r="G198" s="63" t="s">
        <v>46</v>
      </c>
      <c r="H198" s="64"/>
      <c r="I198" s="64" t="s">
        <v>629</v>
      </c>
      <c r="J198" s="65">
        <v>1</v>
      </c>
      <c r="K198" s="66">
        <f>19900</f>
        <v>19900</v>
      </c>
      <c r="L198" s="67" t="s">
        <v>853</v>
      </c>
      <c r="M198" s="66">
        <f>20110</f>
        <v>20110</v>
      </c>
      <c r="N198" s="67" t="s">
        <v>853</v>
      </c>
      <c r="O198" s="66">
        <f>17100</f>
        <v>17100</v>
      </c>
      <c r="P198" s="67" t="s">
        <v>873</v>
      </c>
      <c r="Q198" s="66">
        <f>17250</f>
        <v>17250</v>
      </c>
      <c r="R198" s="67" t="s">
        <v>873</v>
      </c>
      <c r="S198" s="68">
        <f>18598.18</f>
        <v>18598.18</v>
      </c>
      <c r="T198" s="65">
        <f>86885</f>
        <v>86885</v>
      </c>
      <c r="U198" s="65">
        <f>15</f>
        <v>15</v>
      </c>
      <c r="V198" s="65">
        <f>1614502660</f>
        <v>1614502660</v>
      </c>
      <c r="W198" s="65">
        <f>294340</f>
        <v>294340</v>
      </c>
      <c r="X198" s="69">
        <f>22</f>
        <v>22</v>
      </c>
    </row>
    <row r="199" spans="1:24">
      <c r="A199" s="60" t="s">
        <v>907</v>
      </c>
      <c r="B199" s="60" t="s">
        <v>645</v>
      </c>
      <c r="C199" s="60" t="s">
        <v>646</v>
      </c>
      <c r="D199" s="60" t="s">
        <v>647</v>
      </c>
      <c r="E199" s="61" t="s">
        <v>46</v>
      </c>
      <c r="F199" s="62" t="s">
        <v>46</v>
      </c>
      <c r="G199" s="63" t="s">
        <v>46</v>
      </c>
      <c r="H199" s="64"/>
      <c r="I199" s="64" t="s">
        <v>629</v>
      </c>
      <c r="J199" s="65">
        <v>1</v>
      </c>
      <c r="K199" s="66">
        <f>5240</f>
        <v>5240</v>
      </c>
      <c r="L199" s="67" t="s">
        <v>853</v>
      </c>
      <c r="M199" s="66">
        <f>5690</f>
        <v>5690</v>
      </c>
      <c r="N199" s="67" t="s">
        <v>268</v>
      </c>
      <c r="O199" s="66">
        <f>5200</f>
        <v>5200</v>
      </c>
      <c r="P199" s="67" t="s">
        <v>858</v>
      </c>
      <c r="Q199" s="66">
        <f>5610</f>
        <v>5610</v>
      </c>
      <c r="R199" s="67" t="s">
        <v>873</v>
      </c>
      <c r="S199" s="68">
        <f>5431.82</f>
        <v>5431.82</v>
      </c>
      <c r="T199" s="65">
        <f>54268</f>
        <v>54268</v>
      </c>
      <c r="U199" s="65">
        <f>3</f>
        <v>3</v>
      </c>
      <c r="V199" s="65">
        <f>298004310</f>
        <v>298004310</v>
      </c>
      <c r="W199" s="65">
        <f>16600</f>
        <v>16600</v>
      </c>
      <c r="X199" s="69">
        <f>22</f>
        <v>22</v>
      </c>
    </row>
    <row r="200" spans="1:24">
      <c r="A200" s="60" t="s">
        <v>907</v>
      </c>
      <c r="B200" s="60" t="s">
        <v>648</v>
      </c>
      <c r="C200" s="60" t="s">
        <v>649</v>
      </c>
      <c r="D200" s="60" t="s">
        <v>650</v>
      </c>
      <c r="E200" s="61" t="s">
        <v>46</v>
      </c>
      <c r="F200" s="62" t="s">
        <v>46</v>
      </c>
      <c r="G200" s="63" t="s">
        <v>46</v>
      </c>
      <c r="H200" s="64"/>
      <c r="I200" s="64" t="s">
        <v>629</v>
      </c>
      <c r="J200" s="65">
        <v>1</v>
      </c>
      <c r="K200" s="66">
        <f>540</f>
        <v>540</v>
      </c>
      <c r="L200" s="67" t="s">
        <v>853</v>
      </c>
      <c r="M200" s="66">
        <f>656</f>
        <v>656</v>
      </c>
      <c r="N200" s="67" t="s">
        <v>88</v>
      </c>
      <c r="O200" s="66">
        <f>538</f>
        <v>538</v>
      </c>
      <c r="P200" s="67" t="s">
        <v>853</v>
      </c>
      <c r="Q200" s="66">
        <f>634</f>
        <v>634</v>
      </c>
      <c r="R200" s="67" t="s">
        <v>873</v>
      </c>
      <c r="S200" s="68">
        <f>599.18</f>
        <v>599.17999999999995</v>
      </c>
      <c r="T200" s="65">
        <f>177304380</f>
        <v>177304380</v>
      </c>
      <c r="U200" s="65">
        <f>1203833</f>
        <v>1203833</v>
      </c>
      <c r="V200" s="65">
        <f>106362131300</f>
        <v>106362131300</v>
      </c>
      <c r="W200" s="65">
        <f>788236555</f>
        <v>788236555</v>
      </c>
      <c r="X200" s="69">
        <f>22</f>
        <v>22</v>
      </c>
    </row>
    <row r="201" spans="1:24">
      <c r="A201" s="60" t="s">
        <v>907</v>
      </c>
      <c r="B201" s="60" t="s">
        <v>651</v>
      </c>
      <c r="C201" s="60" t="s">
        <v>652</v>
      </c>
      <c r="D201" s="60" t="s">
        <v>653</v>
      </c>
      <c r="E201" s="61" t="s">
        <v>46</v>
      </c>
      <c r="F201" s="62" t="s">
        <v>46</v>
      </c>
      <c r="G201" s="63" t="s">
        <v>46</v>
      </c>
      <c r="H201" s="64"/>
      <c r="I201" s="64" t="s">
        <v>629</v>
      </c>
      <c r="J201" s="65">
        <v>1</v>
      </c>
      <c r="K201" s="66">
        <f>3560</f>
        <v>3560</v>
      </c>
      <c r="L201" s="67" t="s">
        <v>853</v>
      </c>
      <c r="M201" s="66">
        <f>3580</f>
        <v>3580</v>
      </c>
      <c r="N201" s="67" t="s">
        <v>853</v>
      </c>
      <c r="O201" s="66">
        <f>3220</f>
        <v>3220</v>
      </c>
      <c r="P201" s="67" t="s">
        <v>88</v>
      </c>
      <c r="Q201" s="66">
        <f>3280</f>
        <v>3280</v>
      </c>
      <c r="R201" s="67" t="s">
        <v>873</v>
      </c>
      <c r="S201" s="68">
        <f>3370.91</f>
        <v>3370.91</v>
      </c>
      <c r="T201" s="65">
        <f>366249</f>
        <v>366249</v>
      </c>
      <c r="U201" s="65">
        <f>1</f>
        <v>1</v>
      </c>
      <c r="V201" s="65">
        <f>1244910705</f>
        <v>1244910705</v>
      </c>
      <c r="W201" s="65">
        <f>3540</f>
        <v>3540</v>
      </c>
      <c r="X201" s="69">
        <f>22</f>
        <v>22</v>
      </c>
    </row>
    <row r="202" spans="1:24">
      <c r="A202" s="60" t="s">
        <v>907</v>
      </c>
      <c r="B202" s="60" t="s">
        <v>654</v>
      </c>
      <c r="C202" s="60" t="s">
        <v>655</v>
      </c>
      <c r="D202" s="60" t="s">
        <v>656</v>
      </c>
      <c r="E202" s="61" t="s">
        <v>46</v>
      </c>
      <c r="F202" s="62" t="s">
        <v>46</v>
      </c>
      <c r="G202" s="63" t="s">
        <v>46</v>
      </c>
      <c r="H202" s="64"/>
      <c r="I202" s="64" t="s">
        <v>629</v>
      </c>
      <c r="J202" s="65">
        <v>1</v>
      </c>
      <c r="K202" s="66">
        <f>30900</f>
        <v>30900</v>
      </c>
      <c r="L202" s="67" t="s">
        <v>853</v>
      </c>
      <c r="M202" s="66">
        <f>31300</f>
        <v>31300</v>
      </c>
      <c r="N202" s="67" t="s">
        <v>172</v>
      </c>
      <c r="O202" s="66">
        <f>28530</f>
        <v>28530</v>
      </c>
      <c r="P202" s="67" t="s">
        <v>268</v>
      </c>
      <c r="Q202" s="66">
        <f>30550</f>
        <v>30550</v>
      </c>
      <c r="R202" s="67" t="s">
        <v>873</v>
      </c>
      <c r="S202" s="68">
        <f>30505.91</f>
        <v>30505.91</v>
      </c>
      <c r="T202" s="65">
        <f>122579</f>
        <v>122579</v>
      </c>
      <c r="U202" s="65" t="str">
        <f>"－"</f>
        <v>－</v>
      </c>
      <c r="V202" s="65">
        <f>3695453590</f>
        <v>3695453590</v>
      </c>
      <c r="W202" s="65" t="str">
        <f>"－"</f>
        <v>－</v>
      </c>
      <c r="X202" s="69">
        <f>22</f>
        <v>22</v>
      </c>
    </row>
    <row r="203" spans="1:24">
      <c r="A203" s="60" t="s">
        <v>907</v>
      </c>
      <c r="B203" s="60" t="s">
        <v>657</v>
      </c>
      <c r="C203" s="60" t="s">
        <v>658</v>
      </c>
      <c r="D203" s="60" t="s">
        <v>659</v>
      </c>
      <c r="E203" s="61" t="s">
        <v>46</v>
      </c>
      <c r="F203" s="62" t="s">
        <v>46</v>
      </c>
      <c r="G203" s="63" t="s">
        <v>46</v>
      </c>
      <c r="H203" s="64"/>
      <c r="I203" s="64" t="s">
        <v>629</v>
      </c>
      <c r="J203" s="65">
        <v>1</v>
      </c>
      <c r="K203" s="66">
        <f>2995</f>
        <v>2995</v>
      </c>
      <c r="L203" s="67" t="s">
        <v>853</v>
      </c>
      <c r="M203" s="66">
        <f>3135</f>
        <v>3135</v>
      </c>
      <c r="N203" s="67" t="s">
        <v>268</v>
      </c>
      <c r="O203" s="66">
        <f>2966</f>
        <v>2966</v>
      </c>
      <c r="P203" s="67" t="s">
        <v>172</v>
      </c>
      <c r="Q203" s="66">
        <f>2997</f>
        <v>2997</v>
      </c>
      <c r="R203" s="67" t="s">
        <v>873</v>
      </c>
      <c r="S203" s="68">
        <f>3005.45</f>
        <v>3005.45</v>
      </c>
      <c r="T203" s="65">
        <f>244919</f>
        <v>244919</v>
      </c>
      <c r="U203" s="65" t="str">
        <f>"－"</f>
        <v>－</v>
      </c>
      <c r="V203" s="65">
        <f>743367447</f>
        <v>743367447</v>
      </c>
      <c r="W203" s="65" t="str">
        <f>"－"</f>
        <v>－</v>
      </c>
      <c r="X203" s="69">
        <f>22</f>
        <v>22</v>
      </c>
    </row>
    <row r="204" spans="1:24">
      <c r="A204" s="60" t="s">
        <v>907</v>
      </c>
      <c r="B204" s="60" t="s">
        <v>660</v>
      </c>
      <c r="C204" s="60" t="s">
        <v>661</v>
      </c>
      <c r="D204" s="60" t="s">
        <v>662</v>
      </c>
      <c r="E204" s="61" t="s">
        <v>46</v>
      </c>
      <c r="F204" s="62" t="s">
        <v>46</v>
      </c>
      <c r="G204" s="63" t="s">
        <v>46</v>
      </c>
      <c r="H204" s="64"/>
      <c r="I204" s="64" t="s">
        <v>629</v>
      </c>
      <c r="J204" s="65">
        <v>1</v>
      </c>
      <c r="K204" s="66">
        <f>12280</f>
        <v>12280</v>
      </c>
      <c r="L204" s="67" t="s">
        <v>853</v>
      </c>
      <c r="M204" s="66">
        <f>13080</f>
        <v>13080</v>
      </c>
      <c r="N204" s="67" t="s">
        <v>873</v>
      </c>
      <c r="O204" s="66">
        <f>11840</f>
        <v>11840</v>
      </c>
      <c r="P204" s="67" t="s">
        <v>48</v>
      </c>
      <c r="Q204" s="66">
        <f>13010</f>
        <v>13010</v>
      </c>
      <c r="R204" s="67" t="s">
        <v>873</v>
      </c>
      <c r="S204" s="68">
        <f>12552.27</f>
        <v>12552.27</v>
      </c>
      <c r="T204" s="65">
        <f>79552</f>
        <v>79552</v>
      </c>
      <c r="U204" s="65">
        <f>9004</f>
        <v>9004</v>
      </c>
      <c r="V204" s="65">
        <f>1006946170</f>
        <v>1006946170</v>
      </c>
      <c r="W204" s="65">
        <f>114199790</f>
        <v>114199790</v>
      </c>
      <c r="X204" s="69">
        <f>22</f>
        <v>22</v>
      </c>
    </row>
    <row r="205" spans="1:24">
      <c r="A205" s="60" t="s">
        <v>907</v>
      </c>
      <c r="B205" s="60" t="s">
        <v>663</v>
      </c>
      <c r="C205" s="60" t="s">
        <v>664</v>
      </c>
      <c r="D205" s="60" t="s">
        <v>665</v>
      </c>
      <c r="E205" s="61" t="s">
        <v>46</v>
      </c>
      <c r="F205" s="62" t="s">
        <v>46</v>
      </c>
      <c r="G205" s="63" t="s">
        <v>46</v>
      </c>
      <c r="H205" s="64"/>
      <c r="I205" s="64" t="s">
        <v>629</v>
      </c>
      <c r="J205" s="65">
        <v>1</v>
      </c>
      <c r="K205" s="66">
        <f>13440</f>
        <v>13440</v>
      </c>
      <c r="L205" s="67" t="s">
        <v>853</v>
      </c>
      <c r="M205" s="66">
        <f>13780</f>
        <v>13780</v>
      </c>
      <c r="N205" s="67" t="s">
        <v>48</v>
      </c>
      <c r="O205" s="66">
        <f>13010</f>
        <v>13010</v>
      </c>
      <c r="P205" s="67" t="s">
        <v>856</v>
      </c>
      <c r="Q205" s="66">
        <f>13050</f>
        <v>13050</v>
      </c>
      <c r="R205" s="67" t="s">
        <v>873</v>
      </c>
      <c r="S205" s="68">
        <f>13402.78</f>
        <v>13402.78</v>
      </c>
      <c r="T205" s="65">
        <f>310</f>
        <v>310</v>
      </c>
      <c r="U205" s="65">
        <f>2</f>
        <v>2</v>
      </c>
      <c r="V205" s="65">
        <f>4161620</f>
        <v>4161620</v>
      </c>
      <c r="W205" s="65">
        <f>26840</f>
        <v>26840</v>
      </c>
      <c r="X205" s="69">
        <f>18</f>
        <v>18</v>
      </c>
    </row>
    <row r="206" spans="1:24">
      <c r="A206" s="60" t="s">
        <v>907</v>
      </c>
      <c r="B206" s="60" t="s">
        <v>666</v>
      </c>
      <c r="C206" s="60" t="s">
        <v>667</v>
      </c>
      <c r="D206" s="60" t="s">
        <v>668</v>
      </c>
      <c r="E206" s="61" t="s">
        <v>46</v>
      </c>
      <c r="F206" s="62" t="s">
        <v>46</v>
      </c>
      <c r="G206" s="63" t="s">
        <v>46</v>
      </c>
      <c r="H206" s="64"/>
      <c r="I206" s="64" t="s">
        <v>629</v>
      </c>
      <c r="J206" s="65">
        <v>1</v>
      </c>
      <c r="K206" s="66">
        <f>18780</f>
        <v>18780</v>
      </c>
      <c r="L206" s="67" t="s">
        <v>853</v>
      </c>
      <c r="M206" s="66">
        <f>19000</f>
        <v>19000</v>
      </c>
      <c r="N206" s="67" t="s">
        <v>48</v>
      </c>
      <c r="O206" s="66">
        <f>17890</f>
        <v>17890</v>
      </c>
      <c r="P206" s="67" t="s">
        <v>268</v>
      </c>
      <c r="Q206" s="66">
        <f>18730</f>
        <v>18730</v>
      </c>
      <c r="R206" s="67" t="s">
        <v>873</v>
      </c>
      <c r="S206" s="68">
        <f>18689.09</f>
        <v>18689.09</v>
      </c>
      <c r="T206" s="65">
        <f>49474</f>
        <v>49474</v>
      </c>
      <c r="U206" s="65">
        <f>8802</f>
        <v>8802</v>
      </c>
      <c r="V206" s="65">
        <f>923173650</f>
        <v>923173650</v>
      </c>
      <c r="W206" s="65">
        <f>164298880</f>
        <v>164298880</v>
      </c>
      <c r="X206" s="69">
        <f>22</f>
        <v>22</v>
      </c>
    </row>
    <row r="207" spans="1:24">
      <c r="A207" s="60" t="s">
        <v>907</v>
      </c>
      <c r="B207" s="60" t="s">
        <v>669</v>
      </c>
      <c r="C207" s="60" t="s">
        <v>670</v>
      </c>
      <c r="D207" s="60" t="s">
        <v>671</v>
      </c>
      <c r="E207" s="61" t="s">
        <v>46</v>
      </c>
      <c r="F207" s="62" t="s">
        <v>46</v>
      </c>
      <c r="G207" s="63" t="s">
        <v>46</v>
      </c>
      <c r="H207" s="64"/>
      <c r="I207" s="64" t="s">
        <v>629</v>
      </c>
      <c r="J207" s="65">
        <v>1</v>
      </c>
      <c r="K207" s="66">
        <f>13470</f>
        <v>13470</v>
      </c>
      <c r="L207" s="67" t="s">
        <v>857</v>
      </c>
      <c r="M207" s="66">
        <f>13910</f>
        <v>13910</v>
      </c>
      <c r="N207" s="67" t="s">
        <v>854</v>
      </c>
      <c r="O207" s="66">
        <f>13380</f>
        <v>13380</v>
      </c>
      <c r="P207" s="67" t="s">
        <v>100</v>
      </c>
      <c r="Q207" s="66">
        <f>13720</f>
        <v>13720</v>
      </c>
      <c r="R207" s="67" t="s">
        <v>50</v>
      </c>
      <c r="S207" s="68">
        <f>13604.12</f>
        <v>13604.12</v>
      </c>
      <c r="T207" s="65">
        <f>670</f>
        <v>670</v>
      </c>
      <c r="U207" s="65">
        <f>2</f>
        <v>2</v>
      </c>
      <c r="V207" s="65">
        <f>9131780</f>
        <v>9131780</v>
      </c>
      <c r="W207" s="65">
        <f>27220</f>
        <v>27220</v>
      </c>
      <c r="X207" s="69">
        <f>17</f>
        <v>17</v>
      </c>
    </row>
    <row r="208" spans="1:24">
      <c r="A208" s="60" t="s">
        <v>907</v>
      </c>
      <c r="B208" s="60" t="s">
        <v>672</v>
      </c>
      <c r="C208" s="60" t="s">
        <v>673</v>
      </c>
      <c r="D208" s="60" t="s">
        <v>674</v>
      </c>
      <c r="E208" s="61" t="s">
        <v>46</v>
      </c>
      <c r="F208" s="62" t="s">
        <v>46</v>
      </c>
      <c r="G208" s="63" t="s">
        <v>46</v>
      </c>
      <c r="H208" s="64"/>
      <c r="I208" s="64" t="s">
        <v>629</v>
      </c>
      <c r="J208" s="65">
        <v>1</v>
      </c>
      <c r="K208" s="66">
        <f>14490</f>
        <v>14490</v>
      </c>
      <c r="L208" s="67" t="s">
        <v>853</v>
      </c>
      <c r="M208" s="66">
        <f>15080</f>
        <v>15080</v>
      </c>
      <c r="N208" s="67" t="s">
        <v>854</v>
      </c>
      <c r="O208" s="66">
        <f>13770</f>
        <v>13770</v>
      </c>
      <c r="P208" s="67" t="s">
        <v>268</v>
      </c>
      <c r="Q208" s="66">
        <f>14840</f>
        <v>14840</v>
      </c>
      <c r="R208" s="67" t="s">
        <v>873</v>
      </c>
      <c r="S208" s="68">
        <f>14700</f>
        <v>14700</v>
      </c>
      <c r="T208" s="65">
        <f>49752</f>
        <v>49752</v>
      </c>
      <c r="U208" s="65">
        <f>13</f>
        <v>13</v>
      </c>
      <c r="V208" s="65">
        <f>728130180</f>
        <v>728130180</v>
      </c>
      <c r="W208" s="65">
        <f>190870</f>
        <v>190870</v>
      </c>
      <c r="X208" s="69">
        <f>22</f>
        <v>22</v>
      </c>
    </row>
    <row r="209" spans="1:24">
      <c r="A209" s="60" t="s">
        <v>907</v>
      </c>
      <c r="B209" s="60" t="s">
        <v>675</v>
      </c>
      <c r="C209" s="60" t="s">
        <v>676</v>
      </c>
      <c r="D209" s="60" t="s">
        <v>677</v>
      </c>
      <c r="E209" s="61" t="s">
        <v>46</v>
      </c>
      <c r="F209" s="62" t="s">
        <v>46</v>
      </c>
      <c r="G209" s="63" t="s">
        <v>46</v>
      </c>
      <c r="H209" s="64"/>
      <c r="I209" s="64" t="s">
        <v>629</v>
      </c>
      <c r="J209" s="65">
        <v>1</v>
      </c>
      <c r="K209" s="66">
        <f>4525</f>
        <v>4525</v>
      </c>
      <c r="L209" s="67" t="s">
        <v>853</v>
      </c>
      <c r="M209" s="66">
        <f>4550</f>
        <v>4550</v>
      </c>
      <c r="N209" s="67" t="s">
        <v>268</v>
      </c>
      <c r="O209" s="66">
        <f>4275</f>
        <v>4275</v>
      </c>
      <c r="P209" s="67" t="s">
        <v>50</v>
      </c>
      <c r="Q209" s="66">
        <f>4320</f>
        <v>4320</v>
      </c>
      <c r="R209" s="67" t="s">
        <v>873</v>
      </c>
      <c r="S209" s="68">
        <f>4387.95</f>
        <v>4387.95</v>
      </c>
      <c r="T209" s="65">
        <f>5461</f>
        <v>5461</v>
      </c>
      <c r="U209" s="65">
        <f>2</f>
        <v>2</v>
      </c>
      <c r="V209" s="65">
        <f>23968145</f>
        <v>23968145</v>
      </c>
      <c r="W209" s="65">
        <f>8800</f>
        <v>8800</v>
      </c>
      <c r="X209" s="69">
        <f>22</f>
        <v>22</v>
      </c>
    </row>
    <row r="210" spans="1:24">
      <c r="A210" s="60" t="s">
        <v>907</v>
      </c>
      <c r="B210" s="60" t="s">
        <v>678</v>
      </c>
      <c r="C210" s="60" t="s">
        <v>679</v>
      </c>
      <c r="D210" s="60" t="s">
        <v>680</v>
      </c>
      <c r="E210" s="61" t="s">
        <v>46</v>
      </c>
      <c r="F210" s="62" t="s">
        <v>46</v>
      </c>
      <c r="G210" s="63" t="s">
        <v>46</v>
      </c>
      <c r="H210" s="64"/>
      <c r="I210" s="64" t="s">
        <v>629</v>
      </c>
      <c r="J210" s="65">
        <v>1</v>
      </c>
      <c r="K210" s="66">
        <f>11190</f>
        <v>11190</v>
      </c>
      <c r="L210" s="67" t="s">
        <v>858</v>
      </c>
      <c r="M210" s="66">
        <f>11300</f>
        <v>11300</v>
      </c>
      <c r="N210" s="67" t="s">
        <v>855</v>
      </c>
      <c r="O210" s="66">
        <f>10660</f>
        <v>10660</v>
      </c>
      <c r="P210" s="67" t="s">
        <v>268</v>
      </c>
      <c r="Q210" s="66">
        <f>10930</f>
        <v>10930</v>
      </c>
      <c r="R210" s="67" t="s">
        <v>50</v>
      </c>
      <c r="S210" s="68">
        <f>11121.67</f>
        <v>11121.67</v>
      </c>
      <c r="T210" s="65">
        <f>1398</f>
        <v>1398</v>
      </c>
      <c r="U210" s="65">
        <f>2</f>
        <v>2</v>
      </c>
      <c r="V210" s="65">
        <f>15525150</f>
        <v>15525150</v>
      </c>
      <c r="W210" s="65">
        <f>22340</f>
        <v>22340</v>
      </c>
      <c r="X210" s="69">
        <f>12</f>
        <v>12</v>
      </c>
    </row>
    <row r="211" spans="1:24">
      <c r="A211" s="60" t="s">
        <v>907</v>
      </c>
      <c r="B211" s="60" t="s">
        <v>681</v>
      </c>
      <c r="C211" s="60" t="s">
        <v>682</v>
      </c>
      <c r="D211" s="60" t="s">
        <v>683</v>
      </c>
      <c r="E211" s="61" t="s">
        <v>46</v>
      </c>
      <c r="F211" s="62" t="s">
        <v>46</v>
      </c>
      <c r="G211" s="63" t="s">
        <v>46</v>
      </c>
      <c r="H211" s="64"/>
      <c r="I211" s="64" t="s">
        <v>629</v>
      </c>
      <c r="J211" s="65">
        <v>1</v>
      </c>
      <c r="K211" s="66">
        <f>12430</f>
        <v>12430</v>
      </c>
      <c r="L211" s="67" t="s">
        <v>858</v>
      </c>
      <c r="M211" s="66">
        <f>12760</f>
        <v>12760</v>
      </c>
      <c r="N211" s="67" t="s">
        <v>176</v>
      </c>
      <c r="O211" s="66">
        <f>12410</f>
        <v>12410</v>
      </c>
      <c r="P211" s="67" t="s">
        <v>858</v>
      </c>
      <c r="Q211" s="66">
        <f>12760</f>
        <v>12760</v>
      </c>
      <c r="R211" s="67" t="s">
        <v>176</v>
      </c>
      <c r="S211" s="68">
        <f>12592.86</f>
        <v>12592.86</v>
      </c>
      <c r="T211" s="65">
        <f>77</f>
        <v>77</v>
      </c>
      <c r="U211" s="65" t="str">
        <f>"－"</f>
        <v>－</v>
      </c>
      <c r="V211" s="65">
        <f>961140</f>
        <v>961140</v>
      </c>
      <c r="W211" s="65" t="str">
        <f>"－"</f>
        <v>－</v>
      </c>
      <c r="X211" s="69">
        <f>7</f>
        <v>7</v>
      </c>
    </row>
    <row r="212" spans="1:24">
      <c r="A212" s="60" t="s">
        <v>907</v>
      </c>
      <c r="B212" s="60" t="s">
        <v>684</v>
      </c>
      <c r="C212" s="60" t="s">
        <v>685</v>
      </c>
      <c r="D212" s="60" t="s">
        <v>686</v>
      </c>
      <c r="E212" s="61" t="s">
        <v>46</v>
      </c>
      <c r="F212" s="62" t="s">
        <v>46</v>
      </c>
      <c r="G212" s="63" t="s">
        <v>46</v>
      </c>
      <c r="H212" s="64"/>
      <c r="I212" s="64" t="s">
        <v>629</v>
      </c>
      <c r="J212" s="65">
        <v>1</v>
      </c>
      <c r="K212" s="66">
        <f>12970</f>
        <v>12970</v>
      </c>
      <c r="L212" s="67" t="s">
        <v>875</v>
      </c>
      <c r="M212" s="66">
        <f>13030</f>
        <v>13030</v>
      </c>
      <c r="N212" s="67" t="s">
        <v>132</v>
      </c>
      <c r="O212" s="66">
        <f>12900</f>
        <v>12900</v>
      </c>
      <c r="P212" s="67" t="s">
        <v>875</v>
      </c>
      <c r="Q212" s="66">
        <f>13030</f>
        <v>13030</v>
      </c>
      <c r="R212" s="67" t="s">
        <v>132</v>
      </c>
      <c r="S212" s="68">
        <f>12965</f>
        <v>12965</v>
      </c>
      <c r="T212" s="65">
        <f>21</f>
        <v>21</v>
      </c>
      <c r="U212" s="65">
        <f>1</f>
        <v>1</v>
      </c>
      <c r="V212" s="65">
        <f>271730</f>
        <v>271730</v>
      </c>
      <c r="W212" s="65">
        <f>12900</f>
        <v>12900</v>
      </c>
      <c r="X212" s="69">
        <f>2</f>
        <v>2</v>
      </c>
    </row>
    <row r="213" spans="1:24">
      <c r="A213" s="60" t="s">
        <v>907</v>
      </c>
      <c r="B213" s="60" t="s">
        <v>687</v>
      </c>
      <c r="C213" s="60" t="s">
        <v>688</v>
      </c>
      <c r="D213" s="60" t="s">
        <v>689</v>
      </c>
      <c r="E213" s="61" t="s">
        <v>46</v>
      </c>
      <c r="F213" s="62" t="s">
        <v>46</v>
      </c>
      <c r="G213" s="63" t="s">
        <v>46</v>
      </c>
      <c r="H213" s="64"/>
      <c r="I213" s="64" t="s">
        <v>629</v>
      </c>
      <c r="J213" s="65">
        <v>1</v>
      </c>
      <c r="K213" s="66">
        <f>13560</f>
        <v>13560</v>
      </c>
      <c r="L213" s="67" t="s">
        <v>853</v>
      </c>
      <c r="M213" s="66">
        <f>14470</f>
        <v>14470</v>
      </c>
      <c r="N213" s="67" t="s">
        <v>69</v>
      </c>
      <c r="O213" s="66">
        <f>13560</f>
        <v>13560</v>
      </c>
      <c r="P213" s="67" t="s">
        <v>853</v>
      </c>
      <c r="Q213" s="66">
        <f>14340</f>
        <v>14340</v>
      </c>
      <c r="R213" s="67" t="s">
        <v>50</v>
      </c>
      <c r="S213" s="68">
        <f>14108.57</f>
        <v>14108.57</v>
      </c>
      <c r="T213" s="65">
        <f>2318</f>
        <v>2318</v>
      </c>
      <c r="U213" s="65">
        <f>1</f>
        <v>1</v>
      </c>
      <c r="V213" s="65">
        <f>32409380</f>
        <v>32409380</v>
      </c>
      <c r="W213" s="65">
        <f>13970</f>
        <v>13970</v>
      </c>
      <c r="X213" s="69">
        <f>14</f>
        <v>14</v>
      </c>
    </row>
    <row r="214" spans="1:24">
      <c r="A214" s="60" t="s">
        <v>907</v>
      </c>
      <c r="B214" s="60" t="s">
        <v>690</v>
      </c>
      <c r="C214" s="60" t="s">
        <v>691</v>
      </c>
      <c r="D214" s="60" t="s">
        <v>692</v>
      </c>
      <c r="E214" s="61" t="s">
        <v>46</v>
      </c>
      <c r="F214" s="62" t="s">
        <v>46</v>
      </c>
      <c r="G214" s="63" t="s">
        <v>46</v>
      </c>
      <c r="H214" s="64"/>
      <c r="I214" s="64" t="s">
        <v>629</v>
      </c>
      <c r="J214" s="65">
        <v>1</v>
      </c>
      <c r="K214" s="66">
        <f>12800</f>
        <v>12800</v>
      </c>
      <c r="L214" s="67" t="s">
        <v>853</v>
      </c>
      <c r="M214" s="66">
        <f>13150</f>
        <v>13150</v>
      </c>
      <c r="N214" s="67" t="s">
        <v>172</v>
      </c>
      <c r="O214" s="66">
        <f>12400</f>
        <v>12400</v>
      </c>
      <c r="P214" s="67" t="s">
        <v>268</v>
      </c>
      <c r="Q214" s="66">
        <f>12830</f>
        <v>12830</v>
      </c>
      <c r="R214" s="67" t="s">
        <v>873</v>
      </c>
      <c r="S214" s="68">
        <f>12937.22</f>
        <v>12937.22</v>
      </c>
      <c r="T214" s="65">
        <f>6904</f>
        <v>6904</v>
      </c>
      <c r="U214" s="65">
        <f>2</f>
        <v>2</v>
      </c>
      <c r="V214" s="65">
        <f>89618480</f>
        <v>89618480</v>
      </c>
      <c r="W214" s="65">
        <f>26010</f>
        <v>26010</v>
      </c>
      <c r="X214" s="69">
        <f>18</f>
        <v>18</v>
      </c>
    </row>
    <row r="215" spans="1:24">
      <c r="A215" s="60" t="s">
        <v>907</v>
      </c>
      <c r="B215" s="60" t="s">
        <v>693</v>
      </c>
      <c r="C215" s="60" t="s">
        <v>694</v>
      </c>
      <c r="D215" s="60" t="s">
        <v>695</v>
      </c>
      <c r="E215" s="61" t="s">
        <v>46</v>
      </c>
      <c r="F215" s="62" t="s">
        <v>46</v>
      </c>
      <c r="G215" s="63" t="s">
        <v>46</v>
      </c>
      <c r="H215" s="64"/>
      <c r="I215" s="64" t="s">
        <v>629</v>
      </c>
      <c r="J215" s="65">
        <v>1</v>
      </c>
      <c r="K215" s="66">
        <f>13570</f>
        <v>13570</v>
      </c>
      <c r="L215" s="67" t="s">
        <v>857</v>
      </c>
      <c r="M215" s="66">
        <f>13600</f>
        <v>13600</v>
      </c>
      <c r="N215" s="67" t="s">
        <v>858</v>
      </c>
      <c r="O215" s="66">
        <f>13470</f>
        <v>13470</v>
      </c>
      <c r="P215" s="67" t="s">
        <v>857</v>
      </c>
      <c r="Q215" s="66">
        <f>13600</f>
        <v>13600</v>
      </c>
      <c r="R215" s="67" t="s">
        <v>49</v>
      </c>
      <c r="S215" s="68">
        <f>13567.5</f>
        <v>13567.5</v>
      </c>
      <c r="T215" s="65">
        <f>108</f>
        <v>108</v>
      </c>
      <c r="U215" s="65">
        <f>1</f>
        <v>1</v>
      </c>
      <c r="V215" s="65">
        <f>1468480</f>
        <v>1468480</v>
      </c>
      <c r="W215" s="65">
        <f>13600</f>
        <v>13600</v>
      </c>
      <c r="X215" s="69">
        <f>4</f>
        <v>4</v>
      </c>
    </row>
    <row r="216" spans="1:24">
      <c r="A216" s="60" t="s">
        <v>907</v>
      </c>
      <c r="B216" s="60" t="s">
        <v>696</v>
      </c>
      <c r="C216" s="60" t="s">
        <v>697</v>
      </c>
      <c r="D216" s="60" t="s">
        <v>698</v>
      </c>
      <c r="E216" s="61" t="s">
        <v>46</v>
      </c>
      <c r="F216" s="62" t="s">
        <v>46</v>
      </c>
      <c r="G216" s="63" t="s">
        <v>46</v>
      </c>
      <c r="H216" s="64"/>
      <c r="I216" s="64" t="s">
        <v>629</v>
      </c>
      <c r="J216" s="65">
        <v>1</v>
      </c>
      <c r="K216" s="66">
        <f>12660</f>
        <v>12660</v>
      </c>
      <c r="L216" s="67" t="s">
        <v>96</v>
      </c>
      <c r="M216" s="66">
        <f>12690</f>
        <v>12690</v>
      </c>
      <c r="N216" s="67" t="s">
        <v>132</v>
      </c>
      <c r="O216" s="66">
        <f>12660</f>
        <v>12660</v>
      </c>
      <c r="P216" s="67" t="s">
        <v>96</v>
      </c>
      <c r="Q216" s="66">
        <f>12690</f>
        <v>12690</v>
      </c>
      <c r="R216" s="67" t="s">
        <v>132</v>
      </c>
      <c r="S216" s="68">
        <f>12675</f>
        <v>12675</v>
      </c>
      <c r="T216" s="65">
        <f>2</f>
        <v>2</v>
      </c>
      <c r="U216" s="65" t="str">
        <f>"－"</f>
        <v>－</v>
      </c>
      <c r="V216" s="65">
        <f>25350</f>
        <v>25350</v>
      </c>
      <c r="W216" s="65" t="str">
        <f>"－"</f>
        <v>－</v>
      </c>
      <c r="X216" s="69">
        <f>2</f>
        <v>2</v>
      </c>
    </row>
    <row r="217" spans="1:24">
      <c r="A217" s="60" t="s">
        <v>907</v>
      </c>
      <c r="B217" s="60" t="s">
        <v>699</v>
      </c>
      <c r="C217" s="60" t="s">
        <v>700</v>
      </c>
      <c r="D217" s="60" t="s">
        <v>701</v>
      </c>
      <c r="E217" s="61" t="s">
        <v>46</v>
      </c>
      <c r="F217" s="62" t="s">
        <v>46</v>
      </c>
      <c r="G217" s="63" t="s">
        <v>46</v>
      </c>
      <c r="H217" s="64"/>
      <c r="I217" s="64" t="s">
        <v>629</v>
      </c>
      <c r="J217" s="65">
        <v>1</v>
      </c>
      <c r="K217" s="66">
        <f>9980</f>
        <v>9980</v>
      </c>
      <c r="L217" s="67" t="s">
        <v>853</v>
      </c>
      <c r="M217" s="66">
        <f>10330</f>
        <v>10330</v>
      </c>
      <c r="N217" s="67" t="s">
        <v>88</v>
      </c>
      <c r="O217" s="66">
        <f>9850</f>
        <v>9850</v>
      </c>
      <c r="P217" s="67" t="s">
        <v>268</v>
      </c>
      <c r="Q217" s="66">
        <f>10290</f>
        <v>10290</v>
      </c>
      <c r="R217" s="67" t="s">
        <v>873</v>
      </c>
      <c r="S217" s="68">
        <f>10122.22</f>
        <v>10122.219999999999</v>
      </c>
      <c r="T217" s="65">
        <f>13243</f>
        <v>13243</v>
      </c>
      <c r="U217" s="65">
        <f>1</f>
        <v>1</v>
      </c>
      <c r="V217" s="65">
        <f>135179020</f>
        <v>135179020</v>
      </c>
      <c r="W217" s="65">
        <f>10150</f>
        <v>10150</v>
      </c>
      <c r="X217" s="69">
        <f>18</f>
        <v>18</v>
      </c>
    </row>
    <row r="218" spans="1:24">
      <c r="A218" s="60" t="s">
        <v>907</v>
      </c>
      <c r="B218" s="60" t="s">
        <v>702</v>
      </c>
      <c r="C218" s="60" t="s">
        <v>703</v>
      </c>
      <c r="D218" s="60" t="s">
        <v>704</v>
      </c>
      <c r="E218" s="61" t="s">
        <v>46</v>
      </c>
      <c r="F218" s="62" t="s">
        <v>46</v>
      </c>
      <c r="G218" s="63" t="s">
        <v>46</v>
      </c>
      <c r="H218" s="64"/>
      <c r="I218" s="64" t="s">
        <v>629</v>
      </c>
      <c r="J218" s="65">
        <v>1</v>
      </c>
      <c r="K218" s="66">
        <f>10490</f>
        <v>10490</v>
      </c>
      <c r="L218" s="67" t="s">
        <v>853</v>
      </c>
      <c r="M218" s="66">
        <f>10980</f>
        <v>10980</v>
      </c>
      <c r="N218" s="67" t="s">
        <v>873</v>
      </c>
      <c r="O218" s="66">
        <f>10390</f>
        <v>10390</v>
      </c>
      <c r="P218" s="67" t="s">
        <v>857</v>
      </c>
      <c r="Q218" s="66">
        <f>10900</f>
        <v>10900</v>
      </c>
      <c r="R218" s="67" t="s">
        <v>873</v>
      </c>
      <c r="S218" s="68">
        <f>10703.64</f>
        <v>10703.64</v>
      </c>
      <c r="T218" s="65">
        <f>61237</f>
        <v>61237</v>
      </c>
      <c r="U218" s="65">
        <f>2</f>
        <v>2</v>
      </c>
      <c r="V218" s="65">
        <f>659211750</f>
        <v>659211750</v>
      </c>
      <c r="W218" s="65">
        <f>21780</f>
        <v>21780</v>
      </c>
      <c r="X218" s="69">
        <f>22</f>
        <v>22</v>
      </c>
    </row>
    <row r="219" spans="1:24">
      <c r="A219" s="60" t="s">
        <v>907</v>
      </c>
      <c r="B219" s="60" t="s">
        <v>705</v>
      </c>
      <c r="C219" s="60" t="s">
        <v>706</v>
      </c>
      <c r="D219" s="60" t="s">
        <v>707</v>
      </c>
      <c r="E219" s="61" t="s">
        <v>46</v>
      </c>
      <c r="F219" s="62" t="s">
        <v>46</v>
      </c>
      <c r="G219" s="63" t="s">
        <v>46</v>
      </c>
      <c r="H219" s="64"/>
      <c r="I219" s="64" t="s">
        <v>629</v>
      </c>
      <c r="J219" s="65">
        <v>1</v>
      </c>
      <c r="K219" s="66">
        <f>10510</f>
        <v>10510</v>
      </c>
      <c r="L219" s="67" t="s">
        <v>853</v>
      </c>
      <c r="M219" s="66">
        <f>10690</f>
        <v>10690</v>
      </c>
      <c r="N219" s="67" t="s">
        <v>176</v>
      </c>
      <c r="O219" s="66">
        <f>10310</f>
        <v>10310</v>
      </c>
      <c r="P219" s="67" t="s">
        <v>268</v>
      </c>
      <c r="Q219" s="66">
        <f>10660</f>
        <v>10660</v>
      </c>
      <c r="R219" s="67" t="s">
        <v>873</v>
      </c>
      <c r="S219" s="68">
        <f>10583.81</f>
        <v>10583.81</v>
      </c>
      <c r="T219" s="65">
        <f>32856</f>
        <v>32856</v>
      </c>
      <c r="U219" s="65">
        <f>1</f>
        <v>1</v>
      </c>
      <c r="V219" s="65">
        <f>349114140</f>
        <v>349114140</v>
      </c>
      <c r="W219" s="65">
        <f>10630</f>
        <v>10630</v>
      </c>
      <c r="X219" s="69">
        <f>21</f>
        <v>21</v>
      </c>
    </row>
    <row r="220" spans="1:24">
      <c r="A220" s="60" t="s">
        <v>907</v>
      </c>
      <c r="B220" s="60" t="s">
        <v>708</v>
      </c>
      <c r="C220" s="60" t="s">
        <v>709</v>
      </c>
      <c r="D220" s="60" t="s">
        <v>710</v>
      </c>
      <c r="E220" s="61" t="s">
        <v>46</v>
      </c>
      <c r="F220" s="62" t="s">
        <v>46</v>
      </c>
      <c r="G220" s="63" t="s">
        <v>46</v>
      </c>
      <c r="H220" s="64"/>
      <c r="I220" s="64" t="s">
        <v>47</v>
      </c>
      <c r="J220" s="65">
        <v>10</v>
      </c>
      <c r="K220" s="66">
        <f>995</f>
        <v>995</v>
      </c>
      <c r="L220" s="67" t="s">
        <v>853</v>
      </c>
      <c r="M220" s="66">
        <f>999</f>
        <v>999</v>
      </c>
      <c r="N220" s="67" t="s">
        <v>268</v>
      </c>
      <c r="O220" s="66">
        <f>993</f>
        <v>993</v>
      </c>
      <c r="P220" s="67" t="s">
        <v>853</v>
      </c>
      <c r="Q220" s="66">
        <f>996</f>
        <v>996</v>
      </c>
      <c r="R220" s="67" t="s">
        <v>873</v>
      </c>
      <c r="S220" s="68">
        <f>995.5</f>
        <v>995.5</v>
      </c>
      <c r="T220" s="65">
        <f>3927250</f>
        <v>3927250</v>
      </c>
      <c r="U220" s="65">
        <f>2832930</f>
        <v>2832930</v>
      </c>
      <c r="V220" s="65">
        <f>3912836390</f>
        <v>3912836390</v>
      </c>
      <c r="W220" s="65">
        <f>2823126730</f>
        <v>2823126730</v>
      </c>
      <c r="X220" s="69">
        <f>22</f>
        <v>22</v>
      </c>
    </row>
    <row r="221" spans="1:24">
      <c r="A221" s="60" t="s">
        <v>907</v>
      </c>
      <c r="B221" s="60" t="s">
        <v>711</v>
      </c>
      <c r="C221" s="60" t="s">
        <v>712</v>
      </c>
      <c r="D221" s="60" t="s">
        <v>713</v>
      </c>
      <c r="E221" s="61" t="s">
        <v>46</v>
      </c>
      <c r="F221" s="62" t="s">
        <v>46</v>
      </c>
      <c r="G221" s="63" t="s">
        <v>46</v>
      </c>
      <c r="H221" s="64"/>
      <c r="I221" s="64" t="s">
        <v>47</v>
      </c>
      <c r="J221" s="65">
        <v>10</v>
      </c>
      <c r="K221" s="66">
        <f>1023</f>
        <v>1023</v>
      </c>
      <c r="L221" s="67" t="s">
        <v>853</v>
      </c>
      <c r="M221" s="66">
        <f>1030</f>
        <v>1030</v>
      </c>
      <c r="N221" s="67" t="s">
        <v>854</v>
      </c>
      <c r="O221" s="66">
        <f>1012</f>
        <v>1012</v>
      </c>
      <c r="P221" s="67" t="s">
        <v>268</v>
      </c>
      <c r="Q221" s="66">
        <f>1018</f>
        <v>1018</v>
      </c>
      <c r="R221" s="67" t="s">
        <v>873</v>
      </c>
      <c r="S221" s="68">
        <f>1022.36</f>
        <v>1022.36</v>
      </c>
      <c r="T221" s="65">
        <f>2145300</f>
        <v>2145300</v>
      </c>
      <c r="U221" s="65">
        <f>487040</f>
        <v>487040</v>
      </c>
      <c r="V221" s="65">
        <f>2195843595</f>
        <v>2195843595</v>
      </c>
      <c r="W221" s="65">
        <f>500482085</f>
        <v>500482085</v>
      </c>
      <c r="X221" s="69">
        <f>22</f>
        <v>22</v>
      </c>
    </row>
    <row r="222" spans="1:24">
      <c r="A222" s="60" t="s">
        <v>907</v>
      </c>
      <c r="B222" s="60" t="s">
        <v>714</v>
      </c>
      <c r="C222" s="60" t="s">
        <v>715</v>
      </c>
      <c r="D222" s="60" t="s">
        <v>716</v>
      </c>
      <c r="E222" s="61" t="s">
        <v>46</v>
      </c>
      <c r="F222" s="62" t="s">
        <v>46</v>
      </c>
      <c r="G222" s="63" t="s">
        <v>46</v>
      </c>
      <c r="H222" s="64"/>
      <c r="I222" s="64" t="s">
        <v>47</v>
      </c>
      <c r="J222" s="65">
        <v>10</v>
      </c>
      <c r="K222" s="66">
        <f>1017</f>
        <v>1017</v>
      </c>
      <c r="L222" s="67" t="s">
        <v>853</v>
      </c>
      <c r="M222" s="66">
        <f>1023</f>
        <v>1023</v>
      </c>
      <c r="N222" s="67" t="s">
        <v>268</v>
      </c>
      <c r="O222" s="66">
        <f>1012</f>
        <v>1012</v>
      </c>
      <c r="P222" s="67" t="s">
        <v>857</v>
      </c>
      <c r="Q222" s="66">
        <f>1018</f>
        <v>1018</v>
      </c>
      <c r="R222" s="67" t="s">
        <v>873</v>
      </c>
      <c r="S222" s="68">
        <f>1017.18</f>
        <v>1017.18</v>
      </c>
      <c r="T222" s="65">
        <f>8223450</f>
        <v>8223450</v>
      </c>
      <c r="U222" s="65">
        <f>6379040</f>
        <v>6379040</v>
      </c>
      <c r="V222" s="65">
        <f>8375648841</f>
        <v>8375648841</v>
      </c>
      <c r="W222" s="65">
        <f>6497698651</f>
        <v>6497698651</v>
      </c>
      <c r="X222" s="69">
        <f>22</f>
        <v>22</v>
      </c>
    </row>
    <row r="223" spans="1:24">
      <c r="A223" s="60" t="s">
        <v>907</v>
      </c>
      <c r="B223" s="60" t="s">
        <v>717</v>
      </c>
      <c r="C223" s="60" t="s">
        <v>718</v>
      </c>
      <c r="D223" s="60" t="s">
        <v>719</v>
      </c>
      <c r="E223" s="61" t="s">
        <v>46</v>
      </c>
      <c r="F223" s="62" t="s">
        <v>46</v>
      </c>
      <c r="G223" s="63" t="s">
        <v>46</v>
      </c>
      <c r="H223" s="64"/>
      <c r="I223" s="64" t="s">
        <v>47</v>
      </c>
      <c r="J223" s="65">
        <v>10</v>
      </c>
      <c r="K223" s="66">
        <f>1470</f>
        <v>1470</v>
      </c>
      <c r="L223" s="67" t="s">
        <v>853</v>
      </c>
      <c r="M223" s="66">
        <f>1519</f>
        <v>1519</v>
      </c>
      <c r="N223" s="67" t="s">
        <v>873</v>
      </c>
      <c r="O223" s="66">
        <f>1450</f>
        <v>1450</v>
      </c>
      <c r="P223" s="67" t="s">
        <v>268</v>
      </c>
      <c r="Q223" s="66">
        <f>1513</f>
        <v>1513</v>
      </c>
      <c r="R223" s="67" t="s">
        <v>873</v>
      </c>
      <c r="S223" s="68">
        <f>1490.64</f>
        <v>1490.64</v>
      </c>
      <c r="T223" s="65">
        <f>1862120</f>
        <v>1862120</v>
      </c>
      <c r="U223" s="65">
        <f>1273670</f>
        <v>1273670</v>
      </c>
      <c r="V223" s="65">
        <f>2780402608</f>
        <v>2780402608</v>
      </c>
      <c r="W223" s="65">
        <f>1902104638</f>
        <v>1902104638</v>
      </c>
      <c r="X223" s="69">
        <f>22</f>
        <v>22</v>
      </c>
    </row>
    <row r="224" spans="1:24">
      <c r="A224" s="60" t="s">
        <v>907</v>
      </c>
      <c r="B224" s="60" t="s">
        <v>720</v>
      </c>
      <c r="C224" s="60" t="s">
        <v>721</v>
      </c>
      <c r="D224" s="60" t="s">
        <v>722</v>
      </c>
      <c r="E224" s="61" t="s">
        <v>46</v>
      </c>
      <c r="F224" s="62" t="s">
        <v>46</v>
      </c>
      <c r="G224" s="63" t="s">
        <v>46</v>
      </c>
      <c r="H224" s="64"/>
      <c r="I224" s="64" t="s">
        <v>47</v>
      </c>
      <c r="J224" s="65">
        <v>10</v>
      </c>
      <c r="K224" s="66">
        <f>1450</f>
        <v>1450</v>
      </c>
      <c r="L224" s="67" t="s">
        <v>853</v>
      </c>
      <c r="M224" s="66">
        <f>1487</f>
        <v>1487</v>
      </c>
      <c r="N224" s="67" t="s">
        <v>873</v>
      </c>
      <c r="O224" s="66">
        <f>1437</f>
        <v>1437</v>
      </c>
      <c r="P224" s="67" t="s">
        <v>268</v>
      </c>
      <c r="Q224" s="66">
        <f>1483</f>
        <v>1483</v>
      </c>
      <c r="R224" s="67" t="s">
        <v>873</v>
      </c>
      <c r="S224" s="68">
        <f>1463.45</f>
        <v>1463.45</v>
      </c>
      <c r="T224" s="65">
        <f>657470</f>
        <v>657470</v>
      </c>
      <c r="U224" s="65">
        <f>550020</f>
        <v>550020</v>
      </c>
      <c r="V224" s="65">
        <f>959032210</f>
        <v>959032210</v>
      </c>
      <c r="W224" s="65">
        <f>801429640</f>
        <v>801429640</v>
      </c>
      <c r="X224" s="69">
        <f>22</f>
        <v>22</v>
      </c>
    </row>
    <row r="225" spans="1:24">
      <c r="A225" s="60" t="s">
        <v>907</v>
      </c>
      <c r="B225" s="60" t="s">
        <v>723</v>
      </c>
      <c r="C225" s="60" t="s">
        <v>724</v>
      </c>
      <c r="D225" s="60" t="s">
        <v>725</v>
      </c>
      <c r="E225" s="61" t="s">
        <v>46</v>
      </c>
      <c r="F225" s="62" t="s">
        <v>46</v>
      </c>
      <c r="G225" s="63" t="s">
        <v>46</v>
      </c>
      <c r="H225" s="64"/>
      <c r="I225" s="64" t="s">
        <v>47</v>
      </c>
      <c r="J225" s="65">
        <v>10</v>
      </c>
      <c r="K225" s="66">
        <f>1108</f>
        <v>1108</v>
      </c>
      <c r="L225" s="67" t="s">
        <v>853</v>
      </c>
      <c r="M225" s="66">
        <f>1170</f>
        <v>1170</v>
      </c>
      <c r="N225" s="67" t="s">
        <v>69</v>
      </c>
      <c r="O225" s="66">
        <f>1100</f>
        <v>1100</v>
      </c>
      <c r="P225" s="67" t="s">
        <v>853</v>
      </c>
      <c r="Q225" s="66">
        <f>1143</f>
        <v>1143</v>
      </c>
      <c r="R225" s="67" t="s">
        <v>873</v>
      </c>
      <c r="S225" s="68">
        <f>1142.64</f>
        <v>1142.6400000000001</v>
      </c>
      <c r="T225" s="65">
        <f>1307970</f>
        <v>1307970</v>
      </c>
      <c r="U225" s="65">
        <f>342490</f>
        <v>342490</v>
      </c>
      <c r="V225" s="65">
        <f>1495943558</f>
        <v>1495943558</v>
      </c>
      <c r="W225" s="65">
        <f>393188018</f>
        <v>393188018</v>
      </c>
      <c r="X225" s="69">
        <f>22</f>
        <v>22</v>
      </c>
    </row>
    <row r="226" spans="1:24">
      <c r="A226" s="60" t="s">
        <v>907</v>
      </c>
      <c r="B226" s="60" t="s">
        <v>726</v>
      </c>
      <c r="C226" s="60" t="s">
        <v>727</v>
      </c>
      <c r="D226" s="60" t="s">
        <v>728</v>
      </c>
      <c r="E226" s="61" t="s">
        <v>46</v>
      </c>
      <c r="F226" s="62" t="s">
        <v>46</v>
      </c>
      <c r="G226" s="63" t="s">
        <v>46</v>
      </c>
      <c r="H226" s="64"/>
      <c r="I226" s="64" t="s">
        <v>47</v>
      </c>
      <c r="J226" s="65">
        <v>10</v>
      </c>
      <c r="K226" s="66">
        <f>873</f>
        <v>873</v>
      </c>
      <c r="L226" s="67" t="s">
        <v>853</v>
      </c>
      <c r="M226" s="66">
        <f>930</f>
        <v>930</v>
      </c>
      <c r="N226" s="67" t="s">
        <v>873</v>
      </c>
      <c r="O226" s="66">
        <f>851</f>
        <v>851</v>
      </c>
      <c r="P226" s="67" t="s">
        <v>48</v>
      </c>
      <c r="Q226" s="66">
        <f>930</f>
        <v>930</v>
      </c>
      <c r="R226" s="67" t="s">
        <v>873</v>
      </c>
      <c r="S226" s="68">
        <f>900.36</f>
        <v>900.36</v>
      </c>
      <c r="T226" s="65">
        <f>13844510</f>
        <v>13844510</v>
      </c>
      <c r="U226" s="65">
        <f>62600</f>
        <v>62600</v>
      </c>
      <c r="V226" s="65">
        <f>12375612488</f>
        <v>12375612488</v>
      </c>
      <c r="W226" s="65">
        <f>57094088</f>
        <v>57094088</v>
      </c>
      <c r="X226" s="69">
        <f>22</f>
        <v>22</v>
      </c>
    </row>
    <row r="227" spans="1:24">
      <c r="A227" s="60" t="s">
        <v>907</v>
      </c>
      <c r="B227" s="60" t="s">
        <v>729</v>
      </c>
      <c r="C227" s="60" t="s">
        <v>730</v>
      </c>
      <c r="D227" s="60" t="s">
        <v>731</v>
      </c>
      <c r="E227" s="61" t="s">
        <v>46</v>
      </c>
      <c r="F227" s="62" t="s">
        <v>46</v>
      </c>
      <c r="G227" s="63" t="s">
        <v>46</v>
      </c>
      <c r="H227" s="64"/>
      <c r="I227" s="64" t="s">
        <v>47</v>
      </c>
      <c r="J227" s="65">
        <v>10</v>
      </c>
      <c r="K227" s="66">
        <f>1219</f>
        <v>1219</v>
      </c>
      <c r="L227" s="67" t="s">
        <v>853</v>
      </c>
      <c r="M227" s="66">
        <f>1272</f>
        <v>1272</v>
      </c>
      <c r="N227" s="67" t="s">
        <v>859</v>
      </c>
      <c r="O227" s="66">
        <f>1211</f>
        <v>1211</v>
      </c>
      <c r="P227" s="67" t="s">
        <v>853</v>
      </c>
      <c r="Q227" s="66">
        <f>1261</f>
        <v>1261</v>
      </c>
      <c r="R227" s="67" t="s">
        <v>873</v>
      </c>
      <c r="S227" s="68">
        <f>1252.68</f>
        <v>1252.68</v>
      </c>
      <c r="T227" s="65">
        <f>277120</f>
        <v>277120</v>
      </c>
      <c r="U227" s="65">
        <f>70</f>
        <v>70</v>
      </c>
      <c r="V227" s="65">
        <f>344472150</f>
        <v>344472150</v>
      </c>
      <c r="W227" s="65">
        <f>87600</f>
        <v>87600</v>
      </c>
      <c r="X227" s="69">
        <f>22</f>
        <v>22</v>
      </c>
    </row>
    <row r="228" spans="1:24">
      <c r="A228" s="60" t="s">
        <v>907</v>
      </c>
      <c r="B228" s="60" t="s">
        <v>732</v>
      </c>
      <c r="C228" s="60" t="s">
        <v>733</v>
      </c>
      <c r="D228" s="60" t="s">
        <v>734</v>
      </c>
      <c r="E228" s="61" t="s">
        <v>46</v>
      </c>
      <c r="F228" s="62" t="s">
        <v>46</v>
      </c>
      <c r="G228" s="63" t="s">
        <v>46</v>
      </c>
      <c r="H228" s="64"/>
      <c r="I228" s="64" t="s">
        <v>47</v>
      </c>
      <c r="J228" s="65">
        <v>1</v>
      </c>
      <c r="K228" s="66">
        <f>1102</f>
        <v>1102</v>
      </c>
      <c r="L228" s="67" t="s">
        <v>853</v>
      </c>
      <c r="M228" s="66">
        <f>1140</f>
        <v>1140</v>
      </c>
      <c r="N228" s="67" t="s">
        <v>875</v>
      </c>
      <c r="O228" s="66">
        <f>1083</f>
        <v>1083</v>
      </c>
      <c r="P228" s="67" t="s">
        <v>268</v>
      </c>
      <c r="Q228" s="66">
        <f>1117</f>
        <v>1117</v>
      </c>
      <c r="R228" s="67" t="s">
        <v>873</v>
      </c>
      <c r="S228" s="68">
        <f>1114.73</f>
        <v>1114.73</v>
      </c>
      <c r="T228" s="65">
        <f>13024</f>
        <v>13024</v>
      </c>
      <c r="U228" s="65">
        <f>1</f>
        <v>1</v>
      </c>
      <c r="V228" s="65">
        <f>14547510</f>
        <v>14547510</v>
      </c>
      <c r="W228" s="65">
        <f>1117</f>
        <v>1117</v>
      </c>
      <c r="X228" s="69">
        <f>22</f>
        <v>22</v>
      </c>
    </row>
    <row r="229" spans="1:24">
      <c r="A229" s="60" t="s">
        <v>907</v>
      </c>
      <c r="B229" s="60" t="s">
        <v>735</v>
      </c>
      <c r="C229" s="60" t="s">
        <v>736</v>
      </c>
      <c r="D229" s="60" t="s">
        <v>737</v>
      </c>
      <c r="E229" s="61" t="s">
        <v>46</v>
      </c>
      <c r="F229" s="62" t="s">
        <v>46</v>
      </c>
      <c r="G229" s="63" t="s">
        <v>46</v>
      </c>
      <c r="H229" s="64"/>
      <c r="I229" s="64" t="s">
        <v>47</v>
      </c>
      <c r="J229" s="65">
        <v>10</v>
      </c>
      <c r="K229" s="66">
        <f>1034</f>
        <v>1034</v>
      </c>
      <c r="L229" s="67" t="s">
        <v>853</v>
      </c>
      <c r="M229" s="66">
        <f>1059</f>
        <v>1059</v>
      </c>
      <c r="N229" s="67" t="s">
        <v>50</v>
      </c>
      <c r="O229" s="66">
        <f>1026</f>
        <v>1026</v>
      </c>
      <c r="P229" s="67" t="s">
        <v>858</v>
      </c>
      <c r="Q229" s="66">
        <f>1049</f>
        <v>1049</v>
      </c>
      <c r="R229" s="67" t="s">
        <v>873</v>
      </c>
      <c r="S229" s="68">
        <f>1043.82</f>
        <v>1043.82</v>
      </c>
      <c r="T229" s="65">
        <f>154960</f>
        <v>154960</v>
      </c>
      <c r="U229" s="65">
        <f>90460</f>
        <v>90460</v>
      </c>
      <c r="V229" s="65">
        <f>162038528</f>
        <v>162038528</v>
      </c>
      <c r="W229" s="65">
        <f>94734638</f>
        <v>94734638</v>
      </c>
      <c r="X229" s="69">
        <f>22</f>
        <v>22</v>
      </c>
    </row>
    <row r="230" spans="1:24">
      <c r="A230" s="60" t="s">
        <v>907</v>
      </c>
      <c r="B230" s="60" t="s">
        <v>738</v>
      </c>
      <c r="C230" s="60" t="s">
        <v>739</v>
      </c>
      <c r="D230" s="60" t="s">
        <v>740</v>
      </c>
      <c r="E230" s="61" t="s">
        <v>46</v>
      </c>
      <c r="F230" s="62" t="s">
        <v>46</v>
      </c>
      <c r="G230" s="63" t="s">
        <v>46</v>
      </c>
      <c r="H230" s="64"/>
      <c r="I230" s="64" t="s">
        <v>47</v>
      </c>
      <c r="J230" s="65">
        <v>10</v>
      </c>
      <c r="K230" s="66">
        <f>1296</f>
        <v>1296</v>
      </c>
      <c r="L230" s="67" t="s">
        <v>853</v>
      </c>
      <c r="M230" s="66">
        <f>1323</f>
        <v>1323</v>
      </c>
      <c r="N230" s="67" t="s">
        <v>88</v>
      </c>
      <c r="O230" s="66">
        <f>1268</f>
        <v>1268</v>
      </c>
      <c r="P230" s="67" t="s">
        <v>268</v>
      </c>
      <c r="Q230" s="66">
        <f>1317</f>
        <v>1317</v>
      </c>
      <c r="R230" s="67" t="s">
        <v>873</v>
      </c>
      <c r="S230" s="68">
        <f>1303.59</f>
        <v>1303.5899999999999</v>
      </c>
      <c r="T230" s="65">
        <f>133770</f>
        <v>133770</v>
      </c>
      <c r="U230" s="65">
        <f>54400</f>
        <v>54400</v>
      </c>
      <c r="V230" s="65">
        <f>174351573</f>
        <v>174351573</v>
      </c>
      <c r="W230" s="65">
        <f>70928793</f>
        <v>70928793</v>
      </c>
      <c r="X230" s="69">
        <f>22</f>
        <v>22</v>
      </c>
    </row>
    <row r="231" spans="1:24">
      <c r="A231" s="60" t="s">
        <v>907</v>
      </c>
      <c r="B231" s="60" t="s">
        <v>741</v>
      </c>
      <c r="C231" s="60" t="s">
        <v>742</v>
      </c>
      <c r="D231" s="60" t="s">
        <v>743</v>
      </c>
      <c r="E231" s="61" t="s">
        <v>46</v>
      </c>
      <c r="F231" s="62" t="s">
        <v>46</v>
      </c>
      <c r="G231" s="63" t="s">
        <v>46</v>
      </c>
      <c r="H231" s="64"/>
      <c r="I231" s="64" t="s">
        <v>47</v>
      </c>
      <c r="J231" s="65">
        <v>10</v>
      </c>
      <c r="K231" s="66">
        <f>1466</f>
        <v>1466</v>
      </c>
      <c r="L231" s="67" t="s">
        <v>853</v>
      </c>
      <c r="M231" s="66">
        <f>1501</f>
        <v>1501</v>
      </c>
      <c r="N231" s="67" t="s">
        <v>873</v>
      </c>
      <c r="O231" s="66">
        <f>1443</f>
        <v>1443</v>
      </c>
      <c r="P231" s="67" t="s">
        <v>268</v>
      </c>
      <c r="Q231" s="66">
        <f>1499</f>
        <v>1499</v>
      </c>
      <c r="R231" s="67" t="s">
        <v>873</v>
      </c>
      <c r="S231" s="68">
        <f>1476.86</f>
        <v>1476.86</v>
      </c>
      <c r="T231" s="65">
        <f>11976260</f>
        <v>11976260</v>
      </c>
      <c r="U231" s="65">
        <f>1351100</f>
        <v>1351100</v>
      </c>
      <c r="V231" s="65">
        <f>17688874760</f>
        <v>17688874760</v>
      </c>
      <c r="W231" s="65">
        <f>1985811990</f>
        <v>1985811990</v>
      </c>
      <c r="X231" s="69">
        <f>22</f>
        <v>22</v>
      </c>
    </row>
    <row r="232" spans="1:24">
      <c r="A232" s="60" t="s">
        <v>907</v>
      </c>
      <c r="B232" s="60" t="s">
        <v>744</v>
      </c>
      <c r="C232" s="60" t="s">
        <v>745</v>
      </c>
      <c r="D232" s="60" t="s">
        <v>746</v>
      </c>
      <c r="E232" s="61" t="s">
        <v>46</v>
      </c>
      <c r="F232" s="62" t="s">
        <v>46</v>
      </c>
      <c r="G232" s="63" t="s">
        <v>46</v>
      </c>
      <c r="H232" s="64"/>
      <c r="I232" s="64" t="s">
        <v>47</v>
      </c>
      <c r="J232" s="65">
        <v>1</v>
      </c>
      <c r="K232" s="66">
        <f>3670</f>
        <v>3670</v>
      </c>
      <c r="L232" s="67" t="s">
        <v>853</v>
      </c>
      <c r="M232" s="66">
        <f>3870</f>
        <v>3870</v>
      </c>
      <c r="N232" s="67" t="s">
        <v>873</v>
      </c>
      <c r="O232" s="66">
        <f>3630</f>
        <v>3630</v>
      </c>
      <c r="P232" s="67" t="s">
        <v>853</v>
      </c>
      <c r="Q232" s="66">
        <f>3860</f>
        <v>3860</v>
      </c>
      <c r="R232" s="67" t="s">
        <v>873</v>
      </c>
      <c r="S232" s="68">
        <f>3725.45</f>
        <v>3725.45</v>
      </c>
      <c r="T232" s="65">
        <f>70623</f>
        <v>70623</v>
      </c>
      <c r="U232" s="65" t="str">
        <f>"－"</f>
        <v>－</v>
      </c>
      <c r="V232" s="65">
        <f>263842495</f>
        <v>263842495</v>
      </c>
      <c r="W232" s="65" t="str">
        <f>"－"</f>
        <v>－</v>
      </c>
      <c r="X232" s="69">
        <f>22</f>
        <v>22</v>
      </c>
    </row>
    <row r="233" spans="1:24">
      <c r="A233" s="60" t="s">
        <v>907</v>
      </c>
      <c r="B233" s="60" t="s">
        <v>747</v>
      </c>
      <c r="C233" s="60" t="s">
        <v>748</v>
      </c>
      <c r="D233" s="60" t="s">
        <v>749</v>
      </c>
      <c r="E233" s="61" t="s">
        <v>46</v>
      </c>
      <c r="F233" s="62" t="s">
        <v>46</v>
      </c>
      <c r="G233" s="63" t="s">
        <v>46</v>
      </c>
      <c r="H233" s="64"/>
      <c r="I233" s="64" t="s">
        <v>47</v>
      </c>
      <c r="J233" s="65">
        <v>10</v>
      </c>
      <c r="K233" s="66">
        <f>1719</f>
        <v>1719</v>
      </c>
      <c r="L233" s="67" t="s">
        <v>853</v>
      </c>
      <c r="M233" s="66">
        <f>1745</f>
        <v>1745</v>
      </c>
      <c r="N233" s="67" t="s">
        <v>69</v>
      </c>
      <c r="O233" s="66">
        <f>1702</f>
        <v>1702</v>
      </c>
      <c r="P233" s="67" t="s">
        <v>132</v>
      </c>
      <c r="Q233" s="66">
        <f>1725</f>
        <v>1725</v>
      </c>
      <c r="R233" s="67" t="s">
        <v>873</v>
      </c>
      <c r="S233" s="68">
        <f>1720.46</f>
        <v>1720.46</v>
      </c>
      <c r="T233" s="65">
        <f>2040</f>
        <v>2040</v>
      </c>
      <c r="U233" s="65">
        <f>10</f>
        <v>10</v>
      </c>
      <c r="V233" s="65">
        <f>3510020</f>
        <v>3510020</v>
      </c>
      <c r="W233" s="65">
        <f>17250</f>
        <v>17250</v>
      </c>
      <c r="X233" s="69">
        <f>13</f>
        <v>13</v>
      </c>
    </row>
    <row r="234" spans="1:24">
      <c r="A234" s="60" t="s">
        <v>907</v>
      </c>
      <c r="B234" s="60" t="s">
        <v>750</v>
      </c>
      <c r="C234" s="60" t="s">
        <v>751</v>
      </c>
      <c r="D234" s="60" t="s">
        <v>752</v>
      </c>
      <c r="E234" s="61" t="s">
        <v>46</v>
      </c>
      <c r="F234" s="62" t="s">
        <v>46</v>
      </c>
      <c r="G234" s="63" t="s">
        <v>46</v>
      </c>
      <c r="H234" s="64"/>
      <c r="I234" s="64" t="s">
        <v>47</v>
      </c>
      <c r="J234" s="65">
        <v>10</v>
      </c>
      <c r="K234" s="66">
        <f>2004</f>
        <v>2004</v>
      </c>
      <c r="L234" s="67" t="s">
        <v>858</v>
      </c>
      <c r="M234" s="66">
        <f>2022</f>
        <v>2022</v>
      </c>
      <c r="N234" s="67" t="s">
        <v>854</v>
      </c>
      <c r="O234" s="66">
        <f>2001</f>
        <v>2001</v>
      </c>
      <c r="P234" s="67" t="s">
        <v>49</v>
      </c>
      <c r="Q234" s="66">
        <f>2012</f>
        <v>2012</v>
      </c>
      <c r="R234" s="67" t="s">
        <v>88</v>
      </c>
      <c r="S234" s="68">
        <f>2010.5</f>
        <v>2010.5</v>
      </c>
      <c r="T234" s="65">
        <f>39460</f>
        <v>39460</v>
      </c>
      <c r="U234" s="65" t="str">
        <f>"－"</f>
        <v>－</v>
      </c>
      <c r="V234" s="65">
        <f>79196750</f>
        <v>79196750</v>
      </c>
      <c r="W234" s="65" t="str">
        <f>"－"</f>
        <v>－</v>
      </c>
      <c r="X234" s="69">
        <f>6</f>
        <v>6</v>
      </c>
    </row>
    <row r="235" spans="1:24">
      <c r="A235" s="60" t="s">
        <v>907</v>
      </c>
      <c r="B235" s="60" t="s">
        <v>753</v>
      </c>
      <c r="C235" s="60" t="s">
        <v>754</v>
      </c>
      <c r="D235" s="60" t="s">
        <v>755</v>
      </c>
      <c r="E235" s="61" t="s">
        <v>46</v>
      </c>
      <c r="F235" s="62" t="s">
        <v>46</v>
      </c>
      <c r="G235" s="63" t="s">
        <v>46</v>
      </c>
      <c r="H235" s="64"/>
      <c r="I235" s="64" t="s">
        <v>47</v>
      </c>
      <c r="J235" s="65">
        <v>1</v>
      </c>
      <c r="K235" s="66">
        <f>29060</f>
        <v>29060</v>
      </c>
      <c r="L235" s="67" t="s">
        <v>857</v>
      </c>
      <c r="M235" s="66">
        <f>29590</f>
        <v>29590</v>
      </c>
      <c r="N235" s="67" t="s">
        <v>172</v>
      </c>
      <c r="O235" s="66">
        <f>28200</f>
        <v>28200</v>
      </c>
      <c r="P235" s="67" t="s">
        <v>268</v>
      </c>
      <c r="Q235" s="66">
        <f>29270</f>
        <v>29270</v>
      </c>
      <c r="R235" s="67" t="s">
        <v>874</v>
      </c>
      <c r="S235" s="68">
        <f>29150</f>
        <v>29150</v>
      </c>
      <c r="T235" s="65">
        <f>79583</f>
        <v>79583</v>
      </c>
      <c r="U235" s="65">
        <f>20000</f>
        <v>20000</v>
      </c>
      <c r="V235" s="65">
        <f>2267783920</f>
        <v>2267783920</v>
      </c>
      <c r="W235" s="65">
        <f>569960000</f>
        <v>569960000</v>
      </c>
      <c r="X235" s="69">
        <f>6</f>
        <v>6</v>
      </c>
    </row>
    <row r="236" spans="1:24">
      <c r="A236" s="60" t="s">
        <v>907</v>
      </c>
      <c r="B236" s="60" t="s">
        <v>756</v>
      </c>
      <c r="C236" s="60" t="s">
        <v>757</v>
      </c>
      <c r="D236" s="60" t="s">
        <v>758</v>
      </c>
      <c r="E236" s="61" t="s">
        <v>46</v>
      </c>
      <c r="F236" s="62" t="s">
        <v>46</v>
      </c>
      <c r="G236" s="63" t="s">
        <v>46</v>
      </c>
      <c r="H236" s="64"/>
      <c r="I236" s="64" t="s">
        <v>47</v>
      </c>
      <c r="J236" s="65">
        <v>1</v>
      </c>
      <c r="K236" s="66">
        <f>17620</f>
        <v>17620</v>
      </c>
      <c r="L236" s="67" t="s">
        <v>857</v>
      </c>
      <c r="M236" s="66">
        <f>18080</f>
        <v>18080</v>
      </c>
      <c r="N236" s="67" t="s">
        <v>96</v>
      </c>
      <c r="O236" s="66">
        <f>17620</f>
        <v>17620</v>
      </c>
      <c r="P236" s="67" t="s">
        <v>857</v>
      </c>
      <c r="Q236" s="66">
        <f>17880</f>
        <v>17880</v>
      </c>
      <c r="R236" s="67" t="s">
        <v>50</v>
      </c>
      <c r="S236" s="68">
        <f>17943.08</f>
        <v>17943.080000000002</v>
      </c>
      <c r="T236" s="65">
        <f>18070</f>
        <v>18070</v>
      </c>
      <c r="U236" s="65" t="str">
        <f>"－"</f>
        <v>－</v>
      </c>
      <c r="V236" s="65">
        <f>324685390</f>
        <v>324685390</v>
      </c>
      <c r="W236" s="65" t="str">
        <f>"－"</f>
        <v>－</v>
      </c>
      <c r="X236" s="69">
        <f>13</f>
        <v>13</v>
      </c>
    </row>
    <row r="237" spans="1:24">
      <c r="A237" s="60" t="s">
        <v>907</v>
      </c>
      <c r="B237" s="60" t="s">
        <v>759</v>
      </c>
      <c r="C237" s="60" t="s">
        <v>760</v>
      </c>
      <c r="D237" s="60" t="s">
        <v>761</v>
      </c>
      <c r="E237" s="61" t="s">
        <v>46</v>
      </c>
      <c r="F237" s="62" t="s">
        <v>46</v>
      </c>
      <c r="G237" s="63" t="s">
        <v>46</v>
      </c>
      <c r="H237" s="64"/>
      <c r="I237" s="64" t="s">
        <v>47</v>
      </c>
      <c r="J237" s="65">
        <v>10</v>
      </c>
      <c r="K237" s="66">
        <f>1250</f>
        <v>1250</v>
      </c>
      <c r="L237" s="67" t="s">
        <v>857</v>
      </c>
      <c r="M237" s="66">
        <f>1286</f>
        <v>1286</v>
      </c>
      <c r="N237" s="67" t="s">
        <v>49</v>
      </c>
      <c r="O237" s="66">
        <f>1250</f>
        <v>1250</v>
      </c>
      <c r="P237" s="67" t="s">
        <v>857</v>
      </c>
      <c r="Q237" s="66">
        <f>1274</f>
        <v>1274</v>
      </c>
      <c r="R237" s="67" t="s">
        <v>132</v>
      </c>
      <c r="S237" s="68">
        <f>1267.7</f>
        <v>1267.7</v>
      </c>
      <c r="T237" s="65">
        <f>253780</f>
        <v>253780</v>
      </c>
      <c r="U237" s="65">
        <f>75000</f>
        <v>75000</v>
      </c>
      <c r="V237" s="65">
        <f>320151640</f>
        <v>320151640</v>
      </c>
      <c r="W237" s="65">
        <f>94354500</f>
        <v>94354500</v>
      </c>
      <c r="X237" s="69">
        <f>10</f>
        <v>10</v>
      </c>
    </row>
    <row r="238" spans="1:24">
      <c r="A238" s="60" t="s">
        <v>907</v>
      </c>
      <c r="B238" s="60" t="s">
        <v>762</v>
      </c>
      <c r="C238" s="60" t="s">
        <v>763</v>
      </c>
      <c r="D238" s="60" t="s">
        <v>764</v>
      </c>
      <c r="E238" s="61" t="s">
        <v>46</v>
      </c>
      <c r="F238" s="62" t="s">
        <v>46</v>
      </c>
      <c r="G238" s="63" t="s">
        <v>46</v>
      </c>
      <c r="H238" s="64"/>
      <c r="I238" s="64" t="s">
        <v>47</v>
      </c>
      <c r="J238" s="65">
        <v>10</v>
      </c>
      <c r="K238" s="66">
        <f>1225</f>
        <v>1225</v>
      </c>
      <c r="L238" s="67" t="s">
        <v>853</v>
      </c>
      <c r="M238" s="66">
        <f>1271</f>
        <v>1271</v>
      </c>
      <c r="N238" s="67" t="s">
        <v>96</v>
      </c>
      <c r="O238" s="66">
        <f>1215</f>
        <v>1215</v>
      </c>
      <c r="P238" s="67" t="s">
        <v>853</v>
      </c>
      <c r="Q238" s="66">
        <f>1266</f>
        <v>1266</v>
      </c>
      <c r="R238" s="67" t="s">
        <v>873</v>
      </c>
      <c r="S238" s="68">
        <f>1252.86</f>
        <v>1252.8599999999999</v>
      </c>
      <c r="T238" s="65">
        <f>177190</f>
        <v>177190</v>
      </c>
      <c r="U238" s="65">
        <f>20</f>
        <v>20</v>
      </c>
      <c r="V238" s="65">
        <f>223432350</f>
        <v>223432350</v>
      </c>
      <c r="W238" s="65">
        <f>25100</f>
        <v>25100</v>
      </c>
      <c r="X238" s="69">
        <f>22</f>
        <v>22</v>
      </c>
    </row>
    <row r="239" spans="1:24">
      <c r="A239" s="60" t="s">
        <v>907</v>
      </c>
      <c r="B239" s="60" t="s">
        <v>765</v>
      </c>
      <c r="C239" s="60" t="s">
        <v>766</v>
      </c>
      <c r="D239" s="60" t="s">
        <v>767</v>
      </c>
      <c r="E239" s="61" t="s">
        <v>46</v>
      </c>
      <c r="F239" s="62" t="s">
        <v>46</v>
      </c>
      <c r="G239" s="63" t="s">
        <v>46</v>
      </c>
      <c r="H239" s="64"/>
      <c r="I239" s="64" t="s">
        <v>47</v>
      </c>
      <c r="J239" s="65">
        <v>1</v>
      </c>
      <c r="K239" s="66">
        <f>1099</f>
        <v>1099</v>
      </c>
      <c r="L239" s="67" t="s">
        <v>853</v>
      </c>
      <c r="M239" s="66">
        <f>1130</f>
        <v>1130</v>
      </c>
      <c r="N239" s="67" t="s">
        <v>875</v>
      </c>
      <c r="O239" s="66">
        <f>1068</f>
        <v>1068</v>
      </c>
      <c r="P239" s="67" t="s">
        <v>268</v>
      </c>
      <c r="Q239" s="66">
        <f>1106</f>
        <v>1106</v>
      </c>
      <c r="R239" s="67" t="s">
        <v>873</v>
      </c>
      <c r="S239" s="68">
        <f>1110.05</f>
        <v>1110.05</v>
      </c>
      <c r="T239" s="65">
        <f>36951</f>
        <v>36951</v>
      </c>
      <c r="U239" s="65">
        <f>6</f>
        <v>6</v>
      </c>
      <c r="V239" s="65">
        <f>40905933</f>
        <v>40905933</v>
      </c>
      <c r="W239" s="65">
        <f>6678</f>
        <v>6678</v>
      </c>
      <c r="X239" s="69">
        <f>22</f>
        <v>22</v>
      </c>
    </row>
    <row r="240" spans="1:24">
      <c r="A240" s="60" t="s">
        <v>907</v>
      </c>
      <c r="B240" s="60" t="s">
        <v>768</v>
      </c>
      <c r="C240" s="60" t="s">
        <v>769</v>
      </c>
      <c r="D240" s="60" t="s">
        <v>770</v>
      </c>
      <c r="E240" s="61" t="s">
        <v>46</v>
      </c>
      <c r="F240" s="62" t="s">
        <v>46</v>
      </c>
      <c r="G240" s="63" t="s">
        <v>46</v>
      </c>
      <c r="H240" s="64"/>
      <c r="I240" s="64" t="s">
        <v>47</v>
      </c>
      <c r="J240" s="65">
        <v>1</v>
      </c>
      <c r="K240" s="66">
        <f>14170</f>
        <v>14170</v>
      </c>
      <c r="L240" s="67" t="s">
        <v>853</v>
      </c>
      <c r="M240" s="66">
        <f>14180</f>
        <v>14180</v>
      </c>
      <c r="N240" s="67" t="s">
        <v>857</v>
      </c>
      <c r="O240" s="66">
        <f>13170</f>
        <v>13170</v>
      </c>
      <c r="P240" s="67" t="s">
        <v>855</v>
      </c>
      <c r="Q240" s="66">
        <f>13840</f>
        <v>13840</v>
      </c>
      <c r="R240" s="67" t="s">
        <v>873</v>
      </c>
      <c r="S240" s="68">
        <f>13845.45</f>
        <v>13845.45</v>
      </c>
      <c r="T240" s="65">
        <f>2785</f>
        <v>2785</v>
      </c>
      <c r="U240" s="65">
        <f>9</f>
        <v>9</v>
      </c>
      <c r="V240" s="65">
        <f>38399580</f>
        <v>38399580</v>
      </c>
      <c r="W240" s="65">
        <f>124260</f>
        <v>124260</v>
      </c>
      <c r="X240" s="69">
        <f>22</f>
        <v>22</v>
      </c>
    </row>
    <row r="241" spans="1:24">
      <c r="A241" s="60" t="s">
        <v>907</v>
      </c>
      <c r="B241" s="60" t="s">
        <v>771</v>
      </c>
      <c r="C241" s="60" t="s">
        <v>772</v>
      </c>
      <c r="D241" s="60" t="s">
        <v>773</v>
      </c>
      <c r="E241" s="61" t="s">
        <v>46</v>
      </c>
      <c r="F241" s="62" t="s">
        <v>46</v>
      </c>
      <c r="G241" s="63" t="s">
        <v>46</v>
      </c>
      <c r="H241" s="64"/>
      <c r="I241" s="64" t="s">
        <v>47</v>
      </c>
      <c r="J241" s="65">
        <v>1</v>
      </c>
      <c r="K241" s="66">
        <f>2211</f>
        <v>2211</v>
      </c>
      <c r="L241" s="67" t="s">
        <v>853</v>
      </c>
      <c r="M241" s="66">
        <f>2311</f>
        <v>2311</v>
      </c>
      <c r="N241" s="67" t="s">
        <v>873</v>
      </c>
      <c r="O241" s="66">
        <f>2196</f>
        <v>2196</v>
      </c>
      <c r="P241" s="67" t="s">
        <v>853</v>
      </c>
      <c r="Q241" s="66">
        <f>2298</f>
        <v>2298</v>
      </c>
      <c r="R241" s="67" t="s">
        <v>873</v>
      </c>
      <c r="S241" s="68">
        <f>2271.05</f>
        <v>2271.0500000000002</v>
      </c>
      <c r="T241" s="65">
        <f>19952</f>
        <v>19952</v>
      </c>
      <c r="U241" s="65">
        <f>4</f>
        <v>4</v>
      </c>
      <c r="V241" s="65">
        <f>45218085</f>
        <v>45218085</v>
      </c>
      <c r="W241" s="65">
        <f>9078</f>
        <v>9078</v>
      </c>
      <c r="X241" s="69">
        <f>22</f>
        <v>22</v>
      </c>
    </row>
    <row r="242" spans="1:24">
      <c r="A242" s="60" t="s">
        <v>907</v>
      </c>
      <c r="B242" s="60" t="s">
        <v>774</v>
      </c>
      <c r="C242" s="60" t="s">
        <v>775</v>
      </c>
      <c r="D242" s="60" t="s">
        <v>776</v>
      </c>
      <c r="E242" s="61" t="s">
        <v>46</v>
      </c>
      <c r="F242" s="62" t="s">
        <v>46</v>
      </c>
      <c r="G242" s="63" t="s">
        <v>46</v>
      </c>
      <c r="H242" s="64"/>
      <c r="I242" s="64" t="s">
        <v>47</v>
      </c>
      <c r="J242" s="65">
        <v>10</v>
      </c>
      <c r="K242" s="66">
        <f>1500</f>
        <v>1500</v>
      </c>
      <c r="L242" s="67" t="s">
        <v>853</v>
      </c>
      <c r="M242" s="66">
        <f>1549</f>
        <v>1549</v>
      </c>
      <c r="N242" s="67" t="s">
        <v>50</v>
      </c>
      <c r="O242" s="66">
        <f>1463</f>
        <v>1463</v>
      </c>
      <c r="P242" s="67" t="s">
        <v>860</v>
      </c>
      <c r="Q242" s="66">
        <f>1547</f>
        <v>1547</v>
      </c>
      <c r="R242" s="67" t="s">
        <v>873</v>
      </c>
      <c r="S242" s="68">
        <f>1502.13</f>
        <v>1502.13</v>
      </c>
      <c r="T242" s="65">
        <f>1810</f>
        <v>1810</v>
      </c>
      <c r="U242" s="65">
        <f>20</f>
        <v>20</v>
      </c>
      <c r="V242" s="65">
        <f>2756490</f>
        <v>2756490</v>
      </c>
      <c r="W242" s="65">
        <f>29990</f>
        <v>29990</v>
      </c>
      <c r="X242" s="69">
        <f>16</f>
        <v>16</v>
      </c>
    </row>
    <row r="243" spans="1:24">
      <c r="A243" s="60" t="s">
        <v>907</v>
      </c>
      <c r="B243" s="60" t="s">
        <v>777</v>
      </c>
      <c r="C243" s="60" t="s">
        <v>778</v>
      </c>
      <c r="D243" s="60" t="s">
        <v>779</v>
      </c>
      <c r="E243" s="61" t="s">
        <v>46</v>
      </c>
      <c r="F243" s="62" t="s">
        <v>46</v>
      </c>
      <c r="G243" s="63" t="s">
        <v>46</v>
      </c>
      <c r="H243" s="64"/>
      <c r="I243" s="64" t="s">
        <v>47</v>
      </c>
      <c r="J243" s="65">
        <v>10</v>
      </c>
      <c r="K243" s="66">
        <f>1017</f>
        <v>1017</v>
      </c>
      <c r="L243" s="67" t="s">
        <v>853</v>
      </c>
      <c r="M243" s="66">
        <f>1030</f>
        <v>1030</v>
      </c>
      <c r="N243" s="67" t="s">
        <v>857</v>
      </c>
      <c r="O243" s="66">
        <f>1007</f>
        <v>1007</v>
      </c>
      <c r="P243" s="67" t="s">
        <v>48</v>
      </c>
      <c r="Q243" s="66">
        <f>1012</f>
        <v>1012</v>
      </c>
      <c r="R243" s="67" t="s">
        <v>873</v>
      </c>
      <c r="S243" s="68">
        <f>1011.5</f>
        <v>1011.5</v>
      </c>
      <c r="T243" s="65">
        <f>1573420</f>
        <v>1573420</v>
      </c>
      <c r="U243" s="65">
        <f>943740</f>
        <v>943740</v>
      </c>
      <c r="V243" s="65">
        <f>1591757116</f>
        <v>1591757116</v>
      </c>
      <c r="W243" s="65">
        <f>954864046</f>
        <v>954864046</v>
      </c>
      <c r="X243" s="69">
        <f>22</f>
        <v>22</v>
      </c>
    </row>
    <row r="244" spans="1:24">
      <c r="A244" s="60" t="s">
        <v>907</v>
      </c>
      <c r="B244" s="60" t="s">
        <v>780</v>
      </c>
      <c r="C244" s="60" t="s">
        <v>781</v>
      </c>
      <c r="D244" s="60" t="s">
        <v>782</v>
      </c>
      <c r="E244" s="61" t="s">
        <v>46</v>
      </c>
      <c r="F244" s="62" t="s">
        <v>46</v>
      </c>
      <c r="G244" s="63" t="s">
        <v>46</v>
      </c>
      <c r="H244" s="64"/>
      <c r="I244" s="64" t="s">
        <v>47</v>
      </c>
      <c r="J244" s="65">
        <v>10</v>
      </c>
      <c r="K244" s="66">
        <f>2112</f>
        <v>2112</v>
      </c>
      <c r="L244" s="67" t="s">
        <v>853</v>
      </c>
      <c r="M244" s="66">
        <f>2240</f>
        <v>2240</v>
      </c>
      <c r="N244" s="67" t="s">
        <v>856</v>
      </c>
      <c r="O244" s="66">
        <f>2095</f>
        <v>2095</v>
      </c>
      <c r="P244" s="67" t="s">
        <v>853</v>
      </c>
      <c r="Q244" s="66">
        <f>2203</f>
        <v>2203</v>
      </c>
      <c r="R244" s="67" t="s">
        <v>50</v>
      </c>
      <c r="S244" s="68">
        <f>2173.67</f>
        <v>2173.67</v>
      </c>
      <c r="T244" s="65">
        <f>43360</f>
        <v>43360</v>
      </c>
      <c r="U244" s="65">
        <f>100</f>
        <v>100</v>
      </c>
      <c r="V244" s="65">
        <f>94870150</f>
        <v>94870150</v>
      </c>
      <c r="W244" s="65">
        <f>218330</f>
        <v>218330</v>
      </c>
      <c r="X244" s="69">
        <f>21</f>
        <v>21</v>
      </c>
    </row>
    <row r="245" spans="1:24">
      <c r="A245" s="60" t="s">
        <v>907</v>
      </c>
      <c r="B245" s="60" t="s">
        <v>783</v>
      </c>
      <c r="C245" s="60" t="s">
        <v>784</v>
      </c>
      <c r="D245" s="60" t="s">
        <v>785</v>
      </c>
      <c r="E245" s="61" t="s">
        <v>46</v>
      </c>
      <c r="F245" s="62" t="s">
        <v>46</v>
      </c>
      <c r="G245" s="63" t="s">
        <v>46</v>
      </c>
      <c r="H245" s="64"/>
      <c r="I245" s="64" t="s">
        <v>47</v>
      </c>
      <c r="J245" s="65">
        <v>10</v>
      </c>
      <c r="K245" s="66">
        <f>2111</f>
        <v>2111</v>
      </c>
      <c r="L245" s="67" t="s">
        <v>853</v>
      </c>
      <c r="M245" s="66">
        <f>2220</f>
        <v>2220</v>
      </c>
      <c r="N245" s="67" t="s">
        <v>875</v>
      </c>
      <c r="O245" s="66">
        <f>2099</f>
        <v>2099</v>
      </c>
      <c r="P245" s="67" t="s">
        <v>853</v>
      </c>
      <c r="Q245" s="66">
        <f>2205</f>
        <v>2205</v>
      </c>
      <c r="R245" s="67" t="s">
        <v>873</v>
      </c>
      <c r="S245" s="68">
        <f>2174.59</f>
        <v>2174.59</v>
      </c>
      <c r="T245" s="65">
        <f>800770</f>
        <v>800770</v>
      </c>
      <c r="U245" s="65">
        <f>354620</f>
        <v>354620</v>
      </c>
      <c r="V245" s="65">
        <f>1746002471</f>
        <v>1746002471</v>
      </c>
      <c r="W245" s="65">
        <f>774183481</f>
        <v>774183481</v>
      </c>
      <c r="X245" s="69">
        <f>22</f>
        <v>22</v>
      </c>
    </row>
    <row r="246" spans="1:24">
      <c r="A246" s="60" t="s">
        <v>907</v>
      </c>
      <c r="B246" s="60" t="s">
        <v>786</v>
      </c>
      <c r="C246" s="60" t="s">
        <v>787</v>
      </c>
      <c r="D246" s="60" t="s">
        <v>788</v>
      </c>
      <c r="E246" s="61" t="s">
        <v>46</v>
      </c>
      <c r="F246" s="62" t="s">
        <v>46</v>
      </c>
      <c r="G246" s="63" t="s">
        <v>46</v>
      </c>
      <c r="H246" s="64"/>
      <c r="I246" s="64" t="s">
        <v>47</v>
      </c>
      <c r="J246" s="65">
        <v>10</v>
      </c>
      <c r="K246" s="66">
        <f>1965</f>
        <v>1965</v>
      </c>
      <c r="L246" s="67" t="s">
        <v>858</v>
      </c>
      <c r="M246" s="66">
        <f>1973</f>
        <v>1973</v>
      </c>
      <c r="N246" s="67" t="s">
        <v>176</v>
      </c>
      <c r="O246" s="66">
        <f>1902</f>
        <v>1902</v>
      </c>
      <c r="P246" s="67" t="s">
        <v>268</v>
      </c>
      <c r="Q246" s="66">
        <f>1971</f>
        <v>1971</v>
      </c>
      <c r="R246" s="67" t="s">
        <v>88</v>
      </c>
      <c r="S246" s="68">
        <f>1959.25</f>
        <v>1959.25</v>
      </c>
      <c r="T246" s="65">
        <f>31590</f>
        <v>31590</v>
      </c>
      <c r="U246" s="65" t="str">
        <f>"－"</f>
        <v>－</v>
      </c>
      <c r="V246" s="65">
        <f>61113160</f>
        <v>61113160</v>
      </c>
      <c r="W246" s="65" t="str">
        <f>"－"</f>
        <v>－</v>
      </c>
      <c r="X246" s="69">
        <f>8</f>
        <v>8</v>
      </c>
    </row>
    <row r="247" spans="1:24">
      <c r="A247" s="60" t="s">
        <v>907</v>
      </c>
      <c r="B247" s="60" t="s">
        <v>789</v>
      </c>
      <c r="C247" s="60" t="s">
        <v>790</v>
      </c>
      <c r="D247" s="60" t="s">
        <v>791</v>
      </c>
      <c r="E247" s="61" t="s">
        <v>46</v>
      </c>
      <c r="F247" s="62" t="s">
        <v>46</v>
      </c>
      <c r="G247" s="63" t="s">
        <v>46</v>
      </c>
      <c r="H247" s="64"/>
      <c r="I247" s="64" t="s">
        <v>47</v>
      </c>
      <c r="J247" s="65">
        <v>1</v>
      </c>
      <c r="K247" s="66">
        <f>13220</f>
        <v>13220</v>
      </c>
      <c r="L247" s="67" t="s">
        <v>853</v>
      </c>
      <c r="M247" s="66">
        <f>13610</f>
        <v>13610</v>
      </c>
      <c r="N247" s="67" t="s">
        <v>873</v>
      </c>
      <c r="O247" s="66">
        <f>12990</f>
        <v>12990</v>
      </c>
      <c r="P247" s="67" t="s">
        <v>268</v>
      </c>
      <c r="Q247" s="66">
        <f>13590</f>
        <v>13590</v>
      </c>
      <c r="R247" s="67" t="s">
        <v>873</v>
      </c>
      <c r="S247" s="68">
        <f>13348.64</f>
        <v>13348.64</v>
      </c>
      <c r="T247" s="65">
        <f>563105</f>
        <v>563105</v>
      </c>
      <c r="U247" s="65">
        <f>101140</f>
        <v>101140</v>
      </c>
      <c r="V247" s="65">
        <f>7484113010</f>
        <v>7484113010</v>
      </c>
      <c r="W247" s="65">
        <f>1337653460</f>
        <v>1337653460</v>
      </c>
      <c r="X247" s="69">
        <f>22</f>
        <v>22</v>
      </c>
    </row>
    <row r="248" spans="1:24">
      <c r="A248" s="60" t="s">
        <v>907</v>
      </c>
      <c r="B248" s="60" t="s">
        <v>792</v>
      </c>
      <c r="C248" s="60" t="s">
        <v>793</v>
      </c>
      <c r="D248" s="60" t="s">
        <v>794</v>
      </c>
      <c r="E248" s="61" t="s">
        <v>46</v>
      </c>
      <c r="F248" s="62" t="s">
        <v>46</v>
      </c>
      <c r="G248" s="63" t="s">
        <v>46</v>
      </c>
      <c r="H248" s="64"/>
      <c r="I248" s="64" t="s">
        <v>47</v>
      </c>
      <c r="J248" s="65">
        <v>1</v>
      </c>
      <c r="K248" s="66">
        <f>12840</f>
        <v>12840</v>
      </c>
      <c r="L248" s="67" t="s">
        <v>853</v>
      </c>
      <c r="M248" s="66">
        <f>13220</f>
        <v>13220</v>
      </c>
      <c r="N248" s="67" t="s">
        <v>88</v>
      </c>
      <c r="O248" s="66">
        <f>12620</f>
        <v>12620</v>
      </c>
      <c r="P248" s="67" t="s">
        <v>268</v>
      </c>
      <c r="Q248" s="66">
        <f>13150</f>
        <v>13150</v>
      </c>
      <c r="R248" s="67" t="s">
        <v>873</v>
      </c>
      <c r="S248" s="68">
        <f>12970.91</f>
        <v>12970.91</v>
      </c>
      <c r="T248" s="65">
        <f>191447</f>
        <v>191447</v>
      </c>
      <c r="U248" s="65">
        <f>10004</f>
        <v>10004</v>
      </c>
      <c r="V248" s="65">
        <f>2481144280</f>
        <v>2481144280</v>
      </c>
      <c r="W248" s="65">
        <f>128854710</f>
        <v>128854710</v>
      </c>
      <c r="X248" s="69">
        <f>22</f>
        <v>22</v>
      </c>
    </row>
    <row r="249" spans="1:24">
      <c r="A249" s="60" t="s">
        <v>907</v>
      </c>
      <c r="B249" s="60" t="s">
        <v>795</v>
      </c>
      <c r="C249" s="60" t="s">
        <v>796</v>
      </c>
      <c r="D249" s="60" t="s">
        <v>797</v>
      </c>
      <c r="E249" s="61" t="s">
        <v>46</v>
      </c>
      <c r="F249" s="62" t="s">
        <v>46</v>
      </c>
      <c r="G249" s="63" t="s">
        <v>46</v>
      </c>
      <c r="H249" s="64"/>
      <c r="I249" s="64" t="s">
        <v>47</v>
      </c>
      <c r="J249" s="65">
        <v>1</v>
      </c>
      <c r="K249" s="66">
        <f>25890</f>
        <v>25890</v>
      </c>
      <c r="L249" s="67" t="s">
        <v>858</v>
      </c>
      <c r="M249" s="66">
        <f>26220</f>
        <v>26220</v>
      </c>
      <c r="N249" s="67" t="s">
        <v>854</v>
      </c>
      <c r="O249" s="66">
        <f>25150</f>
        <v>25150</v>
      </c>
      <c r="P249" s="67" t="s">
        <v>268</v>
      </c>
      <c r="Q249" s="66">
        <f>25820</f>
        <v>25820</v>
      </c>
      <c r="R249" s="67" t="s">
        <v>873</v>
      </c>
      <c r="S249" s="68">
        <f>25913.53</f>
        <v>25913.53</v>
      </c>
      <c r="T249" s="65">
        <f>305</f>
        <v>305</v>
      </c>
      <c r="U249" s="65">
        <f>3</f>
        <v>3</v>
      </c>
      <c r="V249" s="65">
        <f>7894150</f>
        <v>7894150</v>
      </c>
      <c r="W249" s="65">
        <f>77190</f>
        <v>77190</v>
      </c>
      <c r="X249" s="69">
        <f>17</f>
        <v>17</v>
      </c>
    </row>
    <row r="250" spans="1:24">
      <c r="A250" s="60" t="s">
        <v>907</v>
      </c>
      <c r="B250" s="60" t="s">
        <v>798</v>
      </c>
      <c r="C250" s="60" t="s">
        <v>799</v>
      </c>
      <c r="D250" s="60" t="s">
        <v>800</v>
      </c>
      <c r="E250" s="61" t="s">
        <v>46</v>
      </c>
      <c r="F250" s="62" t="s">
        <v>46</v>
      </c>
      <c r="G250" s="63" t="s">
        <v>46</v>
      </c>
      <c r="H250" s="64"/>
      <c r="I250" s="64" t="s">
        <v>47</v>
      </c>
      <c r="J250" s="65">
        <v>1</v>
      </c>
      <c r="K250" s="66">
        <f>2715</f>
        <v>2715</v>
      </c>
      <c r="L250" s="67" t="s">
        <v>853</v>
      </c>
      <c r="M250" s="66">
        <f>2727</f>
        <v>2727</v>
      </c>
      <c r="N250" s="67" t="s">
        <v>875</v>
      </c>
      <c r="O250" s="66">
        <f>2710</f>
        <v>2710</v>
      </c>
      <c r="P250" s="67" t="s">
        <v>48</v>
      </c>
      <c r="Q250" s="66">
        <f>2714</f>
        <v>2714</v>
      </c>
      <c r="R250" s="67" t="s">
        <v>873</v>
      </c>
      <c r="S250" s="68">
        <f>2716.18</f>
        <v>2716.18</v>
      </c>
      <c r="T250" s="65">
        <f>836678</f>
        <v>836678</v>
      </c>
      <c r="U250" s="65">
        <f>533032</f>
        <v>533032</v>
      </c>
      <c r="V250" s="65">
        <f>2273182297</f>
        <v>2273182297</v>
      </c>
      <c r="W250" s="65">
        <f>1447706249</f>
        <v>1447706249</v>
      </c>
      <c r="X250" s="69">
        <f>22</f>
        <v>22</v>
      </c>
    </row>
    <row r="251" spans="1:24">
      <c r="A251" s="60" t="s">
        <v>907</v>
      </c>
      <c r="B251" s="60" t="s">
        <v>801</v>
      </c>
      <c r="C251" s="60" t="s">
        <v>802</v>
      </c>
      <c r="D251" s="60" t="s">
        <v>803</v>
      </c>
      <c r="E251" s="61" t="s">
        <v>46</v>
      </c>
      <c r="F251" s="62" t="s">
        <v>46</v>
      </c>
      <c r="G251" s="63" t="s">
        <v>46</v>
      </c>
      <c r="H251" s="64"/>
      <c r="I251" s="64" t="s">
        <v>47</v>
      </c>
      <c r="J251" s="65">
        <v>10</v>
      </c>
      <c r="K251" s="66">
        <f>2992</f>
        <v>2992</v>
      </c>
      <c r="L251" s="67" t="s">
        <v>853</v>
      </c>
      <c r="M251" s="66">
        <f>3015</f>
        <v>3015</v>
      </c>
      <c r="N251" s="67" t="s">
        <v>172</v>
      </c>
      <c r="O251" s="66">
        <f>2862</f>
        <v>2862</v>
      </c>
      <c r="P251" s="67" t="s">
        <v>268</v>
      </c>
      <c r="Q251" s="66">
        <f>2970</f>
        <v>2970</v>
      </c>
      <c r="R251" s="67" t="s">
        <v>873</v>
      </c>
      <c r="S251" s="68">
        <f>2971.55</f>
        <v>2971.55</v>
      </c>
      <c r="T251" s="65">
        <f>6269350</f>
        <v>6269350</v>
      </c>
      <c r="U251" s="65">
        <f>3910490</f>
        <v>3910490</v>
      </c>
      <c r="V251" s="65">
        <f>18559260415</f>
        <v>18559260415</v>
      </c>
      <c r="W251" s="65">
        <f>11554164665</f>
        <v>11554164665</v>
      </c>
      <c r="X251" s="69">
        <f>22</f>
        <v>22</v>
      </c>
    </row>
    <row r="252" spans="1:24">
      <c r="A252" s="60" t="s">
        <v>907</v>
      </c>
      <c r="B252" s="60" t="s">
        <v>804</v>
      </c>
      <c r="C252" s="60" t="s">
        <v>805</v>
      </c>
      <c r="D252" s="60" t="s">
        <v>806</v>
      </c>
      <c r="E252" s="61" t="s">
        <v>46</v>
      </c>
      <c r="F252" s="62" t="s">
        <v>46</v>
      </c>
      <c r="G252" s="63" t="s">
        <v>46</v>
      </c>
      <c r="H252" s="64"/>
      <c r="I252" s="64" t="s">
        <v>47</v>
      </c>
      <c r="J252" s="65">
        <v>1</v>
      </c>
      <c r="K252" s="66">
        <f>2733</f>
        <v>2733</v>
      </c>
      <c r="L252" s="67" t="s">
        <v>853</v>
      </c>
      <c r="M252" s="66">
        <f>2797</f>
        <v>2797</v>
      </c>
      <c r="N252" s="67" t="s">
        <v>873</v>
      </c>
      <c r="O252" s="66">
        <f>2690</f>
        <v>2690</v>
      </c>
      <c r="P252" s="67" t="s">
        <v>268</v>
      </c>
      <c r="Q252" s="66">
        <f>2794</f>
        <v>2794</v>
      </c>
      <c r="R252" s="67" t="s">
        <v>873</v>
      </c>
      <c r="S252" s="68">
        <f>2754</f>
        <v>2754</v>
      </c>
      <c r="T252" s="65">
        <f>7135610</f>
        <v>7135610</v>
      </c>
      <c r="U252" s="65">
        <f>5677201</f>
        <v>5677201</v>
      </c>
      <c r="V252" s="65">
        <f>19724701905</f>
        <v>19724701905</v>
      </c>
      <c r="W252" s="65">
        <f>15698773687</f>
        <v>15698773687</v>
      </c>
      <c r="X252" s="69">
        <f>22</f>
        <v>22</v>
      </c>
    </row>
    <row r="253" spans="1:24">
      <c r="A253" s="60" t="s">
        <v>907</v>
      </c>
      <c r="B253" s="60" t="s">
        <v>807</v>
      </c>
      <c r="C253" s="60" t="s">
        <v>808</v>
      </c>
      <c r="D253" s="60" t="s">
        <v>809</v>
      </c>
      <c r="E253" s="61" t="s">
        <v>46</v>
      </c>
      <c r="F253" s="62" t="s">
        <v>46</v>
      </c>
      <c r="G253" s="63" t="s">
        <v>46</v>
      </c>
      <c r="H253" s="64"/>
      <c r="I253" s="64" t="s">
        <v>47</v>
      </c>
      <c r="J253" s="65">
        <v>1</v>
      </c>
      <c r="K253" s="66">
        <f>1850</f>
        <v>1850</v>
      </c>
      <c r="L253" s="67" t="s">
        <v>853</v>
      </c>
      <c r="M253" s="66">
        <f>1896</f>
        <v>1896</v>
      </c>
      <c r="N253" s="67" t="s">
        <v>172</v>
      </c>
      <c r="O253" s="66">
        <f>1820</f>
        <v>1820</v>
      </c>
      <c r="P253" s="67" t="s">
        <v>268</v>
      </c>
      <c r="Q253" s="66">
        <f>1865</f>
        <v>1865</v>
      </c>
      <c r="R253" s="67" t="s">
        <v>873</v>
      </c>
      <c r="S253" s="68">
        <f>1869.27</f>
        <v>1869.27</v>
      </c>
      <c r="T253" s="65">
        <f>13023</f>
        <v>13023</v>
      </c>
      <c r="U253" s="65">
        <f>6</f>
        <v>6</v>
      </c>
      <c r="V253" s="65">
        <f>24383013</f>
        <v>24383013</v>
      </c>
      <c r="W253" s="65">
        <f>11160</f>
        <v>11160</v>
      </c>
      <c r="X253" s="69">
        <f>22</f>
        <v>22</v>
      </c>
    </row>
    <row r="254" spans="1:24">
      <c r="A254" s="60" t="s">
        <v>907</v>
      </c>
      <c r="B254" s="60" t="s">
        <v>810</v>
      </c>
      <c r="C254" s="60" t="s">
        <v>811</v>
      </c>
      <c r="D254" s="60" t="s">
        <v>812</v>
      </c>
      <c r="E254" s="61" t="s">
        <v>46</v>
      </c>
      <c r="F254" s="62" t="s">
        <v>46</v>
      </c>
      <c r="G254" s="63" t="s">
        <v>46</v>
      </c>
      <c r="H254" s="64"/>
      <c r="I254" s="64" t="s">
        <v>47</v>
      </c>
      <c r="J254" s="65">
        <v>1</v>
      </c>
      <c r="K254" s="66">
        <f>1134</f>
        <v>1134</v>
      </c>
      <c r="L254" s="67" t="s">
        <v>853</v>
      </c>
      <c r="M254" s="66">
        <f>1207</f>
        <v>1207</v>
      </c>
      <c r="N254" s="67" t="s">
        <v>873</v>
      </c>
      <c r="O254" s="66">
        <f>1124</f>
        <v>1124</v>
      </c>
      <c r="P254" s="67" t="s">
        <v>853</v>
      </c>
      <c r="Q254" s="66">
        <f>1191</f>
        <v>1191</v>
      </c>
      <c r="R254" s="67" t="s">
        <v>873</v>
      </c>
      <c r="S254" s="68">
        <f>1168.55</f>
        <v>1168.55</v>
      </c>
      <c r="T254" s="65">
        <f>202600</f>
        <v>202600</v>
      </c>
      <c r="U254" s="65" t="str">
        <f>"－"</f>
        <v>－</v>
      </c>
      <c r="V254" s="65">
        <f>237104172</f>
        <v>237104172</v>
      </c>
      <c r="W254" s="65" t="str">
        <f>"－"</f>
        <v>－</v>
      </c>
      <c r="X254" s="69">
        <f>22</f>
        <v>22</v>
      </c>
    </row>
    <row r="255" spans="1:24">
      <c r="A255" s="60" t="s">
        <v>907</v>
      </c>
      <c r="B255" s="60" t="s">
        <v>813</v>
      </c>
      <c r="C255" s="60" t="s">
        <v>814</v>
      </c>
      <c r="D255" s="60" t="s">
        <v>815</v>
      </c>
      <c r="E255" s="61" t="s">
        <v>46</v>
      </c>
      <c r="F255" s="62" t="s">
        <v>46</v>
      </c>
      <c r="G255" s="63" t="s">
        <v>46</v>
      </c>
      <c r="H255" s="64"/>
      <c r="I255" s="64" t="s">
        <v>47</v>
      </c>
      <c r="J255" s="65">
        <v>10</v>
      </c>
      <c r="K255" s="66">
        <f>1164</f>
        <v>1164</v>
      </c>
      <c r="L255" s="67" t="s">
        <v>853</v>
      </c>
      <c r="M255" s="66">
        <f>1243</f>
        <v>1243</v>
      </c>
      <c r="N255" s="67" t="s">
        <v>875</v>
      </c>
      <c r="O255" s="66">
        <f>1156</f>
        <v>1156</v>
      </c>
      <c r="P255" s="67" t="s">
        <v>853</v>
      </c>
      <c r="Q255" s="66">
        <f>1216</f>
        <v>1216</v>
      </c>
      <c r="R255" s="67" t="s">
        <v>873</v>
      </c>
      <c r="S255" s="68">
        <f>1199.32</f>
        <v>1199.32</v>
      </c>
      <c r="T255" s="65">
        <f>40460</f>
        <v>40460</v>
      </c>
      <c r="U255" s="65" t="str">
        <f>"－"</f>
        <v>－</v>
      </c>
      <c r="V255" s="65">
        <f>48581730</f>
        <v>48581730</v>
      </c>
      <c r="W255" s="65" t="str">
        <f>"－"</f>
        <v>－</v>
      </c>
      <c r="X255" s="69">
        <f>22</f>
        <v>22</v>
      </c>
    </row>
    <row r="256" spans="1:24">
      <c r="A256" s="60" t="s">
        <v>907</v>
      </c>
      <c r="B256" s="60" t="s">
        <v>816</v>
      </c>
      <c r="C256" s="60" t="s">
        <v>817</v>
      </c>
      <c r="D256" s="60" t="s">
        <v>818</v>
      </c>
      <c r="E256" s="61" t="s">
        <v>46</v>
      </c>
      <c r="F256" s="62" t="s">
        <v>46</v>
      </c>
      <c r="G256" s="63" t="s">
        <v>46</v>
      </c>
      <c r="H256" s="64"/>
      <c r="I256" s="64" t="s">
        <v>47</v>
      </c>
      <c r="J256" s="65">
        <v>10</v>
      </c>
      <c r="K256" s="66">
        <f>261</f>
        <v>261</v>
      </c>
      <c r="L256" s="67" t="s">
        <v>853</v>
      </c>
      <c r="M256" s="66">
        <f>262</f>
        <v>262</v>
      </c>
      <c r="N256" s="67" t="s">
        <v>48</v>
      </c>
      <c r="O256" s="66">
        <f>250</f>
        <v>250</v>
      </c>
      <c r="P256" s="67" t="s">
        <v>88</v>
      </c>
      <c r="Q256" s="66">
        <f>259</f>
        <v>259</v>
      </c>
      <c r="R256" s="67" t="s">
        <v>873</v>
      </c>
      <c r="S256" s="68">
        <f>258.82</f>
        <v>258.82</v>
      </c>
      <c r="T256" s="65">
        <f>41630</f>
        <v>41630</v>
      </c>
      <c r="U256" s="65">
        <f>10000</f>
        <v>10000</v>
      </c>
      <c r="V256" s="65">
        <f>10711850</f>
        <v>10711850</v>
      </c>
      <c r="W256" s="65">
        <f>2560000</f>
        <v>2560000</v>
      </c>
      <c r="X256" s="69">
        <f>22</f>
        <v>22</v>
      </c>
    </row>
    <row r="257" spans="1:24">
      <c r="A257" s="60" t="s">
        <v>907</v>
      </c>
      <c r="B257" s="60" t="s">
        <v>819</v>
      </c>
      <c r="C257" s="60" t="s">
        <v>820</v>
      </c>
      <c r="D257" s="60" t="s">
        <v>821</v>
      </c>
      <c r="E257" s="61" t="s">
        <v>46</v>
      </c>
      <c r="F257" s="62" t="s">
        <v>46</v>
      </c>
      <c r="G257" s="63" t="s">
        <v>46</v>
      </c>
      <c r="H257" s="64"/>
      <c r="I257" s="64" t="s">
        <v>47</v>
      </c>
      <c r="J257" s="65">
        <v>10</v>
      </c>
      <c r="K257" s="66">
        <f>2584</f>
        <v>2584</v>
      </c>
      <c r="L257" s="67" t="s">
        <v>853</v>
      </c>
      <c r="M257" s="66">
        <f>2783</f>
        <v>2783</v>
      </c>
      <c r="N257" s="67" t="s">
        <v>873</v>
      </c>
      <c r="O257" s="66">
        <f>2561</f>
        <v>2561</v>
      </c>
      <c r="P257" s="67" t="s">
        <v>48</v>
      </c>
      <c r="Q257" s="66">
        <f>2775</f>
        <v>2775</v>
      </c>
      <c r="R257" s="67" t="s">
        <v>873</v>
      </c>
      <c r="S257" s="68">
        <f>2661.5</f>
        <v>2661.5</v>
      </c>
      <c r="T257" s="65">
        <f>849300</f>
        <v>849300</v>
      </c>
      <c r="U257" s="65" t="str">
        <f>"－"</f>
        <v>－</v>
      </c>
      <c r="V257" s="65">
        <f>2273424280</f>
        <v>2273424280</v>
      </c>
      <c r="W257" s="65" t="str">
        <f>"－"</f>
        <v>－</v>
      </c>
      <c r="X257" s="69">
        <f>22</f>
        <v>22</v>
      </c>
    </row>
    <row r="258" spans="1:24">
      <c r="A258" s="60" t="s">
        <v>907</v>
      </c>
      <c r="B258" s="60" t="s">
        <v>822</v>
      </c>
      <c r="C258" s="60" t="s">
        <v>823</v>
      </c>
      <c r="D258" s="60" t="s">
        <v>824</v>
      </c>
      <c r="E258" s="61" t="s">
        <v>46</v>
      </c>
      <c r="F258" s="62" t="s">
        <v>46</v>
      </c>
      <c r="G258" s="63" t="s">
        <v>46</v>
      </c>
      <c r="H258" s="64"/>
      <c r="I258" s="64" t="s">
        <v>47</v>
      </c>
      <c r="J258" s="65">
        <v>10</v>
      </c>
      <c r="K258" s="66">
        <f>2461</f>
        <v>2461</v>
      </c>
      <c r="L258" s="67" t="s">
        <v>853</v>
      </c>
      <c r="M258" s="66">
        <f>2629</f>
        <v>2629</v>
      </c>
      <c r="N258" s="67" t="s">
        <v>873</v>
      </c>
      <c r="O258" s="66">
        <f>2423</f>
        <v>2423</v>
      </c>
      <c r="P258" s="67" t="s">
        <v>48</v>
      </c>
      <c r="Q258" s="66">
        <f>2622</f>
        <v>2622</v>
      </c>
      <c r="R258" s="67" t="s">
        <v>873</v>
      </c>
      <c r="S258" s="68">
        <f>2523.55</f>
        <v>2523.5500000000002</v>
      </c>
      <c r="T258" s="65">
        <f>5051170</f>
        <v>5051170</v>
      </c>
      <c r="U258" s="65">
        <f>2525190</f>
        <v>2525190</v>
      </c>
      <c r="V258" s="65">
        <f>12754516769</f>
        <v>12754516769</v>
      </c>
      <c r="W258" s="65">
        <f>6420009649</f>
        <v>6420009649</v>
      </c>
      <c r="X258" s="69">
        <f>22</f>
        <v>22</v>
      </c>
    </row>
    <row r="259" spans="1:24">
      <c r="A259" s="60" t="s">
        <v>907</v>
      </c>
      <c r="B259" s="60" t="s">
        <v>825</v>
      </c>
      <c r="C259" s="60" t="s">
        <v>826</v>
      </c>
      <c r="D259" s="60" t="s">
        <v>827</v>
      </c>
      <c r="E259" s="61" t="s">
        <v>46</v>
      </c>
      <c r="F259" s="62" t="s">
        <v>46</v>
      </c>
      <c r="G259" s="63" t="s">
        <v>46</v>
      </c>
      <c r="H259" s="64"/>
      <c r="I259" s="64" t="s">
        <v>47</v>
      </c>
      <c r="J259" s="65">
        <v>1</v>
      </c>
      <c r="K259" s="66">
        <f>2592</f>
        <v>2592</v>
      </c>
      <c r="L259" s="67" t="s">
        <v>853</v>
      </c>
      <c r="M259" s="66">
        <f>2624</f>
        <v>2624</v>
      </c>
      <c r="N259" s="67" t="s">
        <v>856</v>
      </c>
      <c r="O259" s="66">
        <f>2584</f>
        <v>2584</v>
      </c>
      <c r="P259" s="67" t="s">
        <v>96</v>
      </c>
      <c r="Q259" s="66">
        <f>2610</f>
        <v>2610</v>
      </c>
      <c r="R259" s="67" t="s">
        <v>873</v>
      </c>
      <c r="S259" s="68">
        <f>2602.45</f>
        <v>2602.4499999999998</v>
      </c>
      <c r="T259" s="65">
        <f>554560</f>
        <v>554560</v>
      </c>
      <c r="U259" s="65" t="str">
        <f>"－"</f>
        <v>－</v>
      </c>
      <c r="V259" s="65">
        <f>1444978789</f>
        <v>1444978789</v>
      </c>
      <c r="W259" s="65" t="str">
        <f>"－"</f>
        <v>－</v>
      </c>
      <c r="X259" s="69">
        <f>22</f>
        <v>22</v>
      </c>
    </row>
    <row r="260" spans="1:24">
      <c r="A260" s="60" t="s">
        <v>907</v>
      </c>
      <c r="B260" s="60" t="s">
        <v>828</v>
      </c>
      <c r="C260" s="60" t="s">
        <v>829</v>
      </c>
      <c r="D260" s="60" t="s">
        <v>830</v>
      </c>
      <c r="E260" s="61" t="s">
        <v>46</v>
      </c>
      <c r="F260" s="62" t="s">
        <v>46</v>
      </c>
      <c r="G260" s="63" t="s">
        <v>46</v>
      </c>
      <c r="H260" s="64"/>
      <c r="I260" s="64" t="s">
        <v>47</v>
      </c>
      <c r="J260" s="65">
        <v>1</v>
      </c>
      <c r="K260" s="66">
        <f>2150</f>
        <v>2150</v>
      </c>
      <c r="L260" s="67" t="s">
        <v>853</v>
      </c>
      <c r="M260" s="66">
        <f>2279</f>
        <v>2279</v>
      </c>
      <c r="N260" s="67" t="s">
        <v>268</v>
      </c>
      <c r="O260" s="66">
        <f>2121</f>
        <v>2121</v>
      </c>
      <c r="P260" s="67" t="s">
        <v>48</v>
      </c>
      <c r="Q260" s="66">
        <f>2209</f>
        <v>2209</v>
      </c>
      <c r="R260" s="67" t="s">
        <v>873</v>
      </c>
      <c r="S260" s="68">
        <f>2179.14</f>
        <v>2179.14</v>
      </c>
      <c r="T260" s="65">
        <f>872490</f>
        <v>872490</v>
      </c>
      <c r="U260" s="65">
        <f>3</f>
        <v>3</v>
      </c>
      <c r="V260" s="65">
        <f>1923708583</f>
        <v>1923708583</v>
      </c>
      <c r="W260" s="65">
        <f>6523</f>
        <v>6523</v>
      </c>
      <c r="X260" s="69">
        <f>22</f>
        <v>22</v>
      </c>
    </row>
    <row r="261" spans="1:24">
      <c r="A261" s="60" t="s">
        <v>907</v>
      </c>
      <c r="B261" s="60" t="s">
        <v>831</v>
      </c>
      <c r="C261" s="60" t="s">
        <v>832</v>
      </c>
      <c r="D261" s="60" t="s">
        <v>833</v>
      </c>
      <c r="E261" s="61" t="s">
        <v>46</v>
      </c>
      <c r="F261" s="62" t="s">
        <v>46</v>
      </c>
      <c r="G261" s="63" t="s">
        <v>46</v>
      </c>
      <c r="H261" s="64"/>
      <c r="I261" s="64" t="s">
        <v>47</v>
      </c>
      <c r="J261" s="65">
        <v>1</v>
      </c>
      <c r="K261" s="66">
        <f>2529</f>
        <v>2529</v>
      </c>
      <c r="L261" s="67" t="s">
        <v>853</v>
      </c>
      <c r="M261" s="66">
        <f>2571</f>
        <v>2571</v>
      </c>
      <c r="N261" s="67" t="s">
        <v>49</v>
      </c>
      <c r="O261" s="66">
        <f>2512</f>
        <v>2512</v>
      </c>
      <c r="P261" s="67" t="s">
        <v>48</v>
      </c>
      <c r="Q261" s="66">
        <f>2531</f>
        <v>2531</v>
      </c>
      <c r="R261" s="67" t="s">
        <v>873</v>
      </c>
      <c r="S261" s="68">
        <f>2527.62</f>
        <v>2527.62</v>
      </c>
      <c r="T261" s="65">
        <f>27828</f>
        <v>27828</v>
      </c>
      <c r="U261" s="65">
        <f>23682</f>
        <v>23682</v>
      </c>
      <c r="V261" s="65">
        <f>70195719</f>
        <v>70195719</v>
      </c>
      <c r="W261" s="65">
        <f>59722231</f>
        <v>59722231</v>
      </c>
      <c r="X261" s="69">
        <f>21</f>
        <v>21</v>
      </c>
    </row>
    <row r="262" spans="1:24">
      <c r="A262" s="60" t="s">
        <v>907</v>
      </c>
      <c r="B262" s="60" t="s">
        <v>834</v>
      </c>
      <c r="C262" s="60" t="s">
        <v>835</v>
      </c>
      <c r="D262" s="60" t="s">
        <v>836</v>
      </c>
      <c r="E262" s="61" t="s">
        <v>46</v>
      </c>
      <c r="F262" s="62" t="s">
        <v>46</v>
      </c>
      <c r="G262" s="63" t="s">
        <v>46</v>
      </c>
      <c r="H262" s="64"/>
      <c r="I262" s="64" t="s">
        <v>47</v>
      </c>
      <c r="J262" s="65">
        <v>1</v>
      </c>
      <c r="K262" s="66">
        <f>2518</f>
        <v>2518</v>
      </c>
      <c r="L262" s="67" t="s">
        <v>853</v>
      </c>
      <c r="M262" s="66">
        <f>2523</f>
        <v>2523</v>
      </c>
      <c r="N262" s="67" t="s">
        <v>858</v>
      </c>
      <c r="O262" s="66">
        <f>2495</f>
        <v>2495</v>
      </c>
      <c r="P262" s="67" t="s">
        <v>854</v>
      </c>
      <c r="Q262" s="66">
        <f>2512</f>
        <v>2512</v>
      </c>
      <c r="R262" s="67" t="s">
        <v>873</v>
      </c>
      <c r="S262" s="68">
        <f>2512.23</f>
        <v>2512.23</v>
      </c>
      <c r="T262" s="65">
        <f>1303</f>
        <v>1303</v>
      </c>
      <c r="U262" s="65">
        <f>2</f>
        <v>2</v>
      </c>
      <c r="V262" s="65">
        <f>3272381</f>
        <v>3272381</v>
      </c>
      <c r="W262" s="65">
        <f>5018</f>
        <v>5018</v>
      </c>
      <c r="X262" s="69">
        <f>22</f>
        <v>22</v>
      </c>
    </row>
    <row r="263" spans="1:24">
      <c r="A263" s="60" t="s">
        <v>907</v>
      </c>
      <c r="B263" s="60" t="s">
        <v>837</v>
      </c>
      <c r="C263" s="60" t="s">
        <v>838</v>
      </c>
      <c r="D263" s="60" t="s">
        <v>839</v>
      </c>
      <c r="E263" s="61" t="s">
        <v>46</v>
      </c>
      <c r="F263" s="62" t="s">
        <v>46</v>
      </c>
      <c r="G263" s="63" t="s">
        <v>46</v>
      </c>
      <c r="H263" s="64"/>
      <c r="I263" s="64" t="s">
        <v>47</v>
      </c>
      <c r="J263" s="65">
        <v>1</v>
      </c>
      <c r="K263" s="66">
        <f>2908</f>
        <v>2908</v>
      </c>
      <c r="L263" s="67" t="s">
        <v>853</v>
      </c>
      <c r="M263" s="66">
        <f>2954</f>
        <v>2954</v>
      </c>
      <c r="N263" s="67" t="s">
        <v>69</v>
      </c>
      <c r="O263" s="66">
        <f>2785</f>
        <v>2785</v>
      </c>
      <c r="P263" s="67" t="s">
        <v>268</v>
      </c>
      <c r="Q263" s="66">
        <f>2887</f>
        <v>2887</v>
      </c>
      <c r="R263" s="67" t="s">
        <v>873</v>
      </c>
      <c r="S263" s="68">
        <f>2899.41</f>
        <v>2899.41</v>
      </c>
      <c r="T263" s="65">
        <f>74768</f>
        <v>74768</v>
      </c>
      <c r="U263" s="65">
        <f>30000</f>
        <v>30000</v>
      </c>
      <c r="V263" s="65">
        <f>215686522</f>
        <v>215686522</v>
      </c>
      <c r="W263" s="65">
        <f>86436000</f>
        <v>86436000</v>
      </c>
      <c r="X263" s="69">
        <f>22</f>
        <v>22</v>
      </c>
    </row>
    <row r="264" spans="1:24">
      <c r="A264" s="60" t="s">
        <v>907</v>
      </c>
      <c r="B264" s="60" t="s">
        <v>840</v>
      </c>
      <c r="C264" s="60" t="s">
        <v>841</v>
      </c>
      <c r="D264" s="60" t="s">
        <v>842</v>
      </c>
      <c r="E264" s="61" t="s">
        <v>46</v>
      </c>
      <c r="F264" s="62" t="s">
        <v>46</v>
      </c>
      <c r="G264" s="63" t="s">
        <v>46</v>
      </c>
      <c r="H264" s="64"/>
      <c r="I264" s="64" t="s">
        <v>47</v>
      </c>
      <c r="J264" s="65">
        <v>1</v>
      </c>
      <c r="K264" s="66">
        <f>1932</f>
        <v>1932</v>
      </c>
      <c r="L264" s="67" t="s">
        <v>853</v>
      </c>
      <c r="M264" s="66">
        <f>1984</f>
        <v>1984</v>
      </c>
      <c r="N264" s="67" t="s">
        <v>854</v>
      </c>
      <c r="O264" s="66">
        <f>1891</f>
        <v>1891</v>
      </c>
      <c r="P264" s="67" t="s">
        <v>268</v>
      </c>
      <c r="Q264" s="66">
        <f>1947</f>
        <v>1947</v>
      </c>
      <c r="R264" s="67" t="s">
        <v>873</v>
      </c>
      <c r="S264" s="68">
        <f>1955.27</f>
        <v>1955.27</v>
      </c>
      <c r="T264" s="65">
        <f>79301</f>
        <v>79301</v>
      </c>
      <c r="U264" s="65">
        <f>2</f>
        <v>2</v>
      </c>
      <c r="V264" s="65">
        <f>155252407</f>
        <v>155252407</v>
      </c>
      <c r="W264" s="65">
        <f>3954</f>
        <v>3954</v>
      </c>
      <c r="X264" s="69">
        <f>22</f>
        <v>22</v>
      </c>
    </row>
    <row r="265" spans="1:24">
      <c r="A265" s="60" t="s">
        <v>907</v>
      </c>
      <c r="B265" s="60" t="s">
        <v>843</v>
      </c>
      <c r="C265" s="60" t="s">
        <v>844</v>
      </c>
      <c r="D265" s="60" t="s">
        <v>845</v>
      </c>
      <c r="E265" s="61" t="s">
        <v>46</v>
      </c>
      <c r="F265" s="62" t="s">
        <v>46</v>
      </c>
      <c r="G265" s="63" t="s">
        <v>46</v>
      </c>
      <c r="H265" s="64"/>
      <c r="I265" s="64" t="s">
        <v>47</v>
      </c>
      <c r="J265" s="65">
        <v>1</v>
      </c>
      <c r="K265" s="66">
        <f>2089</f>
        <v>2089</v>
      </c>
      <c r="L265" s="67" t="s">
        <v>853</v>
      </c>
      <c r="M265" s="66">
        <f>2116</f>
        <v>2116</v>
      </c>
      <c r="N265" s="67" t="s">
        <v>69</v>
      </c>
      <c r="O265" s="66">
        <f>2022</f>
        <v>2022</v>
      </c>
      <c r="P265" s="67" t="s">
        <v>268</v>
      </c>
      <c r="Q265" s="66">
        <f>2103</f>
        <v>2103</v>
      </c>
      <c r="R265" s="67" t="s">
        <v>873</v>
      </c>
      <c r="S265" s="68">
        <f>2080.41</f>
        <v>2080.41</v>
      </c>
      <c r="T265" s="65">
        <f>277223</f>
        <v>277223</v>
      </c>
      <c r="U265" s="65">
        <f>5</f>
        <v>5</v>
      </c>
      <c r="V265" s="65">
        <f>575859416</f>
        <v>575859416</v>
      </c>
      <c r="W265" s="65">
        <f>10314</f>
        <v>10314</v>
      </c>
      <c r="X265" s="69">
        <f>22</f>
        <v>22</v>
      </c>
    </row>
    <row r="266" spans="1:24">
      <c r="A266" s="60" t="s">
        <v>907</v>
      </c>
      <c r="B266" s="60" t="s">
        <v>849</v>
      </c>
      <c r="C266" s="60" t="s">
        <v>850</v>
      </c>
      <c r="D266" s="60" t="s">
        <v>851</v>
      </c>
      <c r="E266" s="61" t="s">
        <v>46</v>
      </c>
      <c r="F266" s="62" t="s">
        <v>46</v>
      </c>
      <c r="G266" s="63" t="s">
        <v>46</v>
      </c>
      <c r="H266" s="64"/>
      <c r="I266" s="64" t="s">
        <v>47</v>
      </c>
      <c r="J266" s="65">
        <v>1</v>
      </c>
      <c r="K266" s="66">
        <f>2177</f>
        <v>2177</v>
      </c>
      <c r="L266" s="67" t="s">
        <v>853</v>
      </c>
      <c r="M266" s="66">
        <f>2290</f>
        <v>2290</v>
      </c>
      <c r="N266" s="67" t="s">
        <v>873</v>
      </c>
      <c r="O266" s="66">
        <f>2134</f>
        <v>2134</v>
      </c>
      <c r="P266" s="67" t="s">
        <v>48</v>
      </c>
      <c r="Q266" s="66">
        <f>2277</f>
        <v>2277</v>
      </c>
      <c r="R266" s="67" t="s">
        <v>873</v>
      </c>
      <c r="S266" s="68">
        <f>2216.77</f>
        <v>2216.77</v>
      </c>
      <c r="T266" s="65">
        <f>358533</f>
        <v>358533</v>
      </c>
      <c r="U266" s="65" t="str">
        <f>"－"</f>
        <v>－</v>
      </c>
      <c r="V266" s="65">
        <f>786708849</f>
        <v>786708849</v>
      </c>
      <c r="W266" s="65" t="str">
        <f>"－"</f>
        <v>－</v>
      </c>
      <c r="X266" s="69">
        <f>22</f>
        <v>22</v>
      </c>
    </row>
    <row r="267" spans="1:24">
      <c r="A267" s="60" t="s">
        <v>907</v>
      </c>
      <c r="B267" s="60" t="s">
        <v>899</v>
      </c>
      <c r="C267" s="60" t="s">
        <v>900</v>
      </c>
      <c r="D267" s="60" t="s">
        <v>901</v>
      </c>
      <c r="E267" s="61" t="s">
        <v>46</v>
      </c>
      <c r="F267" s="62" t="s">
        <v>46</v>
      </c>
      <c r="G267" s="63" t="s">
        <v>46</v>
      </c>
      <c r="H267" s="64"/>
      <c r="I267" s="64" t="s">
        <v>47</v>
      </c>
      <c r="J267" s="65">
        <v>1</v>
      </c>
      <c r="K267" s="66">
        <f>2510</f>
        <v>2510</v>
      </c>
      <c r="L267" s="67" t="s">
        <v>853</v>
      </c>
      <c r="M267" s="66">
        <f>2764</f>
        <v>2764</v>
      </c>
      <c r="N267" s="67" t="s">
        <v>873</v>
      </c>
      <c r="O267" s="66">
        <f>2368</f>
        <v>2368</v>
      </c>
      <c r="P267" s="67" t="s">
        <v>855</v>
      </c>
      <c r="Q267" s="66">
        <f>2749</f>
        <v>2749</v>
      </c>
      <c r="R267" s="67" t="s">
        <v>873</v>
      </c>
      <c r="S267" s="68">
        <f>2566.55</f>
        <v>2566.5500000000002</v>
      </c>
      <c r="T267" s="65">
        <f>55458</f>
        <v>55458</v>
      </c>
      <c r="U267" s="65">
        <f>2</f>
        <v>2</v>
      </c>
      <c r="V267" s="65">
        <f>143732215</f>
        <v>143732215</v>
      </c>
      <c r="W267" s="65">
        <f>5143</f>
        <v>5143</v>
      </c>
      <c r="X267" s="69">
        <f>22</f>
        <v>22</v>
      </c>
    </row>
    <row r="268" spans="1:24">
      <c r="A268" s="60" t="s">
        <v>907</v>
      </c>
      <c r="B268" s="60" t="s">
        <v>903</v>
      </c>
      <c r="C268" s="60" t="s">
        <v>904</v>
      </c>
      <c r="D268" s="60" t="s">
        <v>905</v>
      </c>
      <c r="E268" s="61" t="s">
        <v>46</v>
      </c>
      <c r="F268" s="62" t="s">
        <v>46</v>
      </c>
      <c r="G268" s="63" t="s">
        <v>46</v>
      </c>
      <c r="H268" s="64"/>
      <c r="I268" s="64" t="s">
        <v>47</v>
      </c>
      <c r="J268" s="65">
        <v>1</v>
      </c>
      <c r="K268" s="66">
        <f>3005</f>
        <v>3005</v>
      </c>
      <c r="L268" s="67" t="s">
        <v>853</v>
      </c>
      <c r="M268" s="66">
        <f>3005</f>
        <v>3005</v>
      </c>
      <c r="N268" s="67" t="s">
        <v>853</v>
      </c>
      <c r="O268" s="66">
        <f>2843</f>
        <v>2843</v>
      </c>
      <c r="P268" s="67" t="s">
        <v>268</v>
      </c>
      <c r="Q268" s="66">
        <f>2898</f>
        <v>2898</v>
      </c>
      <c r="R268" s="67" t="s">
        <v>873</v>
      </c>
      <c r="S268" s="68">
        <f>2921</f>
        <v>2921</v>
      </c>
      <c r="T268" s="65">
        <f>18957</f>
        <v>18957</v>
      </c>
      <c r="U268" s="65">
        <f>2</f>
        <v>2</v>
      </c>
      <c r="V268" s="65">
        <f>55404889</f>
        <v>55404889</v>
      </c>
      <c r="W268" s="65">
        <f>5764</f>
        <v>5764</v>
      </c>
      <c r="X268" s="69">
        <f>22</f>
        <v>22</v>
      </c>
    </row>
    <row r="269" spans="1:24">
      <c r="A269" s="60" t="s">
        <v>907</v>
      </c>
      <c r="B269" s="60" t="s">
        <v>861</v>
      </c>
      <c r="C269" s="60" t="s">
        <v>862</v>
      </c>
      <c r="D269" s="60" t="s">
        <v>863</v>
      </c>
      <c r="E269" s="61" t="s">
        <v>46</v>
      </c>
      <c r="F269" s="62" t="s">
        <v>46</v>
      </c>
      <c r="G269" s="63" t="s">
        <v>46</v>
      </c>
      <c r="H269" s="64"/>
      <c r="I269" s="64" t="s">
        <v>47</v>
      </c>
      <c r="J269" s="65">
        <v>1</v>
      </c>
      <c r="K269" s="66">
        <f>10870</f>
        <v>10870</v>
      </c>
      <c r="L269" s="67" t="s">
        <v>853</v>
      </c>
      <c r="M269" s="66">
        <f>11100</f>
        <v>11100</v>
      </c>
      <c r="N269" s="67" t="s">
        <v>873</v>
      </c>
      <c r="O269" s="66">
        <f>10670</f>
        <v>10670</v>
      </c>
      <c r="P269" s="67" t="s">
        <v>268</v>
      </c>
      <c r="Q269" s="66">
        <f>11100</f>
        <v>11100</v>
      </c>
      <c r="R269" s="67" t="s">
        <v>873</v>
      </c>
      <c r="S269" s="68">
        <f>10934.55</f>
        <v>10934.55</v>
      </c>
      <c r="T269" s="65">
        <f>48017</f>
        <v>48017</v>
      </c>
      <c r="U269" s="65">
        <f>2</f>
        <v>2</v>
      </c>
      <c r="V269" s="65">
        <f>525056440</f>
        <v>525056440</v>
      </c>
      <c r="W269" s="65">
        <f>21800</f>
        <v>21800</v>
      </c>
      <c r="X269" s="69">
        <f>22</f>
        <v>22</v>
      </c>
    </row>
    <row r="270" spans="1:24">
      <c r="A270" s="60" t="s">
        <v>907</v>
      </c>
      <c r="B270" s="60" t="s">
        <v>865</v>
      </c>
      <c r="C270" s="60" t="s">
        <v>866</v>
      </c>
      <c r="D270" s="60" t="s">
        <v>867</v>
      </c>
      <c r="E270" s="61" t="s">
        <v>46</v>
      </c>
      <c r="F270" s="62" t="s">
        <v>46</v>
      </c>
      <c r="G270" s="63" t="s">
        <v>46</v>
      </c>
      <c r="H270" s="64"/>
      <c r="I270" s="64" t="s">
        <v>47</v>
      </c>
      <c r="J270" s="65">
        <v>1</v>
      </c>
      <c r="K270" s="66">
        <f>10790</f>
        <v>10790</v>
      </c>
      <c r="L270" s="67" t="s">
        <v>853</v>
      </c>
      <c r="M270" s="66">
        <f>11610</f>
        <v>11610</v>
      </c>
      <c r="N270" s="67" t="s">
        <v>873</v>
      </c>
      <c r="O270" s="66">
        <f>10690</f>
        <v>10690</v>
      </c>
      <c r="P270" s="67" t="s">
        <v>48</v>
      </c>
      <c r="Q270" s="66">
        <f>11590</f>
        <v>11590</v>
      </c>
      <c r="R270" s="67" t="s">
        <v>873</v>
      </c>
      <c r="S270" s="68">
        <f>11104.09</f>
        <v>11104.09</v>
      </c>
      <c r="T270" s="65">
        <f>389179</f>
        <v>389179</v>
      </c>
      <c r="U270" s="65">
        <f>16</f>
        <v>16</v>
      </c>
      <c r="V270" s="65">
        <f>4346396330</f>
        <v>4346396330</v>
      </c>
      <c r="W270" s="65">
        <f>187830</f>
        <v>187830</v>
      </c>
      <c r="X270" s="69">
        <f>22</f>
        <v>22</v>
      </c>
    </row>
    <row r="271" spans="1:24">
      <c r="A271" s="60" t="s">
        <v>907</v>
      </c>
      <c r="B271" s="60" t="s">
        <v>868</v>
      </c>
      <c r="C271" s="60" t="s">
        <v>869</v>
      </c>
      <c r="D271" s="60" t="s">
        <v>870</v>
      </c>
      <c r="E271" s="61" t="s">
        <v>46</v>
      </c>
      <c r="F271" s="62" t="s">
        <v>46</v>
      </c>
      <c r="G271" s="63" t="s">
        <v>46</v>
      </c>
      <c r="H271" s="64"/>
      <c r="I271" s="64" t="s">
        <v>47</v>
      </c>
      <c r="J271" s="65">
        <v>1</v>
      </c>
      <c r="K271" s="66">
        <f>10370</f>
        <v>10370</v>
      </c>
      <c r="L271" s="67" t="s">
        <v>853</v>
      </c>
      <c r="M271" s="66">
        <f>11060</f>
        <v>11060</v>
      </c>
      <c r="N271" s="67" t="s">
        <v>873</v>
      </c>
      <c r="O271" s="66">
        <f>10200</f>
        <v>10200</v>
      </c>
      <c r="P271" s="67" t="s">
        <v>48</v>
      </c>
      <c r="Q271" s="66">
        <f>11050</f>
        <v>11050</v>
      </c>
      <c r="R271" s="67" t="s">
        <v>873</v>
      </c>
      <c r="S271" s="68">
        <f>10618.64</f>
        <v>10618.64</v>
      </c>
      <c r="T271" s="65">
        <f>328748</f>
        <v>328748</v>
      </c>
      <c r="U271" s="65">
        <f>186006</f>
        <v>186006</v>
      </c>
      <c r="V271" s="65">
        <f>3499892290</f>
        <v>3499892290</v>
      </c>
      <c r="W271" s="65">
        <f>1980472250</f>
        <v>1980472250</v>
      </c>
      <c r="X271" s="69">
        <f>22</f>
        <v>22</v>
      </c>
    </row>
    <row r="272" spans="1:24">
      <c r="A272" s="60" t="s">
        <v>907</v>
      </c>
      <c r="B272" s="60" t="s">
        <v>879</v>
      </c>
      <c r="C272" s="60" t="s">
        <v>880</v>
      </c>
      <c r="D272" s="60" t="s">
        <v>881</v>
      </c>
      <c r="E272" s="61" t="s">
        <v>46</v>
      </c>
      <c r="F272" s="62" t="s">
        <v>46</v>
      </c>
      <c r="G272" s="63" t="s">
        <v>46</v>
      </c>
      <c r="H272" s="64"/>
      <c r="I272" s="64" t="s">
        <v>47</v>
      </c>
      <c r="J272" s="65">
        <v>10</v>
      </c>
      <c r="K272" s="66">
        <f>2126</f>
        <v>2126</v>
      </c>
      <c r="L272" s="67" t="s">
        <v>853</v>
      </c>
      <c r="M272" s="66">
        <f>2196</f>
        <v>2196</v>
      </c>
      <c r="N272" s="67" t="s">
        <v>88</v>
      </c>
      <c r="O272" s="66">
        <f>2099</f>
        <v>2099</v>
      </c>
      <c r="P272" s="67" t="s">
        <v>268</v>
      </c>
      <c r="Q272" s="66">
        <f>2194</f>
        <v>2194</v>
      </c>
      <c r="R272" s="67" t="s">
        <v>873</v>
      </c>
      <c r="S272" s="68">
        <f>2153.68</f>
        <v>2153.6799999999998</v>
      </c>
      <c r="T272" s="65">
        <f>418190</f>
        <v>418190</v>
      </c>
      <c r="U272" s="65" t="str">
        <f>"－"</f>
        <v>－</v>
      </c>
      <c r="V272" s="65">
        <f>902724120</f>
        <v>902724120</v>
      </c>
      <c r="W272" s="65" t="str">
        <f>"－"</f>
        <v>－</v>
      </c>
      <c r="X272" s="69">
        <f>22</f>
        <v>22</v>
      </c>
    </row>
    <row r="273" spans="1:24">
      <c r="A273" s="60" t="s">
        <v>907</v>
      </c>
      <c r="B273" s="60" t="s">
        <v>883</v>
      </c>
      <c r="C273" s="60" t="s">
        <v>884</v>
      </c>
      <c r="D273" s="60" t="s">
        <v>885</v>
      </c>
      <c r="E273" s="61" t="s">
        <v>46</v>
      </c>
      <c r="F273" s="62" t="s">
        <v>46</v>
      </c>
      <c r="G273" s="63" t="s">
        <v>46</v>
      </c>
      <c r="H273" s="64"/>
      <c r="I273" s="64" t="s">
        <v>47</v>
      </c>
      <c r="J273" s="65">
        <v>10</v>
      </c>
      <c r="K273" s="66">
        <f>2121</f>
        <v>2121</v>
      </c>
      <c r="L273" s="67" t="s">
        <v>853</v>
      </c>
      <c r="M273" s="66">
        <f>2173</f>
        <v>2173</v>
      </c>
      <c r="N273" s="67" t="s">
        <v>873</v>
      </c>
      <c r="O273" s="66">
        <f>2090</f>
        <v>2090</v>
      </c>
      <c r="P273" s="67" t="s">
        <v>268</v>
      </c>
      <c r="Q273" s="66">
        <f>2170</f>
        <v>2170</v>
      </c>
      <c r="R273" s="67" t="s">
        <v>873</v>
      </c>
      <c r="S273" s="68">
        <f>2139.55</f>
        <v>2139.5500000000002</v>
      </c>
      <c r="T273" s="65">
        <f>499850</f>
        <v>499850</v>
      </c>
      <c r="U273" s="65">
        <f>190000</f>
        <v>190000</v>
      </c>
      <c r="V273" s="65">
        <f>1066136840</f>
        <v>1066136840</v>
      </c>
      <c r="W273" s="65">
        <f>406755800</f>
        <v>406755800</v>
      </c>
      <c r="X273" s="69">
        <f>22</f>
        <v>22</v>
      </c>
    </row>
    <row r="274" spans="1:24">
      <c r="A274" s="60" t="s">
        <v>907</v>
      </c>
      <c r="B274" s="60" t="s">
        <v>886</v>
      </c>
      <c r="C274" s="60" t="s">
        <v>887</v>
      </c>
      <c r="D274" s="60" t="s">
        <v>888</v>
      </c>
      <c r="E274" s="61" t="s">
        <v>46</v>
      </c>
      <c r="F274" s="62" t="s">
        <v>46</v>
      </c>
      <c r="G274" s="63" t="s">
        <v>46</v>
      </c>
      <c r="H274" s="64"/>
      <c r="I274" s="64" t="s">
        <v>47</v>
      </c>
      <c r="J274" s="65">
        <v>10</v>
      </c>
      <c r="K274" s="66">
        <f>2125</f>
        <v>2125</v>
      </c>
      <c r="L274" s="67" t="s">
        <v>853</v>
      </c>
      <c r="M274" s="66">
        <f>2203</f>
        <v>2203</v>
      </c>
      <c r="N274" s="67" t="s">
        <v>873</v>
      </c>
      <c r="O274" s="66">
        <f>2105</f>
        <v>2105</v>
      </c>
      <c r="P274" s="67" t="s">
        <v>268</v>
      </c>
      <c r="Q274" s="66">
        <f>2201</f>
        <v>2201</v>
      </c>
      <c r="R274" s="67" t="s">
        <v>873</v>
      </c>
      <c r="S274" s="68">
        <f>2156.77</f>
        <v>2156.77</v>
      </c>
      <c r="T274" s="65">
        <f>22170</f>
        <v>22170</v>
      </c>
      <c r="U274" s="65" t="str">
        <f>"－"</f>
        <v>－</v>
      </c>
      <c r="V274" s="65">
        <f>47644620</f>
        <v>47644620</v>
      </c>
      <c r="W274" s="65" t="str">
        <f>"－"</f>
        <v>－</v>
      </c>
      <c r="X274" s="69">
        <f>22</f>
        <v>22</v>
      </c>
    </row>
    <row r="275" spans="1:24">
      <c r="A275" s="60" t="s">
        <v>907</v>
      </c>
      <c r="B275" s="60" t="s">
        <v>889</v>
      </c>
      <c r="C275" s="60" t="s">
        <v>890</v>
      </c>
      <c r="D275" s="60" t="s">
        <v>891</v>
      </c>
      <c r="E275" s="61" t="s">
        <v>46</v>
      </c>
      <c r="F275" s="62" t="s">
        <v>46</v>
      </c>
      <c r="G275" s="63" t="s">
        <v>46</v>
      </c>
      <c r="H275" s="64"/>
      <c r="I275" s="64" t="s">
        <v>47</v>
      </c>
      <c r="J275" s="65">
        <v>1</v>
      </c>
      <c r="K275" s="66">
        <f>2637</f>
        <v>2637</v>
      </c>
      <c r="L275" s="67" t="s">
        <v>853</v>
      </c>
      <c r="M275" s="66">
        <f>2706</f>
        <v>2706</v>
      </c>
      <c r="N275" s="67" t="s">
        <v>873</v>
      </c>
      <c r="O275" s="66">
        <f>2600</f>
        <v>2600</v>
      </c>
      <c r="P275" s="67" t="s">
        <v>268</v>
      </c>
      <c r="Q275" s="66">
        <f>2691</f>
        <v>2691</v>
      </c>
      <c r="R275" s="67" t="s">
        <v>873</v>
      </c>
      <c r="S275" s="68">
        <f>2665.18</f>
        <v>2665.18</v>
      </c>
      <c r="T275" s="65">
        <f>86036</f>
        <v>86036</v>
      </c>
      <c r="U275" s="65" t="str">
        <f>"－"</f>
        <v>－</v>
      </c>
      <c r="V275" s="65">
        <f>229110552</f>
        <v>229110552</v>
      </c>
      <c r="W275" s="65" t="str">
        <f>"－"</f>
        <v>－</v>
      </c>
      <c r="X275" s="69">
        <f>22</f>
        <v>22</v>
      </c>
    </row>
    <row r="276" spans="1:24">
      <c r="A276" s="60" t="s">
        <v>907</v>
      </c>
      <c r="B276" s="60" t="s">
        <v>892</v>
      </c>
      <c r="C276" s="60" t="s">
        <v>893</v>
      </c>
      <c r="D276" s="60" t="s">
        <v>894</v>
      </c>
      <c r="E276" s="61" t="s">
        <v>46</v>
      </c>
      <c r="F276" s="62" t="s">
        <v>46</v>
      </c>
      <c r="G276" s="63" t="s">
        <v>46</v>
      </c>
      <c r="H276" s="64"/>
      <c r="I276" s="64" t="s">
        <v>47</v>
      </c>
      <c r="J276" s="65">
        <v>1</v>
      </c>
      <c r="K276" s="66">
        <f>1695</f>
        <v>1695</v>
      </c>
      <c r="L276" s="67" t="s">
        <v>853</v>
      </c>
      <c r="M276" s="66">
        <f>1713</f>
        <v>1713</v>
      </c>
      <c r="N276" s="67" t="s">
        <v>873</v>
      </c>
      <c r="O276" s="66">
        <f>1635</f>
        <v>1635</v>
      </c>
      <c r="P276" s="67" t="s">
        <v>268</v>
      </c>
      <c r="Q276" s="66">
        <f>1693</f>
        <v>1693</v>
      </c>
      <c r="R276" s="67" t="s">
        <v>873</v>
      </c>
      <c r="S276" s="68">
        <f>1688.5</f>
        <v>1688.5</v>
      </c>
      <c r="T276" s="65">
        <f>1093873</f>
        <v>1093873</v>
      </c>
      <c r="U276" s="65">
        <f>540002</f>
        <v>540002</v>
      </c>
      <c r="V276" s="65">
        <f>1845665945</f>
        <v>1845665945</v>
      </c>
      <c r="W276" s="65">
        <f>913159305</f>
        <v>913159305</v>
      </c>
      <c r="X276" s="69">
        <f>22</f>
        <v>22</v>
      </c>
    </row>
    <row r="277" spans="1:24">
      <c r="A277" s="60" t="s">
        <v>907</v>
      </c>
      <c r="B277" s="60" t="s">
        <v>910</v>
      </c>
      <c r="C277" s="60" t="s">
        <v>911</v>
      </c>
      <c r="D277" s="60" t="s">
        <v>912</v>
      </c>
      <c r="E277" s="61" t="s">
        <v>846</v>
      </c>
      <c r="F277" s="62" t="s">
        <v>847</v>
      </c>
      <c r="G277" s="63" t="s">
        <v>913</v>
      </c>
      <c r="H277" s="64"/>
      <c r="I277" s="64" t="s">
        <v>47</v>
      </c>
      <c r="J277" s="65">
        <v>1</v>
      </c>
      <c r="K277" s="66">
        <f>2324</f>
        <v>2324</v>
      </c>
      <c r="L277" s="67" t="s">
        <v>874</v>
      </c>
      <c r="M277" s="66">
        <f>2336</f>
        <v>2336</v>
      </c>
      <c r="N277" s="67" t="s">
        <v>874</v>
      </c>
      <c r="O277" s="66">
        <f>2295</f>
        <v>2295</v>
      </c>
      <c r="P277" s="67" t="s">
        <v>856</v>
      </c>
      <c r="Q277" s="66">
        <f>2319</f>
        <v>2319</v>
      </c>
      <c r="R277" s="67" t="s">
        <v>873</v>
      </c>
      <c r="S277" s="68">
        <f>2317.67</f>
        <v>2317.67</v>
      </c>
      <c r="T277" s="65">
        <f>156719</f>
        <v>156719</v>
      </c>
      <c r="U277" s="65">
        <f>100000</f>
        <v>100000</v>
      </c>
      <c r="V277" s="65">
        <f>363456206</f>
        <v>363456206</v>
      </c>
      <c r="W277" s="65">
        <f>231716000</f>
        <v>231716000</v>
      </c>
      <c r="X277" s="69">
        <f>6</f>
        <v>6</v>
      </c>
    </row>
    <row r="278" spans="1:24">
      <c r="A278" s="60" t="s">
        <v>907</v>
      </c>
      <c r="B278" s="60" t="s">
        <v>914</v>
      </c>
      <c r="C278" s="60" t="s">
        <v>915</v>
      </c>
      <c r="D278" s="60" t="s">
        <v>916</v>
      </c>
      <c r="E278" s="61" t="s">
        <v>846</v>
      </c>
      <c r="F278" s="62" t="s">
        <v>847</v>
      </c>
      <c r="G278" s="63" t="s">
        <v>913</v>
      </c>
      <c r="H278" s="64"/>
      <c r="I278" s="64" t="s">
        <v>47</v>
      </c>
      <c r="J278" s="65">
        <v>1</v>
      </c>
      <c r="K278" s="66">
        <f>1877</f>
        <v>1877</v>
      </c>
      <c r="L278" s="67" t="s">
        <v>874</v>
      </c>
      <c r="M278" s="66">
        <f>1890</f>
        <v>1890</v>
      </c>
      <c r="N278" s="67" t="s">
        <v>874</v>
      </c>
      <c r="O278" s="66">
        <f>1858</f>
        <v>1858</v>
      </c>
      <c r="P278" s="67" t="s">
        <v>856</v>
      </c>
      <c r="Q278" s="66">
        <f>1876</f>
        <v>1876</v>
      </c>
      <c r="R278" s="67" t="s">
        <v>873</v>
      </c>
      <c r="S278" s="68">
        <f>1870.83</f>
        <v>1870.83</v>
      </c>
      <c r="T278" s="65">
        <f>172474</f>
        <v>172474</v>
      </c>
      <c r="U278" s="65">
        <f>130000</f>
        <v>130000</v>
      </c>
      <c r="V278" s="65">
        <f>323121878</f>
        <v>323121878</v>
      </c>
      <c r="W278" s="65">
        <f>243445400</f>
        <v>243445400</v>
      </c>
      <c r="X278" s="69">
        <f>6</f>
        <v>6</v>
      </c>
    </row>
    <row r="279" spans="1:24">
      <c r="A279" s="60" t="s">
        <v>907</v>
      </c>
      <c r="B279" s="60" t="s">
        <v>917</v>
      </c>
      <c r="C279" s="60" t="s">
        <v>918</v>
      </c>
      <c r="D279" s="60" t="s">
        <v>919</v>
      </c>
      <c r="E279" s="61" t="s">
        <v>846</v>
      </c>
      <c r="F279" s="62" t="s">
        <v>847</v>
      </c>
      <c r="G279" s="63" t="s">
        <v>913</v>
      </c>
      <c r="H279" s="64"/>
      <c r="I279" s="64" t="s">
        <v>47</v>
      </c>
      <c r="J279" s="65">
        <v>1</v>
      </c>
      <c r="K279" s="66">
        <f>2532</f>
        <v>2532</v>
      </c>
      <c r="L279" s="67" t="s">
        <v>874</v>
      </c>
      <c r="M279" s="66">
        <f>2549</f>
        <v>2549</v>
      </c>
      <c r="N279" s="67" t="s">
        <v>873</v>
      </c>
      <c r="O279" s="66">
        <f>2512</f>
        <v>2512</v>
      </c>
      <c r="P279" s="67" t="s">
        <v>88</v>
      </c>
      <c r="Q279" s="66">
        <f>2535</f>
        <v>2535</v>
      </c>
      <c r="R279" s="67" t="s">
        <v>873</v>
      </c>
      <c r="S279" s="68">
        <f>2526.17</f>
        <v>2526.17</v>
      </c>
      <c r="T279" s="65">
        <f>145709</f>
        <v>145709</v>
      </c>
      <c r="U279" s="65">
        <f>85000</f>
        <v>85000</v>
      </c>
      <c r="V279" s="65">
        <f>368285060</f>
        <v>368285060</v>
      </c>
      <c r="W279" s="65">
        <f>214640900</f>
        <v>214640900</v>
      </c>
      <c r="X279" s="69">
        <f>6</f>
        <v>6</v>
      </c>
    </row>
    <row r="280" spans="1:24">
      <c r="A280" s="60" t="s">
        <v>907</v>
      </c>
      <c r="B280" s="60" t="s">
        <v>920</v>
      </c>
      <c r="C280" s="60" t="s">
        <v>921</v>
      </c>
      <c r="D280" s="60" t="s">
        <v>922</v>
      </c>
      <c r="E280" s="61" t="s">
        <v>846</v>
      </c>
      <c r="F280" s="62" t="s">
        <v>847</v>
      </c>
      <c r="G280" s="63" t="s">
        <v>913</v>
      </c>
      <c r="H280" s="64"/>
      <c r="I280" s="64" t="s">
        <v>47</v>
      </c>
      <c r="J280" s="65">
        <v>1</v>
      </c>
      <c r="K280" s="66">
        <f>1947</f>
        <v>1947</v>
      </c>
      <c r="L280" s="67" t="s">
        <v>874</v>
      </c>
      <c r="M280" s="66">
        <f>1961</f>
        <v>1961</v>
      </c>
      <c r="N280" s="67" t="s">
        <v>88</v>
      </c>
      <c r="O280" s="66">
        <f>1935</f>
        <v>1935</v>
      </c>
      <c r="P280" s="67" t="s">
        <v>856</v>
      </c>
      <c r="Q280" s="66">
        <f>1947</f>
        <v>1947</v>
      </c>
      <c r="R280" s="67" t="s">
        <v>873</v>
      </c>
      <c r="S280" s="68">
        <f>1947.33</f>
        <v>1947.33</v>
      </c>
      <c r="T280" s="65">
        <f>217633</f>
        <v>217633</v>
      </c>
      <c r="U280" s="65">
        <f>115000</f>
        <v>115000</v>
      </c>
      <c r="V280" s="65">
        <f>424117942</f>
        <v>424117942</v>
      </c>
      <c r="W280" s="65">
        <f>223876500</f>
        <v>223876500</v>
      </c>
      <c r="X280" s="69">
        <f>6</f>
        <v>6</v>
      </c>
    </row>
    <row r="281" spans="1:24">
      <c r="A281" s="60" t="s">
        <v>907</v>
      </c>
      <c r="B281" s="60" t="s">
        <v>923</v>
      </c>
      <c r="C281" s="60" t="s">
        <v>924</v>
      </c>
      <c r="D281" s="60" t="s">
        <v>925</v>
      </c>
      <c r="E281" s="61" t="s">
        <v>846</v>
      </c>
      <c r="F281" s="62" t="s">
        <v>847</v>
      </c>
      <c r="G281" s="63" t="s">
        <v>913</v>
      </c>
      <c r="H281" s="64"/>
      <c r="I281" s="64" t="s">
        <v>47</v>
      </c>
      <c r="J281" s="65">
        <v>1</v>
      </c>
      <c r="K281" s="66">
        <f>26100</f>
        <v>26100</v>
      </c>
      <c r="L281" s="67" t="s">
        <v>874</v>
      </c>
      <c r="M281" s="66">
        <f>26390</f>
        <v>26390</v>
      </c>
      <c r="N281" s="67" t="s">
        <v>874</v>
      </c>
      <c r="O281" s="66">
        <f>25740</f>
        <v>25740</v>
      </c>
      <c r="P281" s="67" t="s">
        <v>50</v>
      </c>
      <c r="Q281" s="66">
        <f>25940</f>
        <v>25940</v>
      </c>
      <c r="R281" s="67" t="s">
        <v>873</v>
      </c>
      <c r="S281" s="68">
        <f>25850</f>
        <v>25850</v>
      </c>
      <c r="T281" s="65">
        <f>38937</f>
        <v>38937</v>
      </c>
      <c r="U281" s="65">
        <f>38786</f>
        <v>38786</v>
      </c>
      <c r="V281" s="65">
        <f>1003911957</f>
        <v>1003911957</v>
      </c>
      <c r="W281" s="65">
        <f>999992857</f>
        <v>999992857</v>
      </c>
      <c r="X281" s="69">
        <f>6</f>
        <v>6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C175E-D045-4B36-85D5-01B474F92C74}">
  <sheetPr>
    <pageSetUpPr fitToPage="1"/>
  </sheetPr>
  <dimension ref="A1:X276"/>
  <sheetViews>
    <sheetView showGridLines="0" view="pageBreakPreview" zoomScaleNormal="70" zoomScaleSheetLayoutView="100" workbookViewId="0">
      <pane ySplit="6" topLeftCell="A7" activePane="bottomLeft" state="frozen"/>
      <selection pane="bottomLeft"/>
    </sheetView>
  </sheetViews>
  <sheetFormatPr defaultColWidth="9" defaultRowHeight="13.2"/>
  <cols>
    <col min="1" max="1" width="13.109375" style="1" bestFit="1" customWidth="1"/>
    <col min="2" max="2" width="10.77734375" style="1" bestFit="1" customWidth="1"/>
    <col min="3" max="4" width="27.6640625" style="1" customWidth="1"/>
    <col min="5" max="5" width="13.77734375" style="1" bestFit="1" customWidth="1"/>
    <col min="6" max="6" width="20.77734375" style="1" bestFit="1" customWidth="1"/>
    <col min="7" max="7" width="11.21875" style="1" customWidth="1"/>
    <col min="8" max="8" width="8.77734375" style="1" bestFit="1" customWidth="1"/>
    <col min="9" max="9" width="11.77734375" style="1" bestFit="1" customWidth="1"/>
    <col min="10" max="10" width="12.6640625" style="1" bestFit="1" customWidth="1"/>
    <col min="11" max="11" width="16.21875" style="1" customWidth="1"/>
    <col min="12" max="12" width="5.6640625" style="1" bestFit="1" customWidth="1"/>
    <col min="13" max="13" width="16.21875" style="1" customWidth="1"/>
    <col min="14" max="14" width="5.6640625" style="1" bestFit="1" customWidth="1"/>
    <col min="15" max="15" width="16.21875" style="1" customWidth="1"/>
    <col min="16" max="16" width="5.6640625" style="1" bestFit="1" customWidth="1"/>
    <col min="17" max="17" width="16.21875" style="1" customWidth="1"/>
    <col min="18" max="18" width="5.6640625" style="1" bestFit="1" customWidth="1"/>
    <col min="19" max="19" width="23.88671875" style="1" bestFit="1" customWidth="1"/>
    <col min="20" max="20" width="16.21875" style="1" customWidth="1"/>
    <col min="21" max="21" width="24.109375" style="1" customWidth="1"/>
    <col min="22" max="22" width="19.88671875" style="1" bestFit="1" customWidth="1"/>
    <col min="23" max="23" width="25" style="1" bestFit="1" customWidth="1"/>
    <col min="24" max="24" width="13.109375" style="1" bestFit="1" customWidth="1"/>
    <col min="25" max="16384" width="9" style="1"/>
  </cols>
  <sheetData>
    <row r="1" spans="1:24" ht="13.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70" t="s">
        <v>22</v>
      </c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4" ht="99" customHeight="1">
      <c r="A2" s="76" t="s">
        <v>23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2"/>
      <c r="O2" s="72"/>
      <c r="P2" s="72"/>
      <c r="Q2" s="72"/>
      <c r="R2" s="72"/>
      <c r="S2" s="72"/>
      <c r="T2" s="72"/>
      <c r="U2" s="72"/>
      <c r="V2" s="72"/>
      <c r="W2" s="72"/>
      <c r="X2" s="73"/>
    </row>
    <row r="3" spans="1:24" ht="39" customHeight="1">
      <c r="A3" s="78" t="s">
        <v>24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</row>
    <row r="4" spans="1:24" s="2" customFormat="1" ht="13.5" customHeight="1">
      <c r="A4" s="40" t="s">
        <v>25</v>
      </c>
      <c r="B4" s="40" t="s">
        <v>0</v>
      </c>
      <c r="C4" s="40"/>
      <c r="D4" s="40"/>
      <c r="E4" s="41"/>
      <c r="F4" s="42"/>
      <c r="G4" s="43" t="s">
        <v>2</v>
      </c>
      <c r="H4" s="40" t="s">
        <v>26</v>
      </c>
      <c r="I4" s="40" t="s">
        <v>3</v>
      </c>
      <c r="J4" s="40" t="s">
        <v>4</v>
      </c>
      <c r="K4" s="44" t="s">
        <v>5</v>
      </c>
      <c r="L4" s="43" t="s">
        <v>2</v>
      </c>
      <c r="M4" s="44" t="s">
        <v>6</v>
      </c>
      <c r="N4" s="43" t="s">
        <v>2</v>
      </c>
      <c r="O4" s="44" t="s">
        <v>7</v>
      </c>
      <c r="P4" s="43" t="s">
        <v>2</v>
      </c>
      <c r="Q4" s="44" t="s">
        <v>8</v>
      </c>
      <c r="R4" s="43" t="s">
        <v>2</v>
      </c>
      <c r="S4" s="40" t="s">
        <v>9</v>
      </c>
      <c r="T4" s="40" t="s">
        <v>10</v>
      </c>
      <c r="U4" s="45" t="s">
        <v>11</v>
      </c>
      <c r="V4" s="40" t="s">
        <v>12</v>
      </c>
      <c r="W4" s="40" t="s">
        <v>13</v>
      </c>
      <c r="X4" s="40" t="s">
        <v>14</v>
      </c>
    </row>
    <row r="5" spans="1:24">
      <c r="A5" s="46" t="s">
        <v>27</v>
      </c>
      <c r="B5" s="46" t="s">
        <v>28</v>
      </c>
      <c r="C5" s="46" t="s">
        <v>29</v>
      </c>
      <c r="D5" s="46" t="s">
        <v>1</v>
      </c>
      <c r="E5" s="47" t="s">
        <v>30</v>
      </c>
      <c r="F5" s="48" t="s">
        <v>31</v>
      </c>
      <c r="G5" s="49" t="s">
        <v>32</v>
      </c>
      <c r="H5" s="50" t="s">
        <v>33</v>
      </c>
      <c r="I5" s="50" t="s">
        <v>15</v>
      </c>
      <c r="J5" s="50" t="s">
        <v>34</v>
      </c>
      <c r="K5" s="51" t="s">
        <v>16</v>
      </c>
      <c r="L5" s="49" t="s">
        <v>32</v>
      </c>
      <c r="M5" s="51" t="s">
        <v>35</v>
      </c>
      <c r="N5" s="49" t="s">
        <v>32</v>
      </c>
      <c r="O5" s="51" t="s">
        <v>17</v>
      </c>
      <c r="P5" s="49" t="s">
        <v>32</v>
      </c>
      <c r="Q5" s="51" t="s">
        <v>18</v>
      </c>
      <c r="R5" s="49" t="s">
        <v>32</v>
      </c>
      <c r="S5" s="52" t="s">
        <v>36</v>
      </c>
      <c r="T5" s="52" t="s">
        <v>19</v>
      </c>
      <c r="U5" s="46" t="s">
        <v>37</v>
      </c>
      <c r="V5" s="52" t="s">
        <v>20</v>
      </c>
      <c r="W5" s="52" t="s">
        <v>38</v>
      </c>
      <c r="X5" s="52" t="s">
        <v>39</v>
      </c>
    </row>
    <row r="6" spans="1:24">
      <c r="A6" s="53"/>
      <c r="B6" s="53"/>
      <c r="C6" s="53"/>
      <c r="D6" s="53"/>
      <c r="E6" s="54"/>
      <c r="F6" s="55"/>
      <c r="G6" s="56"/>
      <c r="H6" s="57"/>
      <c r="I6" s="57"/>
      <c r="J6" s="57" t="s">
        <v>40</v>
      </c>
      <c r="K6" s="58" t="s">
        <v>41</v>
      </c>
      <c r="L6" s="59"/>
      <c r="M6" s="58" t="s">
        <v>41</v>
      </c>
      <c r="N6" s="59"/>
      <c r="O6" s="58" t="s">
        <v>41</v>
      </c>
      <c r="P6" s="59"/>
      <c r="Q6" s="58" t="s">
        <v>41</v>
      </c>
      <c r="R6" s="59"/>
      <c r="S6" s="58" t="s">
        <v>41</v>
      </c>
      <c r="T6" s="57" t="s">
        <v>21</v>
      </c>
      <c r="U6" s="57" t="s">
        <v>21</v>
      </c>
      <c r="V6" s="58" t="s">
        <v>41</v>
      </c>
      <c r="W6" s="58" t="s">
        <v>41</v>
      </c>
      <c r="X6" s="57"/>
    </row>
    <row r="7" spans="1:24" s="28" customFormat="1" ht="13.5" customHeight="1">
      <c r="A7" s="60" t="s">
        <v>906</v>
      </c>
      <c r="B7" s="60" t="s">
        <v>43</v>
      </c>
      <c r="C7" s="60" t="s">
        <v>44</v>
      </c>
      <c r="D7" s="60" t="s">
        <v>45</v>
      </c>
      <c r="E7" s="61" t="s">
        <v>46</v>
      </c>
      <c r="F7" s="62" t="s">
        <v>46</v>
      </c>
      <c r="G7" s="63" t="s">
        <v>46</v>
      </c>
      <c r="H7" s="64"/>
      <c r="I7" s="64" t="s">
        <v>47</v>
      </c>
      <c r="J7" s="65">
        <v>10</v>
      </c>
      <c r="K7" s="66">
        <f>2041</f>
        <v>2041</v>
      </c>
      <c r="L7" s="67" t="s">
        <v>77</v>
      </c>
      <c r="M7" s="66">
        <f>2076</f>
        <v>2076</v>
      </c>
      <c r="N7" s="67" t="s">
        <v>860</v>
      </c>
      <c r="O7" s="66">
        <f>1959</f>
        <v>1959</v>
      </c>
      <c r="P7" s="67" t="s">
        <v>92</v>
      </c>
      <c r="Q7" s="66">
        <f>2044</f>
        <v>2044</v>
      </c>
      <c r="R7" s="67" t="s">
        <v>872</v>
      </c>
      <c r="S7" s="68">
        <f>2026.11</f>
        <v>2026.11</v>
      </c>
      <c r="T7" s="65">
        <f>11352130</f>
        <v>11352130</v>
      </c>
      <c r="U7" s="65">
        <f>2773040</f>
        <v>2773040</v>
      </c>
      <c r="V7" s="65">
        <f>22790950058</f>
        <v>22790950058</v>
      </c>
      <c r="W7" s="65">
        <f>5503620068</f>
        <v>5503620068</v>
      </c>
      <c r="X7" s="69">
        <f>18</f>
        <v>18</v>
      </c>
    </row>
    <row r="8" spans="1:24">
      <c r="A8" s="60" t="s">
        <v>906</v>
      </c>
      <c r="B8" s="60" t="s">
        <v>51</v>
      </c>
      <c r="C8" s="60" t="s">
        <v>52</v>
      </c>
      <c r="D8" s="60" t="s">
        <v>53</v>
      </c>
      <c r="E8" s="61" t="s">
        <v>46</v>
      </c>
      <c r="F8" s="62" t="s">
        <v>46</v>
      </c>
      <c r="G8" s="63" t="s">
        <v>46</v>
      </c>
      <c r="H8" s="64"/>
      <c r="I8" s="64" t="s">
        <v>47</v>
      </c>
      <c r="J8" s="65">
        <v>10</v>
      </c>
      <c r="K8" s="66">
        <f>2017</f>
        <v>2017</v>
      </c>
      <c r="L8" s="67" t="s">
        <v>77</v>
      </c>
      <c r="M8" s="66">
        <f>2052</f>
        <v>2052</v>
      </c>
      <c r="N8" s="67" t="s">
        <v>860</v>
      </c>
      <c r="O8" s="66">
        <f>1937</f>
        <v>1937</v>
      </c>
      <c r="P8" s="67" t="s">
        <v>92</v>
      </c>
      <c r="Q8" s="66">
        <f>2018</f>
        <v>2018</v>
      </c>
      <c r="R8" s="67" t="s">
        <v>872</v>
      </c>
      <c r="S8" s="68">
        <f>2002.89</f>
        <v>2002.89</v>
      </c>
      <c r="T8" s="65">
        <f>68549410</f>
        <v>68549410</v>
      </c>
      <c r="U8" s="65">
        <f>30185150</f>
        <v>30185150</v>
      </c>
      <c r="V8" s="65">
        <f>137413701733</f>
        <v>137413701733</v>
      </c>
      <c r="W8" s="65">
        <f>60923622573</f>
        <v>60923622573</v>
      </c>
      <c r="X8" s="69">
        <f>18</f>
        <v>18</v>
      </c>
    </row>
    <row r="9" spans="1:24">
      <c r="A9" s="60" t="s">
        <v>906</v>
      </c>
      <c r="B9" s="60" t="s">
        <v>54</v>
      </c>
      <c r="C9" s="60" t="s">
        <v>55</v>
      </c>
      <c r="D9" s="60" t="s">
        <v>56</v>
      </c>
      <c r="E9" s="61" t="s">
        <v>46</v>
      </c>
      <c r="F9" s="62" t="s">
        <v>46</v>
      </c>
      <c r="G9" s="63" t="s">
        <v>46</v>
      </c>
      <c r="H9" s="64"/>
      <c r="I9" s="64" t="s">
        <v>47</v>
      </c>
      <c r="J9" s="65">
        <v>100</v>
      </c>
      <c r="K9" s="66">
        <f>1995</f>
        <v>1995</v>
      </c>
      <c r="L9" s="67" t="s">
        <v>77</v>
      </c>
      <c r="M9" s="66">
        <f>2029</f>
        <v>2029</v>
      </c>
      <c r="N9" s="67" t="s">
        <v>860</v>
      </c>
      <c r="O9" s="66">
        <f>1916</f>
        <v>1916</v>
      </c>
      <c r="P9" s="67" t="s">
        <v>92</v>
      </c>
      <c r="Q9" s="66">
        <f>1998</f>
        <v>1998</v>
      </c>
      <c r="R9" s="67" t="s">
        <v>872</v>
      </c>
      <c r="S9" s="68">
        <f>1980.89</f>
        <v>1980.89</v>
      </c>
      <c r="T9" s="65">
        <f>6238900</f>
        <v>6238900</v>
      </c>
      <c r="U9" s="65">
        <f>457600</f>
        <v>457600</v>
      </c>
      <c r="V9" s="65">
        <f>12326747903</f>
        <v>12326747903</v>
      </c>
      <c r="W9" s="65">
        <f>898918903</f>
        <v>898918903</v>
      </c>
      <c r="X9" s="69">
        <f>18</f>
        <v>18</v>
      </c>
    </row>
    <row r="10" spans="1:24">
      <c r="A10" s="60" t="s">
        <v>906</v>
      </c>
      <c r="B10" s="60" t="s">
        <v>57</v>
      </c>
      <c r="C10" s="60" t="s">
        <v>58</v>
      </c>
      <c r="D10" s="60" t="s">
        <v>59</v>
      </c>
      <c r="E10" s="61" t="s">
        <v>46</v>
      </c>
      <c r="F10" s="62" t="s">
        <v>46</v>
      </c>
      <c r="G10" s="63" t="s">
        <v>46</v>
      </c>
      <c r="H10" s="64"/>
      <c r="I10" s="64" t="s">
        <v>47</v>
      </c>
      <c r="J10" s="65">
        <v>1</v>
      </c>
      <c r="K10" s="66">
        <f>44600</f>
        <v>44600</v>
      </c>
      <c r="L10" s="67" t="s">
        <v>77</v>
      </c>
      <c r="M10" s="66">
        <f>48100</f>
        <v>48100</v>
      </c>
      <c r="N10" s="67" t="s">
        <v>872</v>
      </c>
      <c r="O10" s="66">
        <f>43050</f>
        <v>43050</v>
      </c>
      <c r="P10" s="67" t="s">
        <v>875</v>
      </c>
      <c r="Q10" s="66">
        <f>47400</f>
        <v>47400</v>
      </c>
      <c r="R10" s="67" t="s">
        <v>872</v>
      </c>
      <c r="S10" s="68">
        <f>45191.67</f>
        <v>45191.67</v>
      </c>
      <c r="T10" s="65">
        <f>11164</f>
        <v>11164</v>
      </c>
      <c r="U10" s="65" t="str">
        <f>"－"</f>
        <v>－</v>
      </c>
      <c r="V10" s="65">
        <f>510499850</f>
        <v>510499850</v>
      </c>
      <c r="W10" s="65" t="str">
        <f>"－"</f>
        <v>－</v>
      </c>
      <c r="X10" s="69">
        <f>18</f>
        <v>18</v>
      </c>
    </row>
    <row r="11" spans="1:24">
      <c r="A11" s="60" t="s">
        <v>906</v>
      </c>
      <c r="B11" s="60" t="s">
        <v>60</v>
      </c>
      <c r="C11" s="60" t="s">
        <v>61</v>
      </c>
      <c r="D11" s="60" t="s">
        <v>62</v>
      </c>
      <c r="E11" s="61" t="s">
        <v>46</v>
      </c>
      <c r="F11" s="62" t="s">
        <v>46</v>
      </c>
      <c r="G11" s="63" t="s">
        <v>46</v>
      </c>
      <c r="H11" s="64"/>
      <c r="I11" s="64" t="s">
        <v>47</v>
      </c>
      <c r="J11" s="65">
        <v>10</v>
      </c>
      <c r="K11" s="66">
        <f>904</f>
        <v>904</v>
      </c>
      <c r="L11" s="67" t="s">
        <v>77</v>
      </c>
      <c r="M11" s="66">
        <f>930</f>
        <v>930</v>
      </c>
      <c r="N11" s="67" t="s">
        <v>872</v>
      </c>
      <c r="O11" s="66">
        <f>864</f>
        <v>864</v>
      </c>
      <c r="P11" s="67" t="s">
        <v>92</v>
      </c>
      <c r="Q11" s="66">
        <f>907</f>
        <v>907</v>
      </c>
      <c r="R11" s="67" t="s">
        <v>872</v>
      </c>
      <c r="S11" s="68">
        <f>897.17</f>
        <v>897.17</v>
      </c>
      <c r="T11" s="65">
        <f>243090</f>
        <v>243090</v>
      </c>
      <c r="U11" s="65">
        <f>10</f>
        <v>10</v>
      </c>
      <c r="V11" s="65">
        <f>215998855</f>
        <v>215998855</v>
      </c>
      <c r="W11" s="65">
        <f>8825</f>
        <v>8825</v>
      </c>
      <c r="X11" s="69">
        <f>18</f>
        <v>18</v>
      </c>
    </row>
    <row r="12" spans="1:24">
      <c r="A12" s="60" t="s">
        <v>906</v>
      </c>
      <c r="B12" s="60" t="s">
        <v>63</v>
      </c>
      <c r="C12" s="60" t="s">
        <v>64</v>
      </c>
      <c r="D12" s="60" t="s">
        <v>65</v>
      </c>
      <c r="E12" s="61" t="s">
        <v>46</v>
      </c>
      <c r="F12" s="62" t="s">
        <v>46</v>
      </c>
      <c r="G12" s="63" t="s">
        <v>46</v>
      </c>
      <c r="H12" s="64"/>
      <c r="I12" s="64" t="s">
        <v>47</v>
      </c>
      <c r="J12" s="65">
        <v>1</v>
      </c>
      <c r="K12" s="66">
        <f>21950</f>
        <v>21950</v>
      </c>
      <c r="L12" s="67" t="s">
        <v>77</v>
      </c>
      <c r="M12" s="66">
        <f>22500</f>
        <v>22500</v>
      </c>
      <c r="N12" s="67" t="s">
        <v>860</v>
      </c>
      <c r="O12" s="66">
        <f>20530</f>
        <v>20530</v>
      </c>
      <c r="P12" s="67" t="s">
        <v>92</v>
      </c>
      <c r="Q12" s="66">
        <f>21170</f>
        <v>21170</v>
      </c>
      <c r="R12" s="67" t="s">
        <v>872</v>
      </c>
      <c r="S12" s="68">
        <f>21624.44</f>
        <v>21624.44</v>
      </c>
      <c r="T12" s="65">
        <f>1364</f>
        <v>1364</v>
      </c>
      <c r="U12" s="65" t="str">
        <f>"－"</f>
        <v>－</v>
      </c>
      <c r="V12" s="65">
        <f>29295030</f>
        <v>29295030</v>
      </c>
      <c r="W12" s="65" t="str">
        <f>"－"</f>
        <v>－</v>
      </c>
      <c r="X12" s="69">
        <f>18</f>
        <v>18</v>
      </c>
    </row>
    <row r="13" spans="1:24">
      <c r="A13" s="60" t="s">
        <v>906</v>
      </c>
      <c r="B13" s="60" t="s">
        <v>66</v>
      </c>
      <c r="C13" s="60" t="s">
        <v>67</v>
      </c>
      <c r="D13" s="60" t="s">
        <v>68</v>
      </c>
      <c r="E13" s="61" t="s">
        <v>46</v>
      </c>
      <c r="F13" s="62" t="s">
        <v>46</v>
      </c>
      <c r="G13" s="63" t="s">
        <v>46</v>
      </c>
      <c r="H13" s="64"/>
      <c r="I13" s="64" t="s">
        <v>47</v>
      </c>
      <c r="J13" s="65">
        <v>10</v>
      </c>
      <c r="K13" s="66">
        <f>4300</f>
        <v>4300</v>
      </c>
      <c r="L13" s="67" t="s">
        <v>77</v>
      </c>
      <c r="M13" s="66">
        <f>4300</f>
        <v>4300</v>
      </c>
      <c r="N13" s="67" t="s">
        <v>77</v>
      </c>
      <c r="O13" s="66">
        <f>4010</f>
        <v>4010</v>
      </c>
      <c r="P13" s="67" t="s">
        <v>613</v>
      </c>
      <c r="Q13" s="66">
        <f>4170</f>
        <v>4170</v>
      </c>
      <c r="R13" s="67" t="s">
        <v>872</v>
      </c>
      <c r="S13" s="68">
        <f>4109.38</f>
        <v>4109.38</v>
      </c>
      <c r="T13" s="65">
        <f>1990</f>
        <v>1990</v>
      </c>
      <c r="U13" s="65" t="str">
        <f>"－"</f>
        <v>－</v>
      </c>
      <c r="V13" s="65">
        <f>8241300</f>
        <v>8241300</v>
      </c>
      <c r="W13" s="65" t="str">
        <f>"－"</f>
        <v>－</v>
      </c>
      <c r="X13" s="69">
        <f>16</f>
        <v>16</v>
      </c>
    </row>
    <row r="14" spans="1:24">
      <c r="A14" s="60" t="s">
        <v>906</v>
      </c>
      <c r="B14" s="60" t="s">
        <v>70</v>
      </c>
      <c r="C14" s="60" t="s">
        <v>71</v>
      </c>
      <c r="D14" s="60" t="s">
        <v>72</v>
      </c>
      <c r="E14" s="61" t="s">
        <v>46</v>
      </c>
      <c r="F14" s="62" t="s">
        <v>46</v>
      </c>
      <c r="G14" s="63" t="s">
        <v>46</v>
      </c>
      <c r="H14" s="64"/>
      <c r="I14" s="64" t="s">
        <v>47</v>
      </c>
      <c r="J14" s="65">
        <v>1000</v>
      </c>
      <c r="K14" s="66">
        <f>371</f>
        <v>371</v>
      </c>
      <c r="L14" s="67" t="s">
        <v>77</v>
      </c>
      <c r="M14" s="66">
        <f>381</f>
        <v>381</v>
      </c>
      <c r="N14" s="67" t="s">
        <v>860</v>
      </c>
      <c r="O14" s="66">
        <f>355</f>
        <v>355</v>
      </c>
      <c r="P14" s="67" t="s">
        <v>92</v>
      </c>
      <c r="Q14" s="66">
        <f>377</f>
        <v>377</v>
      </c>
      <c r="R14" s="67" t="s">
        <v>872</v>
      </c>
      <c r="S14" s="68">
        <f>372.5</f>
        <v>372.5</v>
      </c>
      <c r="T14" s="65">
        <f>112000</f>
        <v>112000</v>
      </c>
      <c r="U14" s="65" t="str">
        <f>"－"</f>
        <v>－</v>
      </c>
      <c r="V14" s="65">
        <f>41505000</f>
        <v>41505000</v>
      </c>
      <c r="W14" s="65" t="str">
        <f>"－"</f>
        <v>－</v>
      </c>
      <c r="X14" s="69">
        <f>18</f>
        <v>18</v>
      </c>
    </row>
    <row r="15" spans="1:24">
      <c r="A15" s="60" t="s">
        <v>906</v>
      </c>
      <c r="B15" s="60" t="s">
        <v>74</v>
      </c>
      <c r="C15" s="60" t="s">
        <v>75</v>
      </c>
      <c r="D15" s="60" t="s">
        <v>76</v>
      </c>
      <c r="E15" s="61" t="s">
        <v>46</v>
      </c>
      <c r="F15" s="62" t="s">
        <v>46</v>
      </c>
      <c r="G15" s="63" t="s">
        <v>46</v>
      </c>
      <c r="H15" s="64"/>
      <c r="I15" s="64" t="s">
        <v>47</v>
      </c>
      <c r="J15" s="65">
        <v>1</v>
      </c>
      <c r="K15" s="66">
        <f>30050</f>
        <v>30050</v>
      </c>
      <c r="L15" s="67" t="s">
        <v>77</v>
      </c>
      <c r="M15" s="66">
        <f>30750</f>
        <v>30750</v>
      </c>
      <c r="N15" s="67" t="s">
        <v>860</v>
      </c>
      <c r="O15" s="66">
        <f>28360</f>
        <v>28360</v>
      </c>
      <c r="P15" s="67" t="s">
        <v>92</v>
      </c>
      <c r="Q15" s="66">
        <f>29890</f>
        <v>29890</v>
      </c>
      <c r="R15" s="67" t="s">
        <v>872</v>
      </c>
      <c r="S15" s="68">
        <f>29536.11</f>
        <v>29536.11</v>
      </c>
      <c r="T15" s="65">
        <f>1439301</f>
        <v>1439301</v>
      </c>
      <c r="U15" s="65">
        <f>114126</f>
        <v>114126</v>
      </c>
      <c r="V15" s="65">
        <f>42262319970</f>
        <v>42262319970</v>
      </c>
      <c r="W15" s="65">
        <f>3366273950</f>
        <v>3366273950</v>
      </c>
      <c r="X15" s="69">
        <f>18</f>
        <v>18</v>
      </c>
    </row>
    <row r="16" spans="1:24">
      <c r="A16" s="60" t="s">
        <v>906</v>
      </c>
      <c r="B16" s="60" t="s">
        <v>78</v>
      </c>
      <c r="C16" s="60" t="s">
        <v>79</v>
      </c>
      <c r="D16" s="60" t="s">
        <v>80</v>
      </c>
      <c r="E16" s="61" t="s">
        <v>46</v>
      </c>
      <c r="F16" s="62" t="s">
        <v>46</v>
      </c>
      <c r="G16" s="63" t="s">
        <v>46</v>
      </c>
      <c r="H16" s="64"/>
      <c r="I16" s="64" t="s">
        <v>47</v>
      </c>
      <c r="J16" s="65">
        <v>1</v>
      </c>
      <c r="K16" s="66">
        <f>30100</f>
        <v>30100</v>
      </c>
      <c r="L16" s="67" t="s">
        <v>77</v>
      </c>
      <c r="M16" s="66">
        <f>30800</f>
        <v>30800</v>
      </c>
      <c r="N16" s="67" t="s">
        <v>860</v>
      </c>
      <c r="O16" s="66">
        <f>28420</f>
        <v>28420</v>
      </c>
      <c r="P16" s="67" t="s">
        <v>92</v>
      </c>
      <c r="Q16" s="66">
        <f>29950</f>
        <v>29950</v>
      </c>
      <c r="R16" s="67" t="s">
        <v>872</v>
      </c>
      <c r="S16" s="68">
        <f>29589.44</f>
        <v>29589.439999999999</v>
      </c>
      <c r="T16" s="65">
        <f>6559649</f>
        <v>6559649</v>
      </c>
      <c r="U16" s="65">
        <f>209814</f>
        <v>209814</v>
      </c>
      <c r="V16" s="65">
        <f>193149334360</f>
        <v>193149334360</v>
      </c>
      <c r="W16" s="65">
        <f>6156791910</f>
        <v>6156791910</v>
      </c>
      <c r="X16" s="69">
        <f>18</f>
        <v>18</v>
      </c>
    </row>
    <row r="17" spans="1:24">
      <c r="A17" s="60" t="s">
        <v>906</v>
      </c>
      <c r="B17" s="60" t="s">
        <v>81</v>
      </c>
      <c r="C17" s="60" t="s">
        <v>82</v>
      </c>
      <c r="D17" s="60" t="s">
        <v>83</v>
      </c>
      <c r="E17" s="61" t="s">
        <v>46</v>
      </c>
      <c r="F17" s="62" t="s">
        <v>46</v>
      </c>
      <c r="G17" s="63" t="s">
        <v>46</v>
      </c>
      <c r="H17" s="64"/>
      <c r="I17" s="64" t="s">
        <v>47</v>
      </c>
      <c r="J17" s="65">
        <v>10</v>
      </c>
      <c r="K17" s="66">
        <f>8210</f>
        <v>8210</v>
      </c>
      <c r="L17" s="67" t="s">
        <v>77</v>
      </c>
      <c r="M17" s="66">
        <f>9010</f>
        <v>9010</v>
      </c>
      <c r="N17" s="67" t="s">
        <v>88</v>
      </c>
      <c r="O17" s="66">
        <f>8050</f>
        <v>8050</v>
      </c>
      <c r="P17" s="67" t="s">
        <v>131</v>
      </c>
      <c r="Q17" s="66">
        <f>8830</f>
        <v>8830</v>
      </c>
      <c r="R17" s="67" t="s">
        <v>872</v>
      </c>
      <c r="S17" s="68">
        <f>8382.22</f>
        <v>8382.2199999999993</v>
      </c>
      <c r="T17" s="65">
        <f>19290</f>
        <v>19290</v>
      </c>
      <c r="U17" s="65">
        <f>20</f>
        <v>20</v>
      </c>
      <c r="V17" s="65">
        <f>163714425</f>
        <v>163714425</v>
      </c>
      <c r="W17" s="65">
        <f>165125</f>
        <v>165125</v>
      </c>
      <c r="X17" s="69">
        <f>18</f>
        <v>18</v>
      </c>
    </row>
    <row r="18" spans="1:24">
      <c r="A18" s="60" t="s">
        <v>906</v>
      </c>
      <c r="B18" s="60" t="s">
        <v>85</v>
      </c>
      <c r="C18" s="60" t="s">
        <v>86</v>
      </c>
      <c r="D18" s="60" t="s">
        <v>87</v>
      </c>
      <c r="E18" s="61" t="s">
        <v>46</v>
      </c>
      <c r="F18" s="62" t="s">
        <v>46</v>
      </c>
      <c r="G18" s="63" t="s">
        <v>46</v>
      </c>
      <c r="H18" s="64"/>
      <c r="I18" s="64" t="s">
        <v>47</v>
      </c>
      <c r="J18" s="65">
        <v>100</v>
      </c>
      <c r="K18" s="66">
        <f>460</f>
        <v>460</v>
      </c>
      <c r="L18" s="67" t="s">
        <v>77</v>
      </c>
      <c r="M18" s="66">
        <f>550</f>
        <v>550</v>
      </c>
      <c r="N18" s="67" t="s">
        <v>872</v>
      </c>
      <c r="O18" s="66">
        <f>442</f>
        <v>442</v>
      </c>
      <c r="P18" s="67" t="s">
        <v>875</v>
      </c>
      <c r="Q18" s="66">
        <f>535</f>
        <v>535</v>
      </c>
      <c r="R18" s="67" t="s">
        <v>872</v>
      </c>
      <c r="S18" s="68">
        <f>481.06</f>
        <v>481.06</v>
      </c>
      <c r="T18" s="65">
        <f>149900</f>
        <v>149900</v>
      </c>
      <c r="U18" s="65" t="str">
        <f>"－"</f>
        <v>－</v>
      </c>
      <c r="V18" s="65">
        <f>74281700</f>
        <v>74281700</v>
      </c>
      <c r="W18" s="65" t="str">
        <f>"－"</f>
        <v>－</v>
      </c>
      <c r="X18" s="69">
        <f>18</f>
        <v>18</v>
      </c>
    </row>
    <row r="19" spans="1:24">
      <c r="A19" s="60" t="s">
        <v>906</v>
      </c>
      <c r="B19" s="60" t="s">
        <v>89</v>
      </c>
      <c r="C19" s="60" t="s">
        <v>90</v>
      </c>
      <c r="D19" s="60" t="s">
        <v>91</v>
      </c>
      <c r="E19" s="61" t="s">
        <v>46</v>
      </c>
      <c r="F19" s="62" t="s">
        <v>46</v>
      </c>
      <c r="G19" s="63" t="s">
        <v>46</v>
      </c>
      <c r="H19" s="64"/>
      <c r="I19" s="64" t="s">
        <v>47</v>
      </c>
      <c r="J19" s="65">
        <v>100</v>
      </c>
      <c r="K19" s="66">
        <f>149</f>
        <v>149</v>
      </c>
      <c r="L19" s="67" t="s">
        <v>77</v>
      </c>
      <c r="M19" s="66">
        <f>160</f>
        <v>160</v>
      </c>
      <c r="N19" s="67" t="s">
        <v>872</v>
      </c>
      <c r="O19" s="66">
        <f>145</f>
        <v>145</v>
      </c>
      <c r="P19" s="67" t="s">
        <v>92</v>
      </c>
      <c r="Q19" s="66">
        <f>159</f>
        <v>159</v>
      </c>
      <c r="R19" s="67" t="s">
        <v>872</v>
      </c>
      <c r="S19" s="68">
        <f>152.06</f>
        <v>152.06</v>
      </c>
      <c r="T19" s="65">
        <f>321400</f>
        <v>321400</v>
      </c>
      <c r="U19" s="65" t="str">
        <f>"－"</f>
        <v>－</v>
      </c>
      <c r="V19" s="65">
        <f>48703800</f>
        <v>48703800</v>
      </c>
      <c r="W19" s="65" t="str">
        <f>"－"</f>
        <v>－</v>
      </c>
      <c r="X19" s="69">
        <f>18</f>
        <v>18</v>
      </c>
    </row>
    <row r="20" spans="1:24">
      <c r="A20" s="60" t="s">
        <v>906</v>
      </c>
      <c r="B20" s="60" t="s">
        <v>93</v>
      </c>
      <c r="C20" s="60" t="s">
        <v>94</v>
      </c>
      <c r="D20" s="60" t="s">
        <v>95</v>
      </c>
      <c r="E20" s="61" t="s">
        <v>46</v>
      </c>
      <c r="F20" s="62" t="s">
        <v>46</v>
      </c>
      <c r="G20" s="63" t="s">
        <v>46</v>
      </c>
      <c r="H20" s="64"/>
      <c r="I20" s="64" t="s">
        <v>47</v>
      </c>
      <c r="J20" s="65">
        <v>100</v>
      </c>
      <c r="K20" s="66">
        <f>175</f>
        <v>175</v>
      </c>
      <c r="L20" s="67" t="s">
        <v>77</v>
      </c>
      <c r="M20" s="66">
        <f>197</f>
        <v>197</v>
      </c>
      <c r="N20" s="67" t="s">
        <v>872</v>
      </c>
      <c r="O20" s="66">
        <f>174</f>
        <v>174</v>
      </c>
      <c r="P20" s="67" t="s">
        <v>77</v>
      </c>
      <c r="Q20" s="66">
        <f>197</f>
        <v>197</v>
      </c>
      <c r="R20" s="67" t="s">
        <v>872</v>
      </c>
      <c r="S20" s="68">
        <f>183.83</f>
        <v>183.83</v>
      </c>
      <c r="T20" s="65">
        <f>629100</f>
        <v>629100</v>
      </c>
      <c r="U20" s="65">
        <f>1200</f>
        <v>1200</v>
      </c>
      <c r="V20" s="65">
        <f>115755800</f>
        <v>115755800</v>
      </c>
      <c r="W20" s="65">
        <f>222100</f>
        <v>222100</v>
      </c>
      <c r="X20" s="69">
        <f>18</f>
        <v>18</v>
      </c>
    </row>
    <row r="21" spans="1:24">
      <c r="A21" s="60" t="s">
        <v>906</v>
      </c>
      <c r="B21" s="60" t="s">
        <v>97</v>
      </c>
      <c r="C21" s="60" t="s">
        <v>98</v>
      </c>
      <c r="D21" s="60" t="s">
        <v>99</v>
      </c>
      <c r="E21" s="61" t="s">
        <v>46</v>
      </c>
      <c r="F21" s="62" t="s">
        <v>46</v>
      </c>
      <c r="G21" s="63" t="s">
        <v>46</v>
      </c>
      <c r="H21" s="64"/>
      <c r="I21" s="64" t="s">
        <v>47</v>
      </c>
      <c r="J21" s="65">
        <v>1</v>
      </c>
      <c r="K21" s="66">
        <f>18250</f>
        <v>18250</v>
      </c>
      <c r="L21" s="67" t="s">
        <v>77</v>
      </c>
      <c r="M21" s="66">
        <f>19620</f>
        <v>19620</v>
      </c>
      <c r="N21" s="67" t="s">
        <v>872</v>
      </c>
      <c r="O21" s="66">
        <f>18240</f>
        <v>18240</v>
      </c>
      <c r="P21" s="67" t="s">
        <v>77</v>
      </c>
      <c r="Q21" s="66">
        <f>19600</f>
        <v>19600</v>
      </c>
      <c r="R21" s="67" t="s">
        <v>872</v>
      </c>
      <c r="S21" s="68">
        <f>19001.67</f>
        <v>19001.669999999998</v>
      </c>
      <c r="T21" s="65">
        <f>256871</f>
        <v>256871</v>
      </c>
      <c r="U21" s="65">
        <f>20</f>
        <v>20</v>
      </c>
      <c r="V21" s="65">
        <f>4865030830</f>
        <v>4865030830</v>
      </c>
      <c r="W21" s="65">
        <f>374200</f>
        <v>374200</v>
      </c>
      <c r="X21" s="69">
        <f>18</f>
        <v>18</v>
      </c>
    </row>
    <row r="22" spans="1:24">
      <c r="A22" s="60" t="s">
        <v>906</v>
      </c>
      <c r="B22" s="60" t="s">
        <v>101</v>
      </c>
      <c r="C22" s="60" t="s">
        <v>102</v>
      </c>
      <c r="D22" s="60" t="s">
        <v>103</v>
      </c>
      <c r="E22" s="61" t="s">
        <v>46</v>
      </c>
      <c r="F22" s="62" t="s">
        <v>46</v>
      </c>
      <c r="G22" s="63" t="s">
        <v>46</v>
      </c>
      <c r="H22" s="64"/>
      <c r="I22" s="64" t="s">
        <v>47</v>
      </c>
      <c r="J22" s="65">
        <v>1</v>
      </c>
      <c r="K22" s="66">
        <f>3780</f>
        <v>3780</v>
      </c>
      <c r="L22" s="67" t="s">
        <v>77</v>
      </c>
      <c r="M22" s="66">
        <f>3910</f>
        <v>3910</v>
      </c>
      <c r="N22" s="67" t="s">
        <v>613</v>
      </c>
      <c r="O22" s="66">
        <f>3680</f>
        <v>3680</v>
      </c>
      <c r="P22" s="67" t="s">
        <v>240</v>
      </c>
      <c r="Q22" s="66">
        <f>3855</f>
        <v>3855</v>
      </c>
      <c r="R22" s="67" t="s">
        <v>872</v>
      </c>
      <c r="S22" s="68">
        <f>3798.61</f>
        <v>3798.61</v>
      </c>
      <c r="T22" s="65">
        <f>8343</f>
        <v>8343</v>
      </c>
      <c r="U22" s="65" t="str">
        <f>"－"</f>
        <v>－</v>
      </c>
      <c r="V22" s="65">
        <f>31770165</f>
        <v>31770165</v>
      </c>
      <c r="W22" s="65" t="str">
        <f>"－"</f>
        <v>－</v>
      </c>
      <c r="X22" s="69">
        <f>18</f>
        <v>18</v>
      </c>
    </row>
    <row r="23" spans="1:24">
      <c r="A23" s="60" t="s">
        <v>906</v>
      </c>
      <c r="B23" s="60" t="s">
        <v>104</v>
      </c>
      <c r="C23" s="60" t="s">
        <v>105</v>
      </c>
      <c r="D23" s="60" t="s">
        <v>106</v>
      </c>
      <c r="E23" s="61" t="s">
        <v>46</v>
      </c>
      <c r="F23" s="62" t="s">
        <v>46</v>
      </c>
      <c r="G23" s="63" t="s">
        <v>46</v>
      </c>
      <c r="H23" s="64"/>
      <c r="I23" s="64" t="s">
        <v>47</v>
      </c>
      <c r="J23" s="65">
        <v>10</v>
      </c>
      <c r="K23" s="66">
        <f>4960</f>
        <v>4960</v>
      </c>
      <c r="L23" s="67" t="s">
        <v>77</v>
      </c>
      <c r="M23" s="66">
        <f>5330</f>
        <v>5330</v>
      </c>
      <c r="N23" s="67" t="s">
        <v>872</v>
      </c>
      <c r="O23" s="66">
        <f>4950</f>
        <v>4950</v>
      </c>
      <c r="P23" s="67" t="s">
        <v>77</v>
      </c>
      <c r="Q23" s="66">
        <f>5320</f>
        <v>5320</v>
      </c>
      <c r="R23" s="67" t="s">
        <v>872</v>
      </c>
      <c r="S23" s="68">
        <f>5156.11</f>
        <v>5156.1099999999997</v>
      </c>
      <c r="T23" s="65">
        <f>409840</f>
        <v>409840</v>
      </c>
      <c r="U23" s="65">
        <f>70</f>
        <v>70</v>
      </c>
      <c r="V23" s="65">
        <f>2104638900</f>
        <v>2104638900</v>
      </c>
      <c r="W23" s="65">
        <f>362500</f>
        <v>362500</v>
      </c>
      <c r="X23" s="69">
        <f>18</f>
        <v>18</v>
      </c>
    </row>
    <row r="24" spans="1:24">
      <c r="A24" s="60" t="s">
        <v>906</v>
      </c>
      <c r="B24" s="60" t="s">
        <v>107</v>
      </c>
      <c r="C24" s="60" t="s">
        <v>108</v>
      </c>
      <c r="D24" s="60" t="s">
        <v>109</v>
      </c>
      <c r="E24" s="61" t="s">
        <v>46</v>
      </c>
      <c r="F24" s="62" t="s">
        <v>46</v>
      </c>
      <c r="G24" s="63" t="s">
        <v>46</v>
      </c>
      <c r="H24" s="64"/>
      <c r="I24" s="64" t="s">
        <v>47</v>
      </c>
      <c r="J24" s="65">
        <v>1</v>
      </c>
      <c r="K24" s="66">
        <f>30150</f>
        <v>30150</v>
      </c>
      <c r="L24" s="67" t="s">
        <v>77</v>
      </c>
      <c r="M24" s="66">
        <f>30800</f>
        <v>30800</v>
      </c>
      <c r="N24" s="67" t="s">
        <v>860</v>
      </c>
      <c r="O24" s="66">
        <f>28400</f>
        <v>28400</v>
      </c>
      <c r="P24" s="67" t="s">
        <v>92</v>
      </c>
      <c r="Q24" s="66">
        <f>29910</f>
        <v>29910</v>
      </c>
      <c r="R24" s="67" t="s">
        <v>872</v>
      </c>
      <c r="S24" s="68">
        <f>29564.44</f>
        <v>29564.44</v>
      </c>
      <c r="T24" s="65">
        <f>949645</f>
        <v>949645</v>
      </c>
      <c r="U24" s="65">
        <f>320728</f>
        <v>320728</v>
      </c>
      <c r="V24" s="65">
        <f>28186803719</f>
        <v>28186803719</v>
      </c>
      <c r="W24" s="65">
        <f>9677983449</f>
        <v>9677983449</v>
      </c>
      <c r="X24" s="69">
        <f>18</f>
        <v>18</v>
      </c>
    </row>
    <row r="25" spans="1:24">
      <c r="A25" s="60" t="s">
        <v>906</v>
      </c>
      <c r="B25" s="60" t="s">
        <v>110</v>
      </c>
      <c r="C25" s="60" t="s">
        <v>111</v>
      </c>
      <c r="D25" s="60" t="s">
        <v>112</v>
      </c>
      <c r="E25" s="61" t="s">
        <v>46</v>
      </c>
      <c r="F25" s="62" t="s">
        <v>46</v>
      </c>
      <c r="G25" s="63" t="s">
        <v>46</v>
      </c>
      <c r="H25" s="64"/>
      <c r="I25" s="64" t="s">
        <v>47</v>
      </c>
      <c r="J25" s="65">
        <v>10</v>
      </c>
      <c r="K25" s="66">
        <f>30150</f>
        <v>30150</v>
      </c>
      <c r="L25" s="67" t="s">
        <v>77</v>
      </c>
      <c r="M25" s="66">
        <f>30800</f>
        <v>30800</v>
      </c>
      <c r="N25" s="67" t="s">
        <v>860</v>
      </c>
      <c r="O25" s="66">
        <f>28470</f>
        <v>28470</v>
      </c>
      <c r="P25" s="67" t="s">
        <v>92</v>
      </c>
      <c r="Q25" s="66">
        <f>29980</f>
        <v>29980</v>
      </c>
      <c r="R25" s="67" t="s">
        <v>872</v>
      </c>
      <c r="S25" s="68">
        <f>29634.44</f>
        <v>29634.44</v>
      </c>
      <c r="T25" s="65">
        <f>2528960</f>
        <v>2528960</v>
      </c>
      <c r="U25" s="65">
        <f>1383210</f>
        <v>1383210</v>
      </c>
      <c r="V25" s="65">
        <f>74628465990</f>
        <v>74628465990</v>
      </c>
      <c r="W25" s="65">
        <f>40954441490</f>
        <v>40954441490</v>
      </c>
      <c r="X25" s="69">
        <f>18</f>
        <v>18</v>
      </c>
    </row>
    <row r="26" spans="1:24">
      <c r="A26" s="60" t="s">
        <v>906</v>
      </c>
      <c r="B26" s="60" t="s">
        <v>113</v>
      </c>
      <c r="C26" s="60" t="s">
        <v>114</v>
      </c>
      <c r="D26" s="60" t="s">
        <v>115</v>
      </c>
      <c r="E26" s="61" t="s">
        <v>46</v>
      </c>
      <c r="F26" s="62" t="s">
        <v>46</v>
      </c>
      <c r="G26" s="63" t="s">
        <v>46</v>
      </c>
      <c r="H26" s="64"/>
      <c r="I26" s="64" t="s">
        <v>47</v>
      </c>
      <c r="J26" s="65">
        <v>10</v>
      </c>
      <c r="K26" s="66">
        <f>2230</f>
        <v>2230</v>
      </c>
      <c r="L26" s="67" t="s">
        <v>77</v>
      </c>
      <c r="M26" s="66">
        <f>2257</f>
        <v>2257</v>
      </c>
      <c r="N26" s="67" t="s">
        <v>77</v>
      </c>
      <c r="O26" s="66">
        <f>2151</f>
        <v>2151</v>
      </c>
      <c r="P26" s="67" t="s">
        <v>49</v>
      </c>
      <c r="Q26" s="66">
        <f>2217</f>
        <v>2217</v>
      </c>
      <c r="R26" s="67" t="s">
        <v>872</v>
      </c>
      <c r="S26" s="68">
        <f>2199.83</f>
        <v>2199.83</v>
      </c>
      <c r="T26" s="65">
        <f>5585640</f>
        <v>5585640</v>
      </c>
      <c r="U26" s="65">
        <f>313930</f>
        <v>313930</v>
      </c>
      <c r="V26" s="65">
        <f>12291191897</f>
        <v>12291191897</v>
      </c>
      <c r="W26" s="65">
        <f>686521577</f>
        <v>686521577</v>
      </c>
      <c r="X26" s="69">
        <f>18</f>
        <v>18</v>
      </c>
    </row>
    <row r="27" spans="1:24">
      <c r="A27" s="60" t="s">
        <v>906</v>
      </c>
      <c r="B27" s="60" t="s">
        <v>116</v>
      </c>
      <c r="C27" s="60" t="s">
        <v>117</v>
      </c>
      <c r="D27" s="60" t="s">
        <v>118</v>
      </c>
      <c r="E27" s="61" t="s">
        <v>46</v>
      </c>
      <c r="F27" s="62" t="s">
        <v>46</v>
      </c>
      <c r="G27" s="63" t="s">
        <v>46</v>
      </c>
      <c r="H27" s="64"/>
      <c r="I27" s="64" t="s">
        <v>47</v>
      </c>
      <c r="J27" s="65">
        <v>10</v>
      </c>
      <c r="K27" s="66">
        <f>876</f>
        <v>876</v>
      </c>
      <c r="L27" s="67" t="s">
        <v>77</v>
      </c>
      <c r="M27" s="66">
        <f>894</f>
        <v>894</v>
      </c>
      <c r="N27" s="67" t="s">
        <v>872</v>
      </c>
      <c r="O27" s="66">
        <f>841</f>
        <v>841</v>
      </c>
      <c r="P27" s="67" t="s">
        <v>92</v>
      </c>
      <c r="Q27" s="66">
        <f>885</f>
        <v>885</v>
      </c>
      <c r="R27" s="67" t="s">
        <v>872</v>
      </c>
      <c r="S27" s="68">
        <f>870.5</f>
        <v>870.5</v>
      </c>
      <c r="T27" s="65">
        <f>17760</f>
        <v>17760</v>
      </c>
      <c r="U27" s="65" t="str">
        <f>"－"</f>
        <v>－</v>
      </c>
      <c r="V27" s="65">
        <f>15416460</f>
        <v>15416460</v>
      </c>
      <c r="W27" s="65" t="str">
        <f>"－"</f>
        <v>－</v>
      </c>
      <c r="X27" s="69">
        <f>18</f>
        <v>18</v>
      </c>
    </row>
    <row r="28" spans="1:24">
      <c r="A28" s="60" t="s">
        <v>906</v>
      </c>
      <c r="B28" s="60" t="s">
        <v>119</v>
      </c>
      <c r="C28" s="60" t="s">
        <v>120</v>
      </c>
      <c r="D28" s="60" t="s">
        <v>121</v>
      </c>
      <c r="E28" s="61" t="s">
        <v>46</v>
      </c>
      <c r="F28" s="62" t="s">
        <v>46</v>
      </c>
      <c r="G28" s="63" t="s">
        <v>46</v>
      </c>
      <c r="H28" s="64"/>
      <c r="I28" s="64" t="s">
        <v>47</v>
      </c>
      <c r="J28" s="65">
        <v>100</v>
      </c>
      <c r="K28" s="66">
        <f>2111</f>
        <v>2111</v>
      </c>
      <c r="L28" s="67" t="s">
        <v>77</v>
      </c>
      <c r="M28" s="66">
        <f>2116</f>
        <v>2116</v>
      </c>
      <c r="N28" s="67" t="s">
        <v>77</v>
      </c>
      <c r="O28" s="66">
        <f>2035</f>
        <v>2035</v>
      </c>
      <c r="P28" s="67" t="s">
        <v>92</v>
      </c>
      <c r="Q28" s="66">
        <f>2096</f>
        <v>2096</v>
      </c>
      <c r="R28" s="67" t="s">
        <v>872</v>
      </c>
      <c r="S28" s="68">
        <f>2077.39</f>
        <v>2077.39</v>
      </c>
      <c r="T28" s="65">
        <f>3205900</f>
        <v>3205900</v>
      </c>
      <c r="U28" s="65">
        <f>353800</f>
        <v>353800</v>
      </c>
      <c r="V28" s="65">
        <f>6653817770</f>
        <v>6653817770</v>
      </c>
      <c r="W28" s="65">
        <f>723773570</f>
        <v>723773570</v>
      </c>
      <c r="X28" s="69">
        <f>18</f>
        <v>18</v>
      </c>
    </row>
    <row r="29" spans="1:24">
      <c r="A29" s="60" t="s">
        <v>906</v>
      </c>
      <c r="B29" s="60" t="s">
        <v>122</v>
      </c>
      <c r="C29" s="60" t="s">
        <v>123</v>
      </c>
      <c r="D29" s="60" t="s">
        <v>124</v>
      </c>
      <c r="E29" s="61" t="s">
        <v>46</v>
      </c>
      <c r="F29" s="62" t="s">
        <v>46</v>
      </c>
      <c r="G29" s="63" t="s">
        <v>46</v>
      </c>
      <c r="H29" s="64"/>
      <c r="I29" s="64" t="s">
        <v>47</v>
      </c>
      <c r="J29" s="65">
        <v>1</v>
      </c>
      <c r="K29" s="66">
        <f>30050</f>
        <v>30050</v>
      </c>
      <c r="L29" s="67" t="s">
        <v>77</v>
      </c>
      <c r="M29" s="66">
        <f>30750</f>
        <v>30750</v>
      </c>
      <c r="N29" s="67" t="s">
        <v>860</v>
      </c>
      <c r="O29" s="66">
        <f>28410</f>
        <v>28410</v>
      </c>
      <c r="P29" s="67" t="s">
        <v>92</v>
      </c>
      <c r="Q29" s="66">
        <f>29940</f>
        <v>29940</v>
      </c>
      <c r="R29" s="67" t="s">
        <v>872</v>
      </c>
      <c r="S29" s="68">
        <f>29576.67</f>
        <v>29576.67</v>
      </c>
      <c r="T29" s="65">
        <f>938124</f>
        <v>938124</v>
      </c>
      <c r="U29" s="65">
        <f>398503</f>
        <v>398503</v>
      </c>
      <c r="V29" s="65">
        <f>27772866920</f>
        <v>27772866920</v>
      </c>
      <c r="W29" s="65">
        <f>11904183770</f>
        <v>11904183770</v>
      </c>
      <c r="X29" s="69">
        <f>18</f>
        <v>18</v>
      </c>
    </row>
    <row r="30" spans="1:24">
      <c r="A30" s="60" t="s">
        <v>906</v>
      </c>
      <c r="B30" s="60" t="s">
        <v>125</v>
      </c>
      <c r="C30" s="60" t="s">
        <v>126</v>
      </c>
      <c r="D30" s="60" t="s">
        <v>127</v>
      </c>
      <c r="E30" s="61" t="s">
        <v>46</v>
      </c>
      <c r="F30" s="62" t="s">
        <v>46</v>
      </c>
      <c r="G30" s="63" t="s">
        <v>46</v>
      </c>
      <c r="H30" s="64"/>
      <c r="I30" s="64" t="s">
        <v>47</v>
      </c>
      <c r="J30" s="65">
        <v>10</v>
      </c>
      <c r="K30" s="66">
        <f>2001</f>
        <v>2001</v>
      </c>
      <c r="L30" s="67" t="s">
        <v>77</v>
      </c>
      <c r="M30" s="66">
        <f>2036</f>
        <v>2036</v>
      </c>
      <c r="N30" s="67" t="s">
        <v>860</v>
      </c>
      <c r="O30" s="66">
        <f>1924</f>
        <v>1924</v>
      </c>
      <c r="P30" s="67" t="s">
        <v>92</v>
      </c>
      <c r="Q30" s="66">
        <f>2005</f>
        <v>2005</v>
      </c>
      <c r="R30" s="67" t="s">
        <v>872</v>
      </c>
      <c r="S30" s="68">
        <f>1988.17</f>
        <v>1988.17</v>
      </c>
      <c r="T30" s="65">
        <f>3598810</f>
        <v>3598810</v>
      </c>
      <c r="U30" s="65">
        <f>584090</f>
        <v>584090</v>
      </c>
      <c r="V30" s="65">
        <f>7083075670</f>
        <v>7083075670</v>
      </c>
      <c r="W30" s="65">
        <f>1147131770</f>
        <v>1147131770</v>
      </c>
      <c r="X30" s="69">
        <f>18</f>
        <v>18</v>
      </c>
    </row>
    <row r="31" spans="1:24">
      <c r="A31" s="60" t="s">
        <v>906</v>
      </c>
      <c r="B31" s="60" t="s">
        <v>128</v>
      </c>
      <c r="C31" s="60" t="s">
        <v>129</v>
      </c>
      <c r="D31" s="60" t="s">
        <v>130</v>
      </c>
      <c r="E31" s="61" t="s">
        <v>46</v>
      </c>
      <c r="F31" s="62" t="s">
        <v>46</v>
      </c>
      <c r="G31" s="63" t="s">
        <v>46</v>
      </c>
      <c r="H31" s="64"/>
      <c r="I31" s="64" t="s">
        <v>47</v>
      </c>
      <c r="J31" s="65">
        <v>1</v>
      </c>
      <c r="K31" s="66">
        <f>13350</f>
        <v>13350</v>
      </c>
      <c r="L31" s="67" t="s">
        <v>77</v>
      </c>
      <c r="M31" s="66">
        <f>13550</f>
        <v>13550</v>
      </c>
      <c r="N31" s="67" t="s">
        <v>872</v>
      </c>
      <c r="O31" s="66">
        <f>13240</f>
        <v>13240</v>
      </c>
      <c r="P31" s="67" t="s">
        <v>172</v>
      </c>
      <c r="Q31" s="66">
        <f>13450</f>
        <v>13450</v>
      </c>
      <c r="R31" s="67" t="s">
        <v>872</v>
      </c>
      <c r="S31" s="68">
        <f>13380</f>
        <v>13380</v>
      </c>
      <c r="T31" s="65">
        <f>8537</f>
        <v>8537</v>
      </c>
      <c r="U31" s="65">
        <f>7500</f>
        <v>7500</v>
      </c>
      <c r="V31" s="65">
        <f>114604670</f>
        <v>114604670</v>
      </c>
      <c r="W31" s="65">
        <f>100704750</f>
        <v>100704750</v>
      </c>
      <c r="X31" s="69">
        <f>18</f>
        <v>18</v>
      </c>
    </row>
    <row r="32" spans="1:24">
      <c r="A32" s="60" t="s">
        <v>906</v>
      </c>
      <c r="B32" s="60" t="s">
        <v>133</v>
      </c>
      <c r="C32" s="60" t="s">
        <v>134</v>
      </c>
      <c r="D32" s="60" t="s">
        <v>135</v>
      </c>
      <c r="E32" s="61" t="s">
        <v>46</v>
      </c>
      <c r="F32" s="62" t="s">
        <v>46</v>
      </c>
      <c r="G32" s="63" t="s">
        <v>46</v>
      </c>
      <c r="H32" s="64"/>
      <c r="I32" s="64" t="s">
        <v>47</v>
      </c>
      <c r="J32" s="65">
        <v>10</v>
      </c>
      <c r="K32" s="66">
        <f>1195</f>
        <v>1195</v>
      </c>
      <c r="L32" s="67" t="s">
        <v>77</v>
      </c>
      <c r="M32" s="66">
        <f>1292</f>
        <v>1292</v>
      </c>
      <c r="N32" s="67" t="s">
        <v>92</v>
      </c>
      <c r="O32" s="66">
        <f>1152</f>
        <v>1152</v>
      </c>
      <c r="P32" s="67" t="s">
        <v>88</v>
      </c>
      <c r="Q32" s="66">
        <f>1186</f>
        <v>1186</v>
      </c>
      <c r="R32" s="67" t="s">
        <v>872</v>
      </c>
      <c r="S32" s="68">
        <f>1207.67</f>
        <v>1207.67</v>
      </c>
      <c r="T32" s="65">
        <f>10427090</f>
        <v>10427090</v>
      </c>
      <c r="U32" s="65">
        <f>204730</f>
        <v>204730</v>
      </c>
      <c r="V32" s="65">
        <f>12724867340</f>
        <v>12724867340</v>
      </c>
      <c r="W32" s="65">
        <f>257807750</f>
        <v>257807750</v>
      </c>
      <c r="X32" s="69">
        <f>18</f>
        <v>18</v>
      </c>
    </row>
    <row r="33" spans="1:24">
      <c r="A33" s="60" t="s">
        <v>906</v>
      </c>
      <c r="B33" s="60" t="s">
        <v>136</v>
      </c>
      <c r="C33" s="60" t="s">
        <v>137</v>
      </c>
      <c r="D33" s="60" t="s">
        <v>138</v>
      </c>
      <c r="E33" s="61" t="s">
        <v>46</v>
      </c>
      <c r="F33" s="62" t="s">
        <v>46</v>
      </c>
      <c r="G33" s="63" t="s">
        <v>46</v>
      </c>
      <c r="H33" s="64"/>
      <c r="I33" s="64" t="s">
        <v>47</v>
      </c>
      <c r="J33" s="65">
        <v>1</v>
      </c>
      <c r="K33" s="66">
        <f>419</f>
        <v>419</v>
      </c>
      <c r="L33" s="67" t="s">
        <v>77</v>
      </c>
      <c r="M33" s="66">
        <f>467</f>
        <v>467</v>
      </c>
      <c r="N33" s="67" t="s">
        <v>92</v>
      </c>
      <c r="O33" s="66">
        <f>399</f>
        <v>399</v>
      </c>
      <c r="P33" s="67" t="s">
        <v>860</v>
      </c>
      <c r="Q33" s="66">
        <f>417</f>
        <v>417</v>
      </c>
      <c r="R33" s="67" t="s">
        <v>872</v>
      </c>
      <c r="S33" s="68">
        <f>429.83</f>
        <v>429.83</v>
      </c>
      <c r="T33" s="65">
        <f>1229318476</f>
        <v>1229318476</v>
      </c>
      <c r="U33" s="65">
        <f>3839984</f>
        <v>3839984</v>
      </c>
      <c r="V33" s="65">
        <f>531219845860</f>
        <v>531219845860</v>
      </c>
      <c r="W33" s="65">
        <f>1697857844</f>
        <v>1697857844</v>
      </c>
      <c r="X33" s="69">
        <f>18</f>
        <v>18</v>
      </c>
    </row>
    <row r="34" spans="1:24">
      <c r="A34" s="60" t="s">
        <v>906</v>
      </c>
      <c r="B34" s="60" t="s">
        <v>139</v>
      </c>
      <c r="C34" s="60" t="s">
        <v>140</v>
      </c>
      <c r="D34" s="60" t="s">
        <v>141</v>
      </c>
      <c r="E34" s="61" t="s">
        <v>46</v>
      </c>
      <c r="F34" s="62" t="s">
        <v>46</v>
      </c>
      <c r="G34" s="63" t="s">
        <v>46</v>
      </c>
      <c r="H34" s="64"/>
      <c r="I34" s="64" t="s">
        <v>47</v>
      </c>
      <c r="J34" s="65">
        <v>1</v>
      </c>
      <c r="K34" s="66">
        <f>29890</f>
        <v>29890</v>
      </c>
      <c r="L34" s="67" t="s">
        <v>77</v>
      </c>
      <c r="M34" s="66">
        <f>31300</f>
        <v>31300</v>
      </c>
      <c r="N34" s="67" t="s">
        <v>860</v>
      </c>
      <c r="O34" s="66">
        <f>26580</f>
        <v>26580</v>
      </c>
      <c r="P34" s="67" t="s">
        <v>92</v>
      </c>
      <c r="Q34" s="66">
        <f>29510</f>
        <v>29510</v>
      </c>
      <c r="R34" s="67" t="s">
        <v>872</v>
      </c>
      <c r="S34" s="68">
        <f>28828.89</f>
        <v>28828.89</v>
      </c>
      <c r="T34" s="65">
        <f>420401</f>
        <v>420401</v>
      </c>
      <c r="U34" s="65">
        <f>110</f>
        <v>110</v>
      </c>
      <c r="V34" s="65">
        <f>12033599210</f>
        <v>12033599210</v>
      </c>
      <c r="W34" s="65">
        <f>3170700</f>
        <v>3170700</v>
      </c>
      <c r="X34" s="69">
        <f>18</f>
        <v>18</v>
      </c>
    </row>
    <row r="35" spans="1:24">
      <c r="A35" s="60" t="s">
        <v>906</v>
      </c>
      <c r="B35" s="60" t="s">
        <v>142</v>
      </c>
      <c r="C35" s="60" t="s">
        <v>143</v>
      </c>
      <c r="D35" s="60" t="s">
        <v>144</v>
      </c>
      <c r="E35" s="61" t="s">
        <v>46</v>
      </c>
      <c r="F35" s="62" t="s">
        <v>46</v>
      </c>
      <c r="G35" s="63" t="s">
        <v>46</v>
      </c>
      <c r="H35" s="64"/>
      <c r="I35" s="64" t="s">
        <v>47</v>
      </c>
      <c r="J35" s="65">
        <v>10</v>
      </c>
      <c r="K35" s="66">
        <f>1020</f>
        <v>1020</v>
      </c>
      <c r="L35" s="67" t="s">
        <v>77</v>
      </c>
      <c r="M35" s="66">
        <f>1138</f>
        <v>1138</v>
      </c>
      <c r="N35" s="67" t="s">
        <v>92</v>
      </c>
      <c r="O35" s="66">
        <f>973</f>
        <v>973</v>
      </c>
      <c r="P35" s="67" t="s">
        <v>860</v>
      </c>
      <c r="Q35" s="66">
        <f>1019</f>
        <v>1019</v>
      </c>
      <c r="R35" s="67" t="s">
        <v>872</v>
      </c>
      <c r="S35" s="68">
        <f>1048.83</f>
        <v>1048.83</v>
      </c>
      <c r="T35" s="65">
        <f>222612430</f>
        <v>222612430</v>
      </c>
      <c r="U35" s="65">
        <f>161090</f>
        <v>161090</v>
      </c>
      <c r="V35" s="65">
        <f>235062899290</f>
        <v>235062899290</v>
      </c>
      <c r="W35" s="65">
        <f>162611150</f>
        <v>162611150</v>
      </c>
      <c r="X35" s="69">
        <f>18</f>
        <v>18</v>
      </c>
    </row>
    <row r="36" spans="1:24">
      <c r="A36" s="60" t="s">
        <v>906</v>
      </c>
      <c r="B36" s="60" t="s">
        <v>145</v>
      </c>
      <c r="C36" s="60" t="s">
        <v>146</v>
      </c>
      <c r="D36" s="60" t="s">
        <v>147</v>
      </c>
      <c r="E36" s="61" t="s">
        <v>46</v>
      </c>
      <c r="F36" s="62" t="s">
        <v>46</v>
      </c>
      <c r="G36" s="63" t="s">
        <v>46</v>
      </c>
      <c r="H36" s="64"/>
      <c r="I36" s="64" t="s">
        <v>47</v>
      </c>
      <c r="J36" s="65">
        <v>1</v>
      </c>
      <c r="K36" s="66">
        <f>17810</f>
        <v>17810</v>
      </c>
      <c r="L36" s="67" t="s">
        <v>77</v>
      </c>
      <c r="M36" s="66">
        <f>18100</f>
        <v>18100</v>
      </c>
      <c r="N36" s="67" t="s">
        <v>88</v>
      </c>
      <c r="O36" s="66">
        <f>17090</f>
        <v>17090</v>
      </c>
      <c r="P36" s="67" t="s">
        <v>92</v>
      </c>
      <c r="Q36" s="66">
        <f>17830</f>
        <v>17830</v>
      </c>
      <c r="R36" s="67" t="s">
        <v>872</v>
      </c>
      <c r="S36" s="68">
        <f>17664.44</f>
        <v>17664.439999999999</v>
      </c>
      <c r="T36" s="65">
        <f>19322</f>
        <v>19322</v>
      </c>
      <c r="U36" s="65" t="str">
        <f>"－"</f>
        <v>－</v>
      </c>
      <c r="V36" s="65">
        <f>337755210</f>
        <v>337755210</v>
      </c>
      <c r="W36" s="65" t="str">
        <f>"－"</f>
        <v>－</v>
      </c>
      <c r="X36" s="69">
        <f>18</f>
        <v>18</v>
      </c>
    </row>
    <row r="37" spans="1:24">
      <c r="A37" s="60" t="s">
        <v>906</v>
      </c>
      <c r="B37" s="60" t="s">
        <v>148</v>
      </c>
      <c r="C37" s="60" t="s">
        <v>149</v>
      </c>
      <c r="D37" s="60" t="s">
        <v>150</v>
      </c>
      <c r="E37" s="61" t="s">
        <v>46</v>
      </c>
      <c r="F37" s="62" t="s">
        <v>46</v>
      </c>
      <c r="G37" s="63" t="s">
        <v>46</v>
      </c>
      <c r="H37" s="64"/>
      <c r="I37" s="64" t="s">
        <v>47</v>
      </c>
      <c r="J37" s="65">
        <v>1</v>
      </c>
      <c r="K37" s="66">
        <f>24780</f>
        <v>24780</v>
      </c>
      <c r="L37" s="67" t="s">
        <v>77</v>
      </c>
      <c r="M37" s="66">
        <f>25920</f>
        <v>25920</v>
      </c>
      <c r="N37" s="67" t="s">
        <v>860</v>
      </c>
      <c r="O37" s="66">
        <f>22010</f>
        <v>22010</v>
      </c>
      <c r="P37" s="67" t="s">
        <v>92</v>
      </c>
      <c r="Q37" s="66">
        <f>24400</f>
        <v>24400</v>
      </c>
      <c r="R37" s="67" t="s">
        <v>872</v>
      </c>
      <c r="S37" s="68">
        <f>23868.33</f>
        <v>23868.33</v>
      </c>
      <c r="T37" s="65">
        <f>849734</f>
        <v>849734</v>
      </c>
      <c r="U37" s="65">
        <f>94</f>
        <v>94</v>
      </c>
      <c r="V37" s="65">
        <f>20150934880</f>
        <v>20150934880</v>
      </c>
      <c r="W37" s="65">
        <f>2214520</f>
        <v>2214520</v>
      </c>
      <c r="X37" s="69">
        <f>18</f>
        <v>18</v>
      </c>
    </row>
    <row r="38" spans="1:24">
      <c r="A38" s="60" t="s">
        <v>906</v>
      </c>
      <c r="B38" s="60" t="s">
        <v>151</v>
      </c>
      <c r="C38" s="60" t="s">
        <v>152</v>
      </c>
      <c r="D38" s="60" t="s">
        <v>153</v>
      </c>
      <c r="E38" s="61" t="s">
        <v>46</v>
      </c>
      <c r="F38" s="62" t="s">
        <v>46</v>
      </c>
      <c r="G38" s="63" t="s">
        <v>46</v>
      </c>
      <c r="H38" s="64"/>
      <c r="I38" s="64" t="s">
        <v>47</v>
      </c>
      <c r="J38" s="65">
        <v>1</v>
      </c>
      <c r="K38" s="66">
        <f>1090</f>
        <v>1090</v>
      </c>
      <c r="L38" s="67" t="s">
        <v>77</v>
      </c>
      <c r="M38" s="66">
        <f>1218</f>
        <v>1218</v>
      </c>
      <c r="N38" s="67" t="s">
        <v>92</v>
      </c>
      <c r="O38" s="66">
        <f>1042</f>
        <v>1042</v>
      </c>
      <c r="P38" s="67" t="s">
        <v>860</v>
      </c>
      <c r="Q38" s="66">
        <f>1089</f>
        <v>1089</v>
      </c>
      <c r="R38" s="67" t="s">
        <v>872</v>
      </c>
      <c r="S38" s="68">
        <f>1122.78</f>
        <v>1122.78</v>
      </c>
      <c r="T38" s="65">
        <f>10085979</f>
        <v>10085979</v>
      </c>
      <c r="U38" s="65">
        <f>3314</f>
        <v>3314</v>
      </c>
      <c r="V38" s="65">
        <f>11406217757</f>
        <v>11406217757</v>
      </c>
      <c r="W38" s="65">
        <f>3777156</f>
        <v>3777156</v>
      </c>
      <c r="X38" s="69">
        <f>18</f>
        <v>18</v>
      </c>
    </row>
    <row r="39" spans="1:24">
      <c r="A39" s="60" t="s">
        <v>906</v>
      </c>
      <c r="B39" s="60" t="s">
        <v>154</v>
      </c>
      <c r="C39" s="60" t="s">
        <v>155</v>
      </c>
      <c r="D39" s="60" t="s">
        <v>156</v>
      </c>
      <c r="E39" s="61" t="s">
        <v>46</v>
      </c>
      <c r="F39" s="62" t="s">
        <v>46</v>
      </c>
      <c r="G39" s="63" t="s">
        <v>46</v>
      </c>
      <c r="H39" s="64"/>
      <c r="I39" s="64" t="s">
        <v>47</v>
      </c>
      <c r="J39" s="65">
        <v>1</v>
      </c>
      <c r="K39" s="66">
        <f>18140</f>
        <v>18140</v>
      </c>
      <c r="L39" s="67" t="s">
        <v>77</v>
      </c>
      <c r="M39" s="66">
        <f>18810</f>
        <v>18810</v>
      </c>
      <c r="N39" s="67" t="s">
        <v>860</v>
      </c>
      <c r="O39" s="66">
        <f>16720</f>
        <v>16720</v>
      </c>
      <c r="P39" s="67" t="s">
        <v>92</v>
      </c>
      <c r="Q39" s="66">
        <f>18160</f>
        <v>18160</v>
      </c>
      <c r="R39" s="67" t="s">
        <v>872</v>
      </c>
      <c r="S39" s="68">
        <f>17898.89</f>
        <v>17898.89</v>
      </c>
      <c r="T39" s="65">
        <f>339598</f>
        <v>339598</v>
      </c>
      <c r="U39" s="65">
        <f>158</f>
        <v>158</v>
      </c>
      <c r="V39" s="65">
        <f>6038566790</f>
        <v>6038566790</v>
      </c>
      <c r="W39" s="65">
        <f>2802170</f>
        <v>2802170</v>
      </c>
      <c r="X39" s="69">
        <f>18</f>
        <v>18</v>
      </c>
    </row>
    <row r="40" spans="1:24">
      <c r="A40" s="60" t="s">
        <v>906</v>
      </c>
      <c r="B40" s="60" t="s">
        <v>157</v>
      </c>
      <c r="C40" s="60" t="s">
        <v>158</v>
      </c>
      <c r="D40" s="60" t="s">
        <v>159</v>
      </c>
      <c r="E40" s="61" t="s">
        <v>46</v>
      </c>
      <c r="F40" s="62" t="s">
        <v>46</v>
      </c>
      <c r="G40" s="63" t="s">
        <v>46</v>
      </c>
      <c r="H40" s="64"/>
      <c r="I40" s="64" t="s">
        <v>47</v>
      </c>
      <c r="J40" s="65">
        <v>1</v>
      </c>
      <c r="K40" s="66">
        <f>1734</f>
        <v>1734</v>
      </c>
      <c r="L40" s="67" t="s">
        <v>77</v>
      </c>
      <c r="M40" s="66">
        <f>1875</f>
        <v>1875</v>
      </c>
      <c r="N40" s="67" t="s">
        <v>92</v>
      </c>
      <c r="O40" s="66">
        <f>1673</f>
        <v>1673</v>
      </c>
      <c r="P40" s="67" t="s">
        <v>88</v>
      </c>
      <c r="Q40" s="66">
        <f>1718</f>
        <v>1718</v>
      </c>
      <c r="R40" s="67" t="s">
        <v>872</v>
      </c>
      <c r="S40" s="68">
        <f>1752.83</f>
        <v>1752.83</v>
      </c>
      <c r="T40" s="65">
        <f>2691733</f>
        <v>2691733</v>
      </c>
      <c r="U40" s="65">
        <f>3123</f>
        <v>3123</v>
      </c>
      <c r="V40" s="65">
        <f>4746505411</f>
        <v>4746505411</v>
      </c>
      <c r="W40" s="65">
        <f>5394292</f>
        <v>5394292</v>
      </c>
      <c r="X40" s="69">
        <f>18</f>
        <v>18</v>
      </c>
    </row>
    <row r="41" spans="1:24">
      <c r="A41" s="60" t="s">
        <v>906</v>
      </c>
      <c r="B41" s="60" t="s">
        <v>160</v>
      </c>
      <c r="C41" s="60" t="s">
        <v>161</v>
      </c>
      <c r="D41" s="60" t="s">
        <v>162</v>
      </c>
      <c r="E41" s="61" t="s">
        <v>46</v>
      </c>
      <c r="F41" s="62" t="s">
        <v>46</v>
      </c>
      <c r="G41" s="63" t="s">
        <v>46</v>
      </c>
      <c r="H41" s="64"/>
      <c r="I41" s="64" t="s">
        <v>47</v>
      </c>
      <c r="J41" s="65">
        <v>1</v>
      </c>
      <c r="K41" s="66">
        <f>29210</f>
        <v>29210</v>
      </c>
      <c r="L41" s="67" t="s">
        <v>77</v>
      </c>
      <c r="M41" s="66">
        <f>29890</f>
        <v>29890</v>
      </c>
      <c r="N41" s="67" t="s">
        <v>860</v>
      </c>
      <c r="O41" s="66">
        <f>27600</f>
        <v>27600</v>
      </c>
      <c r="P41" s="67" t="s">
        <v>92</v>
      </c>
      <c r="Q41" s="66">
        <f>29070</f>
        <v>29070</v>
      </c>
      <c r="R41" s="67" t="s">
        <v>872</v>
      </c>
      <c r="S41" s="68">
        <f>28725.56</f>
        <v>28725.56</v>
      </c>
      <c r="T41" s="65">
        <f>330761</f>
        <v>330761</v>
      </c>
      <c r="U41" s="65">
        <f>107042</f>
        <v>107042</v>
      </c>
      <c r="V41" s="65">
        <f>9448400200</f>
        <v>9448400200</v>
      </c>
      <c r="W41" s="65">
        <f>3061157320</f>
        <v>3061157320</v>
      </c>
      <c r="X41" s="69">
        <f>18</f>
        <v>18</v>
      </c>
    </row>
    <row r="42" spans="1:24">
      <c r="A42" s="60" t="s">
        <v>906</v>
      </c>
      <c r="B42" s="60" t="s">
        <v>163</v>
      </c>
      <c r="C42" s="60" t="s">
        <v>164</v>
      </c>
      <c r="D42" s="60" t="s">
        <v>165</v>
      </c>
      <c r="E42" s="61" t="s">
        <v>46</v>
      </c>
      <c r="F42" s="62" t="s">
        <v>46</v>
      </c>
      <c r="G42" s="63" t="s">
        <v>46</v>
      </c>
      <c r="H42" s="64"/>
      <c r="I42" s="64" t="s">
        <v>47</v>
      </c>
      <c r="J42" s="65">
        <v>1</v>
      </c>
      <c r="K42" s="66">
        <f>5380</f>
        <v>5380</v>
      </c>
      <c r="L42" s="67" t="s">
        <v>77</v>
      </c>
      <c r="M42" s="66">
        <f>5610</f>
        <v>5610</v>
      </c>
      <c r="N42" s="67" t="s">
        <v>872</v>
      </c>
      <c r="O42" s="66">
        <f>5240</f>
        <v>5240</v>
      </c>
      <c r="P42" s="67" t="s">
        <v>131</v>
      </c>
      <c r="Q42" s="66">
        <f>5590</f>
        <v>5590</v>
      </c>
      <c r="R42" s="67" t="s">
        <v>872</v>
      </c>
      <c r="S42" s="68">
        <f>5430</f>
        <v>5430</v>
      </c>
      <c r="T42" s="65">
        <f>6548</f>
        <v>6548</v>
      </c>
      <c r="U42" s="65" t="str">
        <f t="shared" ref="U42:U51" si="0">"－"</f>
        <v>－</v>
      </c>
      <c r="V42" s="65">
        <f>35654950</f>
        <v>35654950</v>
      </c>
      <c r="W42" s="65" t="str">
        <f t="shared" ref="W42:W51" si="1">"－"</f>
        <v>－</v>
      </c>
      <c r="X42" s="69">
        <f>18</f>
        <v>18</v>
      </c>
    </row>
    <row r="43" spans="1:24">
      <c r="A43" s="60" t="s">
        <v>906</v>
      </c>
      <c r="B43" s="60" t="s">
        <v>166</v>
      </c>
      <c r="C43" s="60" t="s">
        <v>167</v>
      </c>
      <c r="D43" s="60" t="s">
        <v>168</v>
      </c>
      <c r="E43" s="61" t="s">
        <v>46</v>
      </c>
      <c r="F43" s="62" t="s">
        <v>46</v>
      </c>
      <c r="G43" s="63" t="s">
        <v>46</v>
      </c>
      <c r="H43" s="64"/>
      <c r="I43" s="64" t="s">
        <v>47</v>
      </c>
      <c r="J43" s="65">
        <v>1</v>
      </c>
      <c r="K43" s="66">
        <f>9500</f>
        <v>9500</v>
      </c>
      <c r="L43" s="67" t="s">
        <v>77</v>
      </c>
      <c r="M43" s="66">
        <f>9910</f>
        <v>9910</v>
      </c>
      <c r="N43" s="67" t="s">
        <v>872</v>
      </c>
      <c r="O43" s="66">
        <f>9400</f>
        <v>9400</v>
      </c>
      <c r="P43" s="67" t="s">
        <v>92</v>
      </c>
      <c r="Q43" s="66">
        <f>9780</f>
        <v>9780</v>
      </c>
      <c r="R43" s="67" t="s">
        <v>872</v>
      </c>
      <c r="S43" s="68">
        <f>9651.11</f>
        <v>9651.11</v>
      </c>
      <c r="T43" s="65">
        <f>2735</f>
        <v>2735</v>
      </c>
      <c r="U43" s="65" t="str">
        <f t="shared" si="0"/>
        <v>－</v>
      </c>
      <c r="V43" s="65">
        <f>26501530</f>
        <v>26501530</v>
      </c>
      <c r="W43" s="65" t="str">
        <f t="shared" si="1"/>
        <v>－</v>
      </c>
      <c r="X43" s="69">
        <f>18</f>
        <v>18</v>
      </c>
    </row>
    <row r="44" spans="1:24">
      <c r="A44" s="60" t="s">
        <v>906</v>
      </c>
      <c r="B44" s="60" t="s">
        <v>169</v>
      </c>
      <c r="C44" s="60" t="s">
        <v>170</v>
      </c>
      <c r="D44" s="60" t="s">
        <v>171</v>
      </c>
      <c r="E44" s="61" t="s">
        <v>46</v>
      </c>
      <c r="F44" s="62" t="s">
        <v>46</v>
      </c>
      <c r="G44" s="63" t="s">
        <v>46</v>
      </c>
      <c r="H44" s="64"/>
      <c r="I44" s="64" t="s">
        <v>47</v>
      </c>
      <c r="J44" s="65">
        <v>1</v>
      </c>
      <c r="K44" s="66">
        <f>18970</f>
        <v>18970</v>
      </c>
      <c r="L44" s="67" t="s">
        <v>77</v>
      </c>
      <c r="M44" s="66">
        <f>19780</f>
        <v>19780</v>
      </c>
      <c r="N44" s="67" t="s">
        <v>872</v>
      </c>
      <c r="O44" s="66">
        <f>18540</f>
        <v>18540</v>
      </c>
      <c r="P44" s="67" t="s">
        <v>49</v>
      </c>
      <c r="Q44" s="66">
        <f>19300</f>
        <v>19300</v>
      </c>
      <c r="R44" s="67" t="s">
        <v>872</v>
      </c>
      <c r="S44" s="68">
        <f>19149.29</f>
        <v>19149.29</v>
      </c>
      <c r="T44" s="65">
        <f>572</f>
        <v>572</v>
      </c>
      <c r="U44" s="65" t="str">
        <f t="shared" si="0"/>
        <v>－</v>
      </c>
      <c r="V44" s="65">
        <f>10933760</f>
        <v>10933760</v>
      </c>
      <c r="W44" s="65" t="str">
        <f t="shared" si="1"/>
        <v>－</v>
      </c>
      <c r="X44" s="69">
        <f>14</f>
        <v>14</v>
      </c>
    </row>
    <row r="45" spans="1:24">
      <c r="A45" s="60" t="s">
        <v>906</v>
      </c>
      <c r="B45" s="60" t="s">
        <v>173</v>
      </c>
      <c r="C45" s="60" t="s">
        <v>174</v>
      </c>
      <c r="D45" s="60" t="s">
        <v>175</v>
      </c>
      <c r="E45" s="61" t="s">
        <v>46</v>
      </c>
      <c r="F45" s="62" t="s">
        <v>46</v>
      </c>
      <c r="G45" s="63" t="s">
        <v>46</v>
      </c>
      <c r="H45" s="64"/>
      <c r="I45" s="64" t="s">
        <v>47</v>
      </c>
      <c r="J45" s="65">
        <v>1</v>
      </c>
      <c r="K45" s="66">
        <f>16250</f>
        <v>16250</v>
      </c>
      <c r="L45" s="67" t="s">
        <v>77</v>
      </c>
      <c r="M45" s="66">
        <f>17220</f>
        <v>17220</v>
      </c>
      <c r="N45" s="67" t="s">
        <v>176</v>
      </c>
      <c r="O45" s="66">
        <f>16070</f>
        <v>16070</v>
      </c>
      <c r="P45" s="67" t="s">
        <v>77</v>
      </c>
      <c r="Q45" s="66">
        <f>17030</f>
        <v>17030</v>
      </c>
      <c r="R45" s="67" t="s">
        <v>872</v>
      </c>
      <c r="S45" s="68">
        <f>16516.15</f>
        <v>16516.150000000001</v>
      </c>
      <c r="T45" s="65">
        <f>128</f>
        <v>128</v>
      </c>
      <c r="U45" s="65" t="str">
        <f t="shared" si="0"/>
        <v>－</v>
      </c>
      <c r="V45" s="65">
        <f>2140360</f>
        <v>2140360</v>
      </c>
      <c r="W45" s="65" t="str">
        <f t="shared" si="1"/>
        <v>－</v>
      </c>
      <c r="X45" s="69">
        <f>13</f>
        <v>13</v>
      </c>
    </row>
    <row r="46" spans="1:24">
      <c r="A46" s="60" t="s">
        <v>906</v>
      </c>
      <c r="B46" s="60" t="s">
        <v>177</v>
      </c>
      <c r="C46" s="60" t="s">
        <v>178</v>
      </c>
      <c r="D46" s="60" t="s">
        <v>179</v>
      </c>
      <c r="E46" s="61" t="s">
        <v>46</v>
      </c>
      <c r="F46" s="62" t="s">
        <v>46</v>
      </c>
      <c r="G46" s="63" t="s">
        <v>46</v>
      </c>
      <c r="H46" s="64"/>
      <c r="I46" s="64" t="s">
        <v>47</v>
      </c>
      <c r="J46" s="65">
        <v>1</v>
      </c>
      <c r="K46" s="66">
        <f>10000</f>
        <v>10000</v>
      </c>
      <c r="L46" s="67" t="s">
        <v>77</v>
      </c>
      <c r="M46" s="66">
        <f>10360</f>
        <v>10360</v>
      </c>
      <c r="N46" s="67" t="s">
        <v>860</v>
      </c>
      <c r="O46" s="66">
        <f>9830</f>
        <v>9830</v>
      </c>
      <c r="P46" s="67" t="s">
        <v>77</v>
      </c>
      <c r="Q46" s="66">
        <f>10170</f>
        <v>10170</v>
      </c>
      <c r="R46" s="67" t="s">
        <v>872</v>
      </c>
      <c r="S46" s="68">
        <f>10097.22</f>
        <v>10097.219999999999</v>
      </c>
      <c r="T46" s="65">
        <f>4954</f>
        <v>4954</v>
      </c>
      <c r="U46" s="65" t="str">
        <f t="shared" si="0"/>
        <v>－</v>
      </c>
      <c r="V46" s="65">
        <f>50168860</f>
        <v>50168860</v>
      </c>
      <c r="W46" s="65" t="str">
        <f t="shared" si="1"/>
        <v>－</v>
      </c>
      <c r="X46" s="69">
        <f>18</f>
        <v>18</v>
      </c>
    </row>
    <row r="47" spans="1:24">
      <c r="A47" s="60" t="s">
        <v>906</v>
      </c>
      <c r="B47" s="60" t="s">
        <v>180</v>
      </c>
      <c r="C47" s="60" t="s">
        <v>181</v>
      </c>
      <c r="D47" s="60" t="s">
        <v>182</v>
      </c>
      <c r="E47" s="61" t="s">
        <v>46</v>
      </c>
      <c r="F47" s="62" t="s">
        <v>46</v>
      </c>
      <c r="G47" s="63" t="s">
        <v>46</v>
      </c>
      <c r="H47" s="64"/>
      <c r="I47" s="64" t="s">
        <v>47</v>
      </c>
      <c r="J47" s="65">
        <v>1</v>
      </c>
      <c r="K47" s="66">
        <f>5500</f>
        <v>5500</v>
      </c>
      <c r="L47" s="67" t="s">
        <v>77</v>
      </c>
      <c r="M47" s="66">
        <f>5720</f>
        <v>5720</v>
      </c>
      <c r="N47" s="67" t="s">
        <v>872</v>
      </c>
      <c r="O47" s="66">
        <f>5360</f>
        <v>5360</v>
      </c>
      <c r="P47" s="67" t="s">
        <v>49</v>
      </c>
      <c r="Q47" s="66">
        <f>5580</f>
        <v>5580</v>
      </c>
      <c r="R47" s="67" t="s">
        <v>872</v>
      </c>
      <c r="S47" s="68">
        <f>5492.22</f>
        <v>5492.22</v>
      </c>
      <c r="T47" s="65">
        <f>3040</f>
        <v>3040</v>
      </c>
      <c r="U47" s="65" t="str">
        <f t="shared" si="0"/>
        <v>－</v>
      </c>
      <c r="V47" s="65">
        <f>16709200</f>
        <v>16709200</v>
      </c>
      <c r="W47" s="65" t="str">
        <f t="shared" si="1"/>
        <v>－</v>
      </c>
      <c r="X47" s="69">
        <f>18</f>
        <v>18</v>
      </c>
    </row>
    <row r="48" spans="1:24">
      <c r="A48" s="60" t="s">
        <v>906</v>
      </c>
      <c r="B48" s="60" t="s">
        <v>183</v>
      </c>
      <c r="C48" s="60" t="s">
        <v>184</v>
      </c>
      <c r="D48" s="60" t="s">
        <v>185</v>
      </c>
      <c r="E48" s="61" t="s">
        <v>46</v>
      </c>
      <c r="F48" s="62" t="s">
        <v>46</v>
      </c>
      <c r="G48" s="63" t="s">
        <v>46</v>
      </c>
      <c r="H48" s="64"/>
      <c r="I48" s="64" t="s">
        <v>47</v>
      </c>
      <c r="J48" s="65">
        <v>1</v>
      </c>
      <c r="K48" s="66">
        <f>2651</f>
        <v>2651</v>
      </c>
      <c r="L48" s="67" t="s">
        <v>77</v>
      </c>
      <c r="M48" s="66">
        <f>2762</f>
        <v>2762</v>
      </c>
      <c r="N48" s="67" t="s">
        <v>872</v>
      </c>
      <c r="O48" s="66">
        <f>2559</f>
        <v>2559</v>
      </c>
      <c r="P48" s="67" t="s">
        <v>131</v>
      </c>
      <c r="Q48" s="66">
        <f>2744</f>
        <v>2744</v>
      </c>
      <c r="R48" s="67" t="s">
        <v>872</v>
      </c>
      <c r="S48" s="68">
        <f>2651.22</f>
        <v>2651.22</v>
      </c>
      <c r="T48" s="65">
        <f>6459</f>
        <v>6459</v>
      </c>
      <c r="U48" s="65" t="str">
        <f t="shared" si="0"/>
        <v>－</v>
      </c>
      <c r="V48" s="65">
        <f>17061791</f>
        <v>17061791</v>
      </c>
      <c r="W48" s="65" t="str">
        <f t="shared" si="1"/>
        <v>－</v>
      </c>
      <c r="X48" s="69">
        <f>18</f>
        <v>18</v>
      </c>
    </row>
    <row r="49" spans="1:24">
      <c r="A49" s="60" t="s">
        <v>906</v>
      </c>
      <c r="B49" s="60" t="s">
        <v>186</v>
      </c>
      <c r="C49" s="60" t="s">
        <v>187</v>
      </c>
      <c r="D49" s="60" t="s">
        <v>188</v>
      </c>
      <c r="E49" s="61" t="s">
        <v>46</v>
      </c>
      <c r="F49" s="62" t="s">
        <v>46</v>
      </c>
      <c r="G49" s="63" t="s">
        <v>46</v>
      </c>
      <c r="H49" s="64"/>
      <c r="I49" s="64" t="s">
        <v>47</v>
      </c>
      <c r="J49" s="65">
        <v>1</v>
      </c>
      <c r="K49" s="66">
        <f>2642</f>
        <v>2642</v>
      </c>
      <c r="L49" s="67" t="s">
        <v>77</v>
      </c>
      <c r="M49" s="66">
        <f>2748</f>
        <v>2748</v>
      </c>
      <c r="N49" s="67" t="s">
        <v>613</v>
      </c>
      <c r="O49" s="66">
        <f>2636</f>
        <v>2636</v>
      </c>
      <c r="P49" s="67" t="s">
        <v>131</v>
      </c>
      <c r="Q49" s="66">
        <f>2736</f>
        <v>2736</v>
      </c>
      <c r="R49" s="67" t="s">
        <v>872</v>
      </c>
      <c r="S49" s="68">
        <f>2704.22</f>
        <v>2704.22</v>
      </c>
      <c r="T49" s="65">
        <f>11205</f>
        <v>11205</v>
      </c>
      <c r="U49" s="65" t="str">
        <f t="shared" si="0"/>
        <v>－</v>
      </c>
      <c r="V49" s="65">
        <f>30296659</f>
        <v>30296659</v>
      </c>
      <c r="W49" s="65" t="str">
        <f t="shared" si="1"/>
        <v>－</v>
      </c>
      <c r="X49" s="69">
        <f>18</f>
        <v>18</v>
      </c>
    </row>
    <row r="50" spans="1:24">
      <c r="A50" s="60" t="s">
        <v>906</v>
      </c>
      <c r="B50" s="60" t="s">
        <v>189</v>
      </c>
      <c r="C50" s="60" t="s">
        <v>190</v>
      </c>
      <c r="D50" s="60" t="s">
        <v>191</v>
      </c>
      <c r="E50" s="61" t="s">
        <v>46</v>
      </c>
      <c r="F50" s="62" t="s">
        <v>46</v>
      </c>
      <c r="G50" s="63" t="s">
        <v>46</v>
      </c>
      <c r="H50" s="64"/>
      <c r="I50" s="64" t="s">
        <v>47</v>
      </c>
      <c r="J50" s="65">
        <v>1</v>
      </c>
      <c r="K50" s="66">
        <f>45850</f>
        <v>45850</v>
      </c>
      <c r="L50" s="67" t="s">
        <v>77</v>
      </c>
      <c r="M50" s="66">
        <f>46300</f>
        <v>46300</v>
      </c>
      <c r="N50" s="67" t="s">
        <v>860</v>
      </c>
      <c r="O50" s="66">
        <f>44000</f>
        <v>44000</v>
      </c>
      <c r="P50" s="67" t="s">
        <v>92</v>
      </c>
      <c r="Q50" s="66">
        <f>45850</f>
        <v>45850</v>
      </c>
      <c r="R50" s="67" t="s">
        <v>872</v>
      </c>
      <c r="S50" s="68">
        <f>45036.11</f>
        <v>45036.11</v>
      </c>
      <c r="T50" s="65">
        <f>971</f>
        <v>971</v>
      </c>
      <c r="U50" s="65" t="str">
        <f t="shared" si="0"/>
        <v>－</v>
      </c>
      <c r="V50" s="65">
        <f>43882800</f>
        <v>43882800</v>
      </c>
      <c r="W50" s="65" t="str">
        <f t="shared" si="1"/>
        <v>－</v>
      </c>
      <c r="X50" s="69">
        <f>18</f>
        <v>18</v>
      </c>
    </row>
    <row r="51" spans="1:24">
      <c r="A51" s="60" t="s">
        <v>906</v>
      </c>
      <c r="B51" s="60" t="s">
        <v>192</v>
      </c>
      <c r="C51" s="60" t="s">
        <v>193</v>
      </c>
      <c r="D51" s="60" t="s">
        <v>194</v>
      </c>
      <c r="E51" s="61" t="s">
        <v>46</v>
      </c>
      <c r="F51" s="62" t="s">
        <v>46</v>
      </c>
      <c r="G51" s="63" t="s">
        <v>46</v>
      </c>
      <c r="H51" s="64"/>
      <c r="I51" s="64" t="s">
        <v>47</v>
      </c>
      <c r="J51" s="65">
        <v>1</v>
      </c>
      <c r="K51" s="66">
        <f>32850</f>
        <v>32850</v>
      </c>
      <c r="L51" s="67" t="s">
        <v>77</v>
      </c>
      <c r="M51" s="66">
        <f>33600</f>
        <v>33600</v>
      </c>
      <c r="N51" s="67" t="s">
        <v>88</v>
      </c>
      <c r="O51" s="66">
        <f>32000</f>
        <v>32000</v>
      </c>
      <c r="P51" s="67" t="s">
        <v>92</v>
      </c>
      <c r="Q51" s="66">
        <f>33350</f>
        <v>33350</v>
      </c>
      <c r="R51" s="67" t="s">
        <v>872</v>
      </c>
      <c r="S51" s="68">
        <f>32732.14</f>
        <v>32732.14</v>
      </c>
      <c r="T51" s="65">
        <f>287</f>
        <v>287</v>
      </c>
      <c r="U51" s="65" t="str">
        <f t="shared" si="0"/>
        <v>－</v>
      </c>
      <c r="V51" s="65">
        <f>9406150</f>
        <v>9406150</v>
      </c>
      <c r="W51" s="65" t="str">
        <f t="shared" si="1"/>
        <v>－</v>
      </c>
      <c r="X51" s="69">
        <f>14</f>
        <v>14</v>
      </c>
    </row>
    <row r="52" spans="1:24">
      <c r="A52" s="60" t="s">
        <v>906</v>
      </c>
      <c r="B52" s="60" t="s">
        <v>195</v>
      </c>
      <c r="C52" s="60" t="s">
        <v>196</v>
      </c>
      <c r="D52" s="60" t="s">
        <v>197</v>
      </c>
      <c r="E52" s="61" t="s">
        <v>46</v>
      </c>
      <c r="F52" s="62" t="s">
        <v>46</v>
      </c>
      <c r="G52" s="63" t="s">
        <v>46</v>
      </c>
      <c r="H52" s="64"/>
      <c r="I52" s="64" t="s">
        <v>47</v>
      </c>
      <c r="J52" s="65">
        <v>1</v>
      </c>
      <c r="K52" s="66">
        <f>29240</f>
        <v>29240</v>
      </c>
      <c r="L52" s="67" t="s">
        <v>77</v>
      </c>
      <c r="M52" s="66">
        <f>29860</f>
        <v>29860</v>
      </c>
      <c r="N52" s="67" t="s">
        <v>860</v>
      </c>
      <c r="O52" s="66">
        <f>27670</f>
        <v>27670</v>
      </c>
      <c r="P52" s="67" t="s">
        <v>92</v>
      </c>
      <c r="Q52" s="66">
        <f>29100</f>
        <v>29100</v>
      </c>
      <c r="R52" s="67" t="s">
        <v>872</v>
      </c>
      <c r="S52" s="68">
        <f>28765.33</f>
        <v>28765.33</v>
      </c>
      <c r="T52" s="65">
        <f>393101</f>
        <v>393101</v>
      </c>
      <c r="U52" s="65">
        <f>386000</f>
        <v>386000</v>
      </c>
      <c r="V52" s="65">
        <f>11183407800</f>
        <v>11183407800</v>
      </c>
      <c r="W52" s="65">
        <f>10976817900</f>
        <v>10976817900</v>
      </c>
      <c r="X52" s="69">
        <f>15</f>
        <v>15</v>
      </c>
    </row>
    <row r="53" spans="1:24">
      <c r="A53" s="60" t="s">
        <v>906</v>
      </c>
      <c r="B53" s="60" t="s">
        <v>198</v>
      </c>
      <c r="C53" s="60" t="s">
        <v>199</v>
      </c>
      <c r="D53" s="60" t="s">
        <v>200</v>
      </c>
      <c r="E53" s="61" t="s">
        <v>46</v>
      </c>
      <c r="F53" s="62" t="s">
        <v>46</v>
      </c>
      <c r="G53" s="63" t="s">
        <v>46</v>
      </c>
      <c r="H53" s="64"/>
      <c r="I53" s="64" t="s">
        <v>47</v>
      </c>
      <c r="J53" s="65">
        <v>10</v>
      </c>
      <c r="K53" s="66">
        <f>2144</f>
        <v>2144</v>
      </c>
      <c r="L53" s="67" t="s">
        <v>77</v>
      </c>
      <c r="M53" s="66">
        <f>2150</f>
        <v>2150</v>
      </c>
      <c r="N53" s="67" t="s">
        <v>88</v>
      </c>
      <c r="O53" s="66">
        <f>2056</f>
        <v>2056</v>
      </c>
      <c r="P53" s="67" t="s">
        <v>49</v>
      </c>
      <c r="Q53" s="66">
        <f>2117</f>
        <v>2117</v>
      </c>
      <c r="R53" s="67" t="s">
        <v>872</v>
      </c>
      <c r="S53" s="68">
        <f>2102</f>
        <v>2102</v>
      </c>
      <c r="T53" s="65">
        <f>539260</f>
        <v>539260</v>
      </c>
      <c r="U53" s="65">
        <f>228900</f>
        <v>228900</v>
      </c>
      <c r="V53" s="65">
        <f>1129463073</f>
        <v>1129463073</v>
      </c>
      <c r="W53" s="65">
        <f>478108783</f>
        <v>478108783</v>
      </c>
      <c r="X53" s="69">
        <f>18</f>
        <v>18</v>
      </c>
    </row>
    <row r="54" spans="1:24">
      <c r="A54" s="60" t="s">
        <v>906</v>
      </c>
      <c r="B54" s="60" t="s">
        <v>201</v>
      </c>
      <c r="C54" s="60" t="s">
        <v>202</v>
      </c>
      <c r="D54" s="60" t="s">
        <v>203</v>
      </c>
      <c r="E54" s="61" t="s">
        <v>46</v>
      </c>
      <c r="F54" s="62" t="s">
        <v>46</v>
      </c>
      <c r="G54" s="63" t="s">
        <v>46</v>
      </c>
      <c r="H54" s="64"/>
      <c r="I54" s="64" t="s">
        <v>47</v>
      </c>
      <c r="J54" s="65">
        <v>10</v>
      </c>
      <c r="K54" s="66">
        <f>1572</f>
        <v>1572</v>
      </c>
      <c r="L54" s="67" t="s">
        <v>77</v>
      </c>
      <c r="M54" s="66">
        <f>1606</f>
        <v>1606</v>
      </c>
      <c r="N54" s="67" t="s">
        <v>860</v>
      </c>
      <c r="O54" s="66">
        <f>1534</f>
        <v>1534</v>
      </c>
      <c r="P54" s="67" t="s">
        <v>92</v>
      </c>
      <c r="Q54" s="66">
        <f>1548</f>
        <v>1548</v>
      </c>
      <c r="R54" s="67" t="s">
        <v>872</v>
      </c>
      <c r="S54" s="68">
        <f>1564.67</f>
        <v>1564.67</v>
      </c>
      <c r="T54" s="65">
        <f>2390</f>
        <v>2390</v>
      </c>
      <c r="U54" s="65" t="str">
        <f>"－"</f>
        <v>－</v>
      </c>
      <c r="V54" s="65">
        <f>3774010</f>
        <v>3774010</v>
      </c>
      <c r="W54" s="65" t="str">
        <f>"－"</f>
        <v>－</v>
      </c>
      <c r="X54" s="69">
        <f>15</f>
        <v>15</v>
      </c>
    </row>
    <row r="55" spans="1:24">
      <c r="A55" s="60" t="s">
        <v>906</v>
      </c>
      <c r="B55" s="60" t="s">
        <v>204</v>
      </c>
      <c r="C55" s="60" t="s">
        <v>205</v>
      </c>
      <c r="D55" s="60" t="s">
        <v>206</v>
      </c>
      <c r="E55" s="61" t="s">
        <v>46</v>
      </c>
      <c r="F55" s="62" t="s">
        <v>46</v>
      </c>
      <c r="G55" s="63" t="s">
        <v>46</v>
      </c>
      <c r="H55" s="64"/>
      <c r="I55" s="64" t="s">
        <v>47</v>
      </c>
      <c r="J55" s="65">
        <v>1</v>
      </c>
      <c r="K55" s="66">
        <f>4360</f>
        <v>4360</v>
      </c>
      <c r="L55" s="67" t="s">
        <v>77</v>
      </c>
      <c r="M55" s="66">
        <f>4610</f>
        <v>4610</v>
      </c>
      <c r="N55" s="67" t="s">
        <v>92</v>
      </c>
      <c r="O55" s="66">
        <f>4265</f>
        <v>4265</v>
      </c>
      <c r="P55" s="67" t="s">
        <v>860</v>
      </c>
      <c r="Q55" s="66">
        <f>4365</f>
        <v>4365</v>
      </c>
      <c r="R55" s="67" t="s">
        <v>872</v>
      </c>
      <c r="S55" s="68">
        <f>4428.61</f>
        <v>4428.6099999999997</v>
      </c>
      <c r="T55" s="65">
        <f>1074249</f>
        <v>1074249</v>
      </c>
      <c r="U55" s="65">
        <f>591008</f>
        <v>591008</v>
      </c>
      <c r="V55" s="65">
        <f>4829329005</f>
        <v>4829329005</v>
      </c>
      <c r="W55" s="65">
        <f>2675978215</f>
        <v>2675978215</v>
      </c>
      <c r="X55" s="69">
        <f>18</f>
        <v>18</v>
      </c>
    </row>
    <row r="56" spans="1:24">
      <c r="A56" s="60" t="s">
        <v>906</v>
      </c>
      <c r="B56" s="60" t="s">
        <v>207</v>
      </c>
      <c r="C56" s="60" t="s">
        <v>208</v>
      </c>
      <c r="D56" s="60" t="s">
        <v>209</v>
      </c>
      <c r="E56" s="61" t="s">
        <v>46</v>
      </c>
      <c r="F56" s="62" t="s">
        <v>46</v>
      </c>
      <c r="G56" s="63" t="s">
        <v>46</v>
      </c>
      <c r="H56" s="64"/>
      <c r="I56" s="64" t="s">
        <v>47</v>
      </c>
      <c r="J56" s="65">
        <v>1</v>
      </c>
      <c r="K56" s="66">
        <f>5430</f>
        <v>5430</v>
      </c>
      <c r="L56" s="67" t="s">
        <v>77</v>
      </c>
      <c r="M56" s="66">
        <f>5640</f>
        <v>5640</v>
      </c>
      <c r="N56" s="67" t="s">
        <v>92</v>
      </c>
      <c r="O56" s="66">
        <f>5330</f>
        <v>5330</v>
      </c>
      <c r="P56" s="67" t="s">
        <v>88</v>
      </c>
      <c r="Q56" s="66">
        <f>5420</f>
        <v>5420</v>
      </c>
      <c r="R56" s="67" t="s">
        <v>872</v>
      </c>
      <c r="S56" s="68">
        <f>5463.33</f>
        <v>5463.33</v>
      </c>
      <c r="T56" s="65">
        <f>343841</f>
        <v>343841</v>
      </c>
      <c r="U56" s="65" t="str">
        <f>"－"</f>
        <v>－</v>
      </c>
      <c r="V56" s="65">
        <f>1881131270</f>
        <v>1881131270</v>
      </c>
      <c r="W56" s="65" t="str">
        <f>"－"</f>
        <v>－</v>
      </c>
      <c r="X56" s="69">
        <f>18</f>
        <v>18</v>
      </c>
    </row>
    <row r="57" spans="1:24">
      <c r="A57" s="60" t="s">
        <v>906</v>
      </c>
      <c r="B57" s="60" t="s">
        <v>210</v>
      </c>
      <c r="C57" s="60" t="s">
        <v>211</v>
      </c>
      <c r="D57" s="60" t="s">
        <v>212</v>
      </c>
      <c r="E57" s="61" t="s">
        <v>46</v>
      </c>
      <c r="F57" s="62" t="s">
        <v>46</v>
      </c>
      <c r="G57" s="63" t="s">
        <v>46</v>
      </c>
      <c r="H57" s="64"/>
      <c r="I57" s="64" t="s">
        <v>47</v>
      </c>
      <c r="J57" s="65">
        <v>1</v>
      </c>
      <c r="K57" s="66">
        <f>18810</f>
        <v>18810</v>
      </c>
      <c r="L57" s="67" t="s">
        <v>77</v>
      </c>
      <c r="M57" s="66">
        <f>19660</f>
        <v>19660</v>
      </c>
      <c r="N57" s="67" t="s">
        <v>860</v>
      </c>
      <c r="O57" s="66">
        <f>16690</f>
        <v>16690</v>
      </c>
      <c r="P57" s="67" t="s">
        <v>92</v>
      </c>
      <c r="Q57" s="66">
        <f>18510</f>
        <v>18510</v>
      </c>
      <c r="R57" s="67" t="s">
        <v>872</v>
      </c>
      <c r="S57" s="68">
        <f>18102.78</f>
        <v>18102.78</v>
      </c>
      <c r="T57" s="65">
        <f>18046776</f>
        <v>18046776</v>
      </c>
      <c r="U57" s="65">
        <f>419</f>
        <v>419</v>
      </c>
      <c r="V57" s="65">
        <f>325122526730</f>
        <v>325122526730</v>
      </c>
      <c r="W57" s="65">
        <f>7464520</f>
        <v>7464520</v>
      </c>
      <c r="X57" s="69">
        <f>18</f>
        <v>18</v>
      </c>
    </row>
    <row r="58" spans="1:24">
      <c r="A58" s="60" t="s">
        <v>906</v>
      </c>
      <c r="B58" s="60" t="s">
        <v>213</v>
      </c>
      <c r="C58" s="60" t="s">
        <v>214</v>
      </c>
      <c r="D58" s="60" t="s">
        <v>215</v>
      </c>
      <c r="E58" s="61" t="s">
        <v>46</v>
      </c>
      <c r="F58" s="62" t="s">
        <v>46</v>
      </c>
      <c r="G58" s="63" t="s">
        <v>46</v>
      </c>
      <c r="H58" s="64"/>
      <c r="I58" s="64" t="s">
        <v>47</v>
      </c>
      <c r="J58" s="65">
        <v>1</v>
      </c>
      <c r="K58" s="66">
        <f>1668</f>
        <v>1668</v>
      </c>
      <c r="L58" s="67" t="s">
        <v>77</v>
      </c>
      <c r="M58" s="66">
        <f>1860</f>
        <v>1860</v>
      </c>
      <c r="N58" s="67" t="s">
        <v>92</v>
      </c>
      <c r="O58" s="66">
        <f>1591</f>
        <v>1591</v>
      </c>
      <c r="P58" s="67" t="s">
        <v>860</v>
      </c>
      <c r="Q58" s="66">
        <f>1663</f>
        <v>1663</v>
      </c>
      <c r="R58" s="67" t="s">
        <v>872</v>
      </c>
      <c r="S58" s="68">
        <f>1714.11</f>
        <v>1714.11</v>
      </c>
      <c r="T58" s="65">
        <f>113854957</f>
        <v>113854957</v>
      </c>
      <c r="U58" s="65">
        <f>16217</f>
        <v>16217</v>
      </c>
      <c r="V58" s="65">
        <f>195110002599</f>
        <v>195110002599</v>
      </c>
      <c r="W58" s="65">
        <f>28380931</f>
        <v>28380931</v>
      </c>
      <c r="X58" s="69">
        <f>18</f>
        <v>18</v>
      </c>
    </row>
    <row r="59" spans="1:24">
      <c r="A59" s="60" t="s">
        <v>906</v>
      </c>
      <c r="B59" s="60" t="s">
        <v>216</v>
      </c>
      <c r="C59" s="60" t="s">
        <v>217</v>
      </c>
      <c r="D59" s="60" t="s">
        <v>218</v>
      </c>
      <c r="E59" s="61" t="s">
        <v>46</v>
      </c>
      <c r="F59" s="62" t="s">
        <v>46</v>
      </c>
      <c r="G59" s="63" t="s">
        <v>46</v>
      </c>
      <c r="H59" s="64"/>
      <c r="I59" s="64" t="s">
        <v>47</v>
      </c>
      <c r="J59" s="65">
        <v>1</v>
      </c>
      <c r="K59" s="66">
        <f>24480</f>
        <v>24480</v>
      </c>
      <c r="L59" s="67" t="s">
        <v>875</v>
      </c>
      <c r="M59" s="66">
        <f>24800</f>
        <v>24800</v>
      </c>
      <c r="N59" s="67" t="s">
        <v>131</v>
      </c>
      <c r="O59" s="66">
        <f>23740</f>
        <v>23740</v>
      </c>
      <c r="P59" s="67" t="s">
        <v>92</v>
      </c>
      <c r="Q59" s="66">
        <f>23990</f>
        <v>23990</v>
      </c>
      <c r="R59" s="67" t="s">
        <v>872</v>
      </c>
      <c r="S59" s="68">
        <f>24135.71</f>
        <v>24135.71</v>
      </c>
      <c r="T59" s="65">
        <f>55</f>
        <v>55</v>
      </c>
      <c r="U59" s="65" t="str">
        <f t="shared" ref="U59:U68" si="2">"－"</f>
        <v>－</v>
      </c>
      <c r="V59" s="65">
        <f>1329730</f>
        <v>1329730</v>
      </c>
      <c r="W59" s="65" t="str">
        <f t="shared" ref="W59:W68" si="3">"－"</f>
        <v>－</v>
      </c>
      <c r="X59" s="69">
        <f>7</f>
        <v>7</v>
      </c>
    </row>
    <row r="60" spans="1:24">
      <c r="A60" s="60" t="s">
        <v>906</v>
      </c>
      <c r="B60" s="60" t="s">
        <v>219</v>
      </c>
      <c r="C60" s="60" t="s">
        <v>220</v>
      </c>
      <c r="D60" s="60" t="s">
        <v>221</v>
      </c>
      <c r="E60" s="61" t="s">
        <v>46</v>
      </c>
      <c r="F60" s="62" t="s">
        <v>46</v>
      </c>
      <c r="G60" s="63" t="s">
        <v>46</v>
      </c>
      <c r="H60" s="64"/>
      <c r="I60" s="64" t="s">
        <v>47</v>
      </c>
      <c r="J60" s="65">
        <v>1</v>
      </c>
      <c r="K60" s="66">
        <f>14440</f>
        <v>14440</v>
      </c>
      <c r="L60" s="67" t="s">
        <v>77</v>
      </c>
      <c r="M60" s="66">
        <f>14940</f>
        <v>14940</v>
      </c>
      <c r="N60" s="67" t="s">
        <v>860</v>
      </c>
      <c r="O60" s="66">
        <f>13380</f>
        <v>13380</v>
      </c>
      <c r="P60" s="67" t="s">
        <v>92</v>
      </c>
      <c r="Q60" s="66">
        <f>14550</f>
        <v>14550</v>
      </c>
      <c r="R60" s="67" t="s">
        <v>872</v>
      </c>
      <c r="S60" s="68">
        <f>14297.22</f>
        <v>14297.22</v>
      </c>
      <c r="T60" s="65">
        <f>3315</f>
        <v>3315</v>
      </c>
      <c r="U60" s="65" t="str">
        <f t="shared" si="2"/>
        <v>－</v>
      </c>
      <c r="V60" s="65">
        <f>46911800</f>
        <v>46911800</v>
      </c>
      <c r="W60" s="65" t="str">
        <f t="shared" si="3"/>
        <v>－</v>
      </c>
      <c r="X60" s="69">
        <f>18</f>
        <v>18</v>
      </c>
    </row>
    <row r="61" spans="1:24">
      <c r="A61" s="60" t="s">
        <v>906</v>
      </c>
      <c r="B61" s="60" t="s">
        <v>222</v>
      </c>
      <c r="C61" s="60" t="s">
        <v>223</v>
      </c>
      <c r="D61" s="60" t="s">
        <v>224</v>
      </c>
      <c r="E61" s="61" t="s">
        <v>46</v>
      </c>
      <c r="F61" s="62" t="s">
        <v>46</v>
      </c>
      <c r="G61" s="63" t="s">
        <v>46</v>
      </c>
      <c r="H61" s="64"/>
      <c r="I61" s="64" t="s">
        <v>47</v>
      </c>
      <c r="J61" s="65">
        <v>1</v>
      </c>
      <c r="K61" s="66">
        <f>5280</f>
        <v>5280</v>
      </c>
      <c r="L61" s="67" t="s">
        <v>77</v>
      </c>
      <c r="M61" s="66">
        <f>5500</f>
        <v>5500</v>
      </c>
      <c r="N61" s="67" t="s">
        <v>92</v>
      </c>
      <c r="O61" s="66">
        <f>5200</f>
        <v>5200</v>
      </c>
      <c r="P61" s="67" t="s">
        <v>860</v>
      </c>
      <c r="Q61" s="66">
        <f>5200</f>
        <v>5200</v>
      </c>
      <c r="R61" s="67" t="s">
        <v>88</v>
      </c>
      <c r="S61" s="68">
        <f>5318</f>
        <v>5318</v>
      </c>
      <c r="T61" s="65">
        <f>681</f>
        <v>681</v>
      </c>
      <c r="U61" s="65" t="str">
        <f t="shared" si="2"/>
        <v>－</v>
      </c>
      <c r="V61" s="65">
        <f>3662470</f>
        <v>3662470</v>
      </c>
      <c r="W61" s="65" t="str">
        <f t="shared" si="3"/>
        <v>－</v>
      </c>
      <c r="X61" s="69">
        <f>15</f>
        <v>15</v>
      </c>
    </row>
    <row r="62" spans="1:24">
      <c r="A62" s="60" t="s">
        <v>906</v>
      </c>
      <c r="B62" s="60" t="s">
        <v>225</v>
      </c>
      <c r="C62" s="60" t="s">
        <v>226</v>
      </c>
      <c r="D62" s="60" t="s">
        <v>227</v>
      </c>
      <c r="E62" s="61" t="s">
        <v>46</v>
      </c>
      <c r="F62" s="62" t="s">
        <v>46</v>
      </c>
      <c r="G62" s="63" t="s">
        <v>46</v>
      </c>
      <c r="H62" s="64"/>
      <c r="I62" s="64" t="s">
        <v>47</v>
      </c>
      <c r="J62" s="65">
        <v>1</v>
      </c>
      <c r="K62" s="66">
        <f>2262</f>
        <v>2262</v>
      </c>
      <c r="L62" s="67" t="s">
        <v>77</v>
      </c>
      <c r="M62" s="66">
        <f>2426</f>
        <v>2426</v>
      </c>
      <c r="N62" s="67" t="s">
        <v>92</v>
      </c>
      <c r="O62" s="66">
        <f>2157</f>
        <v>2157</v>
      </c>
      <c r="P62" s="67" t="s">
        <v>88</v>
      </c>
      <c r="Q62" s="66">
        <f>2221</f>
        <v>2221</v>
      </c>
      <c r="R62" s="67" t="s">
        <v>872</v>
      </c>
      <c r="S62" s="68">
        <f>2273.28</f>
        <v>2273.2800000000002</v>
      </c>
      <c r="T62" s="65">
        <f>39719</f>
        <v>39719</v>
      </c>
      <c r="U62" s="65" t="str">
        <f t="shared" si="2"/>
        <v>－</v>
      </c>
      <c r="V62" s="65">
        <f>92061432</f>
        <v>92061432</v>
      </c>
      <c r="W62" s="65" t="str">
        <f t="shared" si="3"/>
        <v>－</v>
      </c>
      <c r="X62" s="69">
        <f>18</f>
        <v>18</v>
      </c>
    </row>
    <row r="63" spans="1:24">
      <c r="A63" s="60" t="s">
        <v>906</v>
      </c>
      <c r="B63" s="60" t="s">
        <v>228</v>
      </c>
      <c r="C63" s="60" t="s">
        <v>229</v>
      </c>
      <c r="D63" s="60" t="s">
        <v>230</v>
      </c>
      <c r="E63" s="61" t="s">
        <v>46</v>
      </c>
      <c r="F63" s="62" t="s">
        <v>46</v>
      </c>
      <c r="G63" s="63" t="s">
        <v>46</v>
      </c>
      <c r="H63" s="64"/>
      <c r="I63" s="64" t="s">
        <v>47</v>
      </c>
      <c r="J63" s="65">
        <v>10</v>
      </c>
      <c r="K63" s="66">
        <f>13500</f>
        <v>13500</v>
      </c>
      <c r="L63" s="67" t="s">
        <v>77</v>
      </c>
      <c r="M63" s="66">
        <f>14230</f>
        <v>14230</v>
      </c>
      <c r="N63" s="67" t="s">
        <v>131</v>
      </c>
      <c r="O63" s="66">
        <f>12680</f>
        <v>12680</v>
      </c>
      <c r="P63" s="67" t="s">
        <v>92</v>
      </c>
      <c r="Q63" s="66">
        <f>13700</f>
        <v>13700</v>
      </c>
      <c r="R63" s="67" t="s">
        <v>872</v>
      </c>
      <c r="S63" s="68">
        <f>13392.94</f>
        <v>13392.94</v>
      </c>
      <c r="T63" s="65">
        <f>4870</f>
        <v>4870</v>
      </c>
      <c r="U63" s="65" t="str">
        <f t="shared" si="2"/>
        <v>－</v>
      </c>
      <c r="V63" s="65">
        <f>64904400</f>
        <v>64904400</v>
      </c>
      <c r="W63" s="65" t="str">
        <f t="shared" si="3"/>
        <v>－</v>
      </c>
      <c r="X63" s="69">
        <f>17</f>
        <v>17</v>
      </c>
    </row>
    <row r="64" spans="1:24">
      <c r="A64" s="60" t="s">
        <v>906</v>
      </c>
      <c r="B64" s="60" t="s">
        <v>231</v>
      </c>
      <c r="C64" s="60" t="s">
        <v>232</v>
      </c>
      <c r="D64" s="60" t="s">
        <v>233</v>
      </c>
      <c r="E64" s="61" t="s">
        <v>46</v>
      </c>
      <c r="F64" s="62" t="s">
        <v>46</v>
      </c>
      <c r="G64" s="63" t="s">
        <v>46</v>
      </c>
      <c r="H64" s="64"/>
      <c r="I64" s="64" t="s">
        <v>47</v>
      </c>
      <c r="J64" s="65">
        <v>10</v>
      </c>
      <c r="K64" s="66">
        <f>5140</f>
        <v>5140</v>
      </c>
      <c r="L64" s="67" t="s">
        <v>860</v>
      </c>
      <c r="M64" s="66">
        <f>5320</f>
        <v>5320</v>
      </c>
      <c r="N64" s="67" t="s">
        <v>92</v>
      </c>
      <c r="O64" s="66">
        <f>5090</f>
        <v>5090</v>
      </c>
      <c r="P64" s="67" t="s">
        <v>860</v>
      </c>
      <c r="Q64" s="66">
        <f>5160</f>
        <v>5160</v>
      </c>
      <c r="R64" s="67" t="s">
        <v>856</v>
      </c>
      <c r="S64" s="68">
        <f>5208.75</f>
        <v>5208.75</v>
      </c>
      <c r="T64" s="65">
        <f>1740</f>
        <v>1740</v>
      </c>
      <c r="U64" s="65" t="str">
        <f t="shared" si="2"/>
        <v>－</v>
      </c>
      <c r="V64" s="65">
        <f>9100700</f>
        <v>9100700</v>
      </c>
      <c r="W64" s="65" t="str">
        <f t="shared" si="3"/>
        <v>－</v>
      </c>
      <c r="X64" s="69">
        <f>8</f>
        <v>8</v>
      </c>
    </row>
    <row r="65" spans="1:24">
      <c r="A65" s="60" t="s">
        <v>906</v>
      </c>
      <c r="B65" s="60" t="s">
        <v>234</v>
      </c>
      <c r="C65" s="60" t="s">
        <v>235</v>
      </c>
      <c r="D65" s="60" t="s">
        <v>236</v>
      </c>
      <c r="E65" s="61" t="s">
        <v>46</v>
      </c>
      <c r="F65" s="62" t="s">
        <v>46</v>
      </c>
      <c r="G65" s="63" t="s">
        <v>46</v>
      </c>
      <c r="H65" s="64"/>
      <c r="I65" s="64" t="s">
        <v>47</v>
      </c>
      <c r="J65" s="65">
        <v>10</v>
      </c>
      <c r="K65" s="66">
        <f>2245</f>
        <v>2245</v>
      </c>
      <c r="L65" s="67" t="s">
        <v>77</v>
      </c>
      <c r="M65" s="66">
        <f>2402</f>
        <v>2402</v>
      </c>
      <c r="N65" s="67" t="s">
        <v>92</v>
      </c>
      <c r="O65" s="66">
        <f>2133</f>
        <v>2133</v>
      </c>
      <c r="P65" s="67" t="s">
        <v>88</v>
      </c>
      <c r="Q65" s="66">
        <f>2194</f>
        <v>2194</v>
      </c>
      <c r="R65" s="67" t="s">
        <v>872</v>
      </c>
      <c r="S65" s="68">
        <f>2248.89</f>
        <v>2248.89</v>
      </c>
      <c r="T65" s="65">
        <f>62040</f>
        <v>62040</v>
      </c>
      <c r="U65" s="65" t="str">
        <f t="shared" si="2"/>
        <v>－</v>
      </c>
      <c r="V65" s="65">
        <f>139018790</f>
        <v>139018790</v>
      </c>
      <c r="W65" s="65" t="str">
        <f t="shared" si="3"/>
        <v>－</v>
      </c>
      <c r="X65" s="69">
        <f>18</f>
        <v>18</v>
      </c>
    </row>
    <row r="66" spans="1:24">
      <c r="A66" s="60" t="s">
        <v>906</v>
      </c>
      <c r="B66" s="60" t="s">
        <v>237</v>
      </c>
      <c r="C66" s="60" t="s">
        <v>238</v>
      </c>
      <c r="D66" s="60" t="s">
        <v>239</v>
      </c>
      <c r="E66" s="61" t="s">
        <v>46</v>
      </c>
      <c r="F66" s="62" t="s">
        <v>46</v>
      </c>
      <c r="G66" s="63" t="s">
        <v>46</v>
      </c>
      <c r="H66" s="64" t="s">
        <v>878</v>
      </c>
      <c r="I66" s="64"/>
      <c r="J66" s="65">
        <v>1</v>
      </c>
      <c r="K66" s="66">
        <f>28150</f>
        <v>28150</v>
      </c>
      <c r="L66" s="67" t="s">
        <v>77</v>
      </c>
      <c r="M66" s="66">
        <f>29400</f>
        <v>29400</v>
      </c>
      <c r="N66" s="67" t="s">
        <v>860</v>
      </c>
      <c r="O66" s="66">
        <f>27380</f>
        <v>27380</v>
      </c>
      <c r="P66" s="67" t="s">
        <v>49</v>
      </c>
      <c r="Q66" s="66">
        <f>28550</f>
        <v>28550</v>
      </c>
      <c r="R66" s="67" t="s">
        <v>872</v>
      </c>
      <c r="S66" s="68">
        <f>28601.76</f>
        <v>28601.759999999998</v>
      </c>
      <c r="T66" s="65">
        <f>1355</f>
        <v>1355</v>
      </c>
      <c r="U66" s="65" t="str">
        <f t="shared" si="2"/>
        <v>－</v>
      </c>
      <c r="V66" s="65">
        <f>38737930</f>
        <v>38737930</v>
      </c>
      <c r="W66" s="65" t="str">
        <f t="shared" si="3"/>
        <v>－</v>
      </c>
      <c r="X66" s="69">
        <f>17</f>
        <v>17</v>
      </c>
    </row>
    <row r="67" spans="1:24">
      <c r="A67" s="60" t="s">
        <v>906</v>
      </c>
      <c r="B67" s="60" t="s">
        <v>241</v>
      </c>
      <c r="C67" s="60" t="s">
        <v>242</v>
      </c>
      <c r="D67" s="60" t="s">
        <v>243</v>
      </c>
      <c r="E67" s="61" t="s">
        <v>46</v>
      </c>
      <c r="F67" s="62" t="s">
        <v>46</v>
      </c>
      <c r="G67" s="63" t="s">
        <v>46</v>
      </c>
      <c r="H67" s="64"/>
      <c r="I67" s="64" t="s">
        <v>47</v>
      </c>
      <c r="J67" s="65">
        <v>1</v>
      </c>
      <c r="K67" s="66">
        <f>3430</f>
        <v>3430</v>
      </c>
      <c r="L67" s="67" t="s">
        <v>77</v>
      </c>
      <c r="M67" s="66">
        <f>3545</f>
        <v>3545</v>
      </c>
      <c r="N67" s="67" t="s">
        <v>92</v>
      </c>
      <c r="O67" s="66">
        <f>3345</f>
        <v>3345</v>
      </c>
      <c r="P67" s="67" t="s">
        <v>88</v>
      </c>
      <c r="Q67" s="66">
        <f>3390</f>
        <v>3390</v>
      </c>
      <c r="R67" s="67" t="s">
        <v>872</v>
      </c>
      <c r="S67" s="68">
        <f>3437.94</f>
        <v>3437.94</v>
      </c>
      <c r="T67" s="65">
        <f>1404</f>
        <v>1404</v>
      </c>
      <c r="U67" s="65" t="str">
        <f t="shared" si="2"/>
        <v>－</v>
      </c>
      <c r="V67" s="65">
        <f>4878480</f>
        <v>4878480</v>
      </c>
      <c r="W67" s="65" t="str">
        <f t="shared" si="3"/>
        <v>－</v>
      </c>
      <c r="X67" s="69">
        <f>17</f>
        <v>17</v>
      </c>
    </row>
    <row r="68" spans="1:24">
      <c r="A68" s="60" t="s">
        <v>906</v>
      </c>
      <c r="B68" s="60" t="s">
        <v>244</v>
      </c>
      <c r="C68" s="60" t="s">
        <v>245</v>
      </c>
      <c r="D68" s="60" t="s">
        <v>246</v>
      </c>
      <c r="E68" s="61" t="s">
        <v>46</v>
      </c>
      <c r="F68" s="62" t="s">
        <v>46</v>
      </c>
      <c r="G68" s="63" t="s">
        <v>46</v>
      </c>
      <c r="H68" s="64"/>
      <c r="I68" s="64" t="s">
        <v>47</v>
      </c>
      <c r="J68" s="65">
        <v>1</v>
      </c>
      <c r="K68" s="66">
        <f>900</f>
        <v>900</v>
      </c>
      <c r="L68" s="67" t="s">
        <v>77</v>
      </c>
      <c r="M68" s="66">
        <f>963</f>
        <v>963</v>
      </c>
      <c r="N68" s="67" t="s">
        <v>92</v>
      </c>
      <c r="O68" s="66">
        <f>856</f>
        <v>856</v>
      </c>
      <c r="P68" s="67" t="s">
        <v>860</v>
      </c>
      <c r="Q68" s="66">
        <f>882</f>
        <v>882</v>
      </c>
      <c r="R68" s="67" t="s">
        <v>872</v>
      </c>
      <c r="S68" s="68">
        <f>902.56</f>
        <v>902.56</v>
      </c>
      <c r="T68" s="65">
        <f>109555</f>
        <v>109555</v>
      </c>
      <c r="U68" s="65" t="str">
        <f t="shared" si="2"/>
        <v>－</v>
      </c>
      <c r="V68" s="65">
        <f>99736348</f>
        <v>99736348</v>
      </c>
      <c r="W68" s="65" t="str">
        <f t="shared" si="3"/>
        <v>－</v>
      </c>
      <c r="X68" s="69">
        <f>18</f>
        <v>18</v>
      </c>
    </row>
    <row r="69" spans="1:24">
      <c r="A69" s="60" t="s">
        <v>906</v>
      </c>
      <c r="B69" s="60" t="s">
        <v>247</v>
      </c>
      <c r="C69" s="60" t="s">
        <v>248</v>
      </c>
      <c r="D69" s="60" t="s">
        <v>249</v>
      </c>
      <c r="E69" s="61" t="s">
        <v>46</v>
      </c>
      <c r="F69" s="62" t="s">
        <v>46</v>
      </c>
      <c r="G69" s="63" t="s">
        <v>46</v>
      </c>
      <c r="H69" s="64"/>
      <c r="I69" s="64" t="s">
        <v>47</v>
      </c>
      <c r="J69" s="65">
        <v>10</v>
      </c>
      <c r="K69" s="66">
        <f>1962</f>
        <v>1962</v>
      </c>
      <c r="L69" s="67" t="s">
        <v>77</v>
      </c>
      <c r="M69" s="66">
        <f>1994</f>
        <v>1994</v>
      </c>
      <c r="N69" s="67" t="s">
        <v>860</v>
      </c>
      <c r="O69" s="66">
        <f>1888</f>
        <v>1888</v>
      </c>
      <c r="P69" s="67" t="s">
        <v>92</v>
      </c>
      <c r="Q69" s="66">
        <f>1959</f>
        <v>1959</v>
      </c>
      <c r="R69" s="67" t="s">
        <v>872</v>
      </c>
      <c r="S69" s="68">
        <f>1946.22</f>
        <v>1946.22</v>
      </c>
      <c r="T69" s="65">
        <f>824120</f>
        <v>824120</v>
      </c>
      <c r="U69" s="65">
        <f>250000</f>
        <v>250000</v>
      </c>
      <c r="V69" s="65">
        <f>1594596120</f>
        <v>1594596120</v>
      </c>
      <c r="W69" s="65">
        <f>483485000</f>
        <v>483485000</v>
      </c>
      <c r="X69" s="69">
        <f>18</f>
        <v>18</v>
      </c>
    </row>
    <row r="70" spans="1:24">
      <c r="A70" s="60" t="s">
        <v>906</v>
      </c>
      <c r="B70" s="60" t="s">
        <v>250</v>
      </c>
      <c r="C70" s="60" t="s">
        <v>251</v>
      </c>
      <c r="D70" s="60" t="s">
        <v>252</v>
      </c>
      <c r="E70" s="61" t="s">
        <v>46</v>
      </c>
      <c r="F70" s="62" t="s">
        <v>46</v>
      </c>
      <c r="G70" s="63" t="s">
        <v>46</v>
      </c>
      <c r="H70" s="64"/>
      <c r="I70" s="64" t="s">
        <v>47</v>
      </c>
      <c r="J70" s="65">
        <v>1</v>
      </c>
      <c r="K70" s="66">
        <f>17590</f>
        <v>17590</v>
      </c>
      <c r="L70" s="67" t="s">
        <v>77</v>
      </c>
      <c r="M70" s="66">
        <f>17990</f>
        <v>17990</v>
      </c>
      <c r="N70" s="67" t="s">
        <v>613</v>
      </c>
      <c r="O70" s="66">
        <f>16940</f>
        <v>16940</v>
      </c>
      <c r="P70" s="67" t="s">
        <v>92</v>
      </c>
      <c r="Q70" s="66">
        <f>17930</f>
        <v>17930</v>
      </c>
      <c r="R70" s="67" t="s">
        <v>88</v>
      </c>
      <c r="S70" s="68">
        <f>17526.47</f>
        <v>17526.47</v>
      </c>
      <c r="T70" s="65">
        <f>48560</f>
        <v>48560</v>
      </c>
      <c r="U70" s="65" t="str">
        <f>"－"</f>
        <v>－</v>
      </c>
      <c r="V70" s="65">
        <f>843193580</f>
        <v>843193580</v>
      </c>
      <c r="W70" s="65" t="str">
        <f>"－"</f>
        <v>－</v>
      </c>
      <c r="X70" s="69">
        <f>17</f>
        <v>17</v>
      </c>
    </row>
    <row r="71" spans="1:24">
      <c r="A71" s="60" t="s">
        <v>906</v>
      </c>
      <c r="B71" s="60" t="s">
        <v>253</v>
      </c>
      <c r="C71" s="60" t="s">
        <v>254</v>
      </c>
      <c r="D71" s="60" t="s">
        <v>255</v>
      </c>
      <c r="E71" s="61" t="s">
        <v>46</v>
      </c>
      <c r="F71" s="62" t="s">
        <v>46</v>
      </c>
      <c r="G71" s="63" t="s">
        <v>46</v>
      </c>
      <c r="H71" s="64"/>
      <c r="I71" s="64" t="s">
        <v>47</v>
      </c>
      <c r="J71" s="65">
        <v>1</v>
      </c>
      <c r="K71" s="66">
        <f>1975</f>
        <v>1975</v>
      </c>
      <c r="L71" s="67" t="s">
        <v>77</v>
      </c>
      <c r="M71" s="66">
        <f>2009</f>
        <v>2009</v>
      </c>
      <c r="N71" s="67" t="s">
        <v>860</v>
      </c>
      <c r="O71" s="66">
        <f>1898</f>
        <v>1898</v>
      </c>
      <c r="P71" s="67" t="s">
        <v>92</v>
      </c>
      <c r="Q71" s="66">
        <f>1975</f>
        <v>1975</v>
      </c>
      <c r="R71" s="67" t="s">
        <v>872</v>
      </c>
      <c r="S71" s="68">
        <f>1961.33</f>
        <v>1961.33</v>
      </c>
      <c r="T71" s="65">
        <f>4100816</f>
        <v>4100816</v>
      </c>
      <c r="U71" s="65">
        <f>1785432</f>
        <v>1785432</v>
      </c>
      <c r="V71" s="65">
        <f>8044997037</f>
        <v>8044997037</v>
      </c>
      <c r="W71" s="65">
        <f>3514404648</f>
        <v>3514404648</v>
      </c>
      <c r="X71" s="69">
        <f>18</f>
        <v>18</v>
      </c>
    </row>
    <row r="72" spans="1:24">
      <c r="A72" s="60" t="s">
        <v>906</v>
      </c>
      <c r="B72" s="60" t="s">
        <v>256</v>
      </c>
      <c r="C72" s="60" t="s">
        <v>257</v>
      </c>
      <c r="D72" s="60" t="s">
        <v>258</v>
      </c>
      <c r="E72" s="61" t="s">
        <v>46</v>
      </c>
      <c r="F72" s="62" t="s">
        <v>46</v>
      </c>
      <c r="G72" s="63" t="s">
        <v>46</v>
      </c>
      <c r="H72" s="64"/>
      <c r="I72" s="64" t="s">
        <v>47</v>
      </c>
      <c r="J72" s="65">
        <v>1</v>
      </c>
      <c r="K72" s="66">
        <f>2154</f>
        <v>2154</v>
      </c>
      <c r="L72" s="67" t="s">
        <v>77</v>
      </c>
      <c r="M72" s="66">
        <f>2154</f>
        <v>2154</v>
      </c>
      <c r="N72" s="67" t="s">
        <v>77</v>
      </c>
      <c r="O72" s="66">
        <f>2062</f>
        <v>2062</v>
      </c>
      <c r="P72" s="67" t="s">
        <v>49</v>
      </c>
      <c r="Q72" s="66">
        <f>2132</f>
        <v>2132</v>
      </c>
      <c r="R72" s="67" t="s">
        <v>872</v>
      </c>
      <c r="S72" s="68">
        <f>2110.11</f>
        <v>2110.11</v>
      </c>
      <c r="T72" s="65">
        <f>6961907</f>
        <v>6961907</v>
      </c>
      <c r="U72" s="65">
        <f>1278911</f>
        <v>1278911</v>
      </c>
      <c r="V72" s="65">
        <f>14687940128</f>
        <v>14687940128</v>
      </c>
      <c r="W72" s="65">
        <f>2698277991</f>
        <v>2698277991</v>
      </c>
      <c r="X72" s="69">
        <f>18</f>
        <v>18</v>
      </c>
    </row>
    <row r="73" spans="1:24">
      <c r="A73" s="60" t="s">
        <v>906</v>
      </c>
      <c r="B73" s="60" t="s">
        <v>259</v>
      </c>
      <c r="C73" s="60" t="s">
        <v>260</v>
      </c>
      <c r="D73" s="60" t="s">
        <v>261</v>
      </c>
      <c r="E73" s="61" t="s">
        <v>46</v>
      </c>
      <c r="F73" s="62" t="s">
        <v>46</v>
      </c>
      <c r="G73" s="63" t="s">
        <v>46</v>
      </c>
      <c r="H73" s="64"/>
      <c r="I73" s="64" t="s">
        <v>47</v>
      </c>
      <c r="J73" s="65">
        <v>1</v>
      </c>
      <c r="K73" s="66">
        <f>1830</f>
        <v>1830</v>
      </c>
      <c r="L73" s="67" t="s">
        <v>77</v>
      </c>
      <c r="M73" s="66">
        <f>1867</f>
        <v>1867</v>
      </c>
      <c r="N73" s="67" t="s">
        <v>613</v>
      </c>
      <c r="O73" s="66">
        <f>1771</f>
        <v>1771</v>
      </c>
      <c r="P73" s="67" t="s">
        <v>92</v>
      </c>
      <c r="Q73" s="66">
        <f>1835</f>
        <v>1835</v>
      </c>
      <c r="R73" s="67" t="s">
        <v>872</v>
      </c>
      <c r="S73" s="68">
        <f>1826.11</f>
        <v>1826.11</v>
      </c>
      <c r="T73" s="65">
        <f>89796</f>
        <v>89796</v>
      </c>
      <c r="U73" s="65">
        <f>74586</f>
        <v>74586</v>
      </c>
      <c r="V73" s="65">
        <f>164177295</f>
        <v>164177295</v>
      </c>
      <c r="W73" s="65">
        <f>136686957</f>
        <v>136686957</v>
      </c>
      <c r="X73" s="69">
        <f>18</f>
        <v>18</v>
      </c>
    </row>
    <row r="74" spans="1:24">
      <c r="A74" s="60" t="s">
        <v>906</v>
      </c>
      <c r="B74" s="60" t="s">
        <v>262</v>
      </c>
      <c r="C74" s="60" t="s">
        <v>263</v>
      </c>
      <c r="D74" s="60" t="s">
        <v>264</v>
      </c>
      <c r="E74" s="61" t="s">
        <v>46</v>
      </c>
      <c r="F74" s="62" t="s">
        <v>46</v>
      </c>
      <c r="G74" s="63" t="s">
        <v>46</v>
      </c>
      <c r="H74" s="64"/>
      <c r="I74" s="64" t="s">
        <v>47</v>
      </c>
      <c r="J74" s="65">
        <v>1</v>
      </c>
      <c r="K74" s="66">
        <f>2147</f>
        <v>2147</v>
      </c>
      <c r="L74" s="67" t="s">
        <v>77</v>
      </c>
      <c r="M74" s="66">
        <f>2199</f>
        <v>2199</v>
      </c>
      <c r="N74" s="67" t="s">
        <v>88</v>
      </c>
      <c r="O74" s="66">
        <f>2097</f>
        <v>2097</v>
      </c>
      <c r="P74" s="67" t="s">
        <v>131</v>
      </c>
      <c r="Q74" s="66">
        <f>2175</f>
        <v>2175</v>
      </c>
      <c r="R74" s="67" t="s">
        <v>872</v>
      </c>
      <c r="S74" s="68">
        <f>2159.17</f>
        <v>2159.17</v>
      </c>
      <c r="T74" s="65">
        <f>240608</f>
        <v>240608</v>
      </c>
      <c r="U74" s="65">
        <f>35569</f>
        <v>35569</v>
      </c>
      <c r="V74" s="65">
        <f>519661002</f>
        <v>519661002</v>
      </c>
      <c r="W74" s="65">
        <f>76536456</f>
        <v>76536456</v>
      </c>
      <c r="X74" s="69">
        <f>18</f>
        <v>18</v>
      </c>
    </row>
    <row r="75" spans="1:24">
      <c r="A75" s="60" t="s">
        <v>906</v>
      </c>
      <c r="B75" s="60" t="s">
        <v>265</v>
      </c>
      <c r="C75" s="60" t="s">
        <v>266</v>
      </c>
      <c r="D75" s="60" t="s">
        <v>267</v>
      </c>
      <c r="E75" s="61" t="s">
        <v>46</v>
      </c>
      <c r="F75" s="62" t="s">
        <v>46</v>
      </c>
      <c r="G75" s="63" t="s">
        <v>46</v>
      </c>
      <c r="H75" s="64"/>
      <c r="I75" s="64" t="s">
        <v>47</v>
      </c>
      <c r="J75" s="65">
        <v>1</v>
      </c>
      <c r="K75" s="66">
        <f>23420</f>
        <v>23420</v>
      </c>
      <c r="L75" s="67" t="s">
        <v>77</v>
      </c>
      <c r="M75" s="66">
        <f>23750</f>
        <v>23750</v>
      </c>
      <c r="N75" s="67" t="s">
        <v>88</v>
      </c>
      <c r="O75" s="66">
        <f>22440</f>
        <v>22440</v>
      </c>
      <c r="P75" s="67" t="s">
        <v>92</v>
      </c>
      <c r="Q75" s="66">
        <f>23740</f>
        <v>23740</v>
      </c>
      <c r="R75" s="67" t="s">
        <v>872</v>
      </c>
      <c r="S75" s="68">
        <f>23233.89</f>
        <v>23233.89</v>
      </c>
      <c r="T75" s="65">
        <f>475</f>
        <v>475</v>
      </c>
      <c r="U75" s="65" t="str">
        <f>"－"</f>
        <v>－</v>
      </c>
      <c r="V75" s="65">
        <f>11000090</f>
        <v>11000090</v>
      </c>
      <c r="W75" s="65" t="str">
        <f>"－"</f>
        <v>－</v>
      </c>
      <c r="X75" s="69">
        <f>18</f>
        <v>18</v>
      </c>
    </row>
    <row r="76" spans="1:24">
      <c r="A76" s="60" t="s">
        <v>906</v>
      </c>
      <c r="B76" s="60" t="s">
        <v>269</v>
      </c>
      <c r="C76" s="60" t="s">
        <v>270</v>
      </c>
      <c r="D76" s="60" t="s">
        <v>271</v>
      </c>
      <c r="E76" s="61" t="s">
        <v>46</v>
      </c>
      <c r="F76" s="62" t="s">
        <v>46</v>
      </c>
      <c r="G76" s="63" t="s">
        <v>46</v>
      </c>
      <c r="H76" s="64"/>
      <c r="I76" s="64" t="s">
        <v>47</v>
      </c>
      <c r="J76" s="65">
        <v>1</v>
      </c>
      <c r="K76" s="66">
        <f>19120</f>
        <v>19120</v>
      </c>
      <c r="L76" s="67" t="s">
        <v>77</v>
      </c>
      <c r="M76" s="66">
        <f>19500</f>
        <v>19500</v>
      </c>
      <c r="N76" s="67" t="s">
        <v>88</v>
      </c>
      <c r="O76" s="66">
        <f>18390</f>
        <v>18390</v>
      </c>
      <c r="P76" s="67" t="s">
        <v>92</v>
      </c>
      <c r="Q76" s="66">
        <f>19500</f>
        <v>19500</v>
      </c>
      <c r="R76" s="67" t="s">
        <v>872</v>
      </c>
      <c r="S76" s="68">
        <f>19017.5</f>
        <v>19017.5</v>
      </c>
      <c r="T76" s="65">
        <f>267</f>
        <v>267</v>
      </c>
      <c r="U76" s="65" t="str">
        <f>"－"</f>
        <v>－</v>
      </c>
      <c r="V76" s="65">
        <f>5013510</f>
        <v>5013510</v>
      </c>
      <c r="W76" s="65" t="str">
        <f>"－"</f>
        <v>－</v>
      </c>
      <c r="X76" s="69">
        <f>16</f>
        <v>16</v>
      </c>
    </row>
    <row r="77" spans="1:24">
      <c r="A77" s="60" t="s">
        <v>906</v>
      </c>
      <c r="B77" s="60" t="s">
        <v>272</v>
      </c>
      <c r="C77" s="60" t="s">
        <v>273</v>
      </c>
      <c r="D77" s="60" t="s">
        <v>274</v>
      </c>
      <c r="E77" s="61" t="s">
        <v>46</v>
      </c>
      <c r="F77" s="62" t="s">
        <v>46</v>
      </c>
      <c r="G77" s="63" t="s">
        <v>46</v>
      </c>
      <c r="H77" s="64"/>
      <c r="I77" s="64" t="s">
        <v>47</v>
      </c>
      <c r="J77" s="65">
        <v>1</v>
      </c>
      <c r="K77" s="66">
        <f>1893</f>
        <v>1893</v>
      </c>
      <c r="L77" s="67" t="s">
        <v>77</v>
      </c>
      <c r="M77" s="66">
        <f>1924</f>
        <v>1924</v>
      </c>
      <c r="N77" s="67" t="s">
        <v>860</v>
      </c>
      <c r="O77" s="66">
        <f>1818</f>
        <v>1818</v>
      </c>
      <c r="P77" s="67" t="s">
        <v>92</v>
      </c>
      <c r="Q77" s="66">
        <f>1905</f>
        <v>1905</v>
      </c>
      <c r="R77" s="67" t="s">
        <v>872</v>
      </c>
      <c r="S77" s="68">
        <f>1881.61</f>
        <v>1881.61</v>
      </c>
      <c r="T77" s="65">
        <f>626</f>
        <v>626</v>
      </c>
      <c r="U77" s="65" t="str">
        <f>"－"</f>
        <v>－</v>
      </c>
      <c r="V77" s="65">
        <f>1172546</f>
        <v>1172546</v>
      </c>
      <c r="W77" s="65" t="str">
        <f>"－"</f>
        <v>－</v>
      </c>
      <c r="X77" s="69">
        <f>18</f>
        <v>18</v>
      </c>
    </row>
    <row r="78" spans="1:24">
      <c r="A78" s="60" t="s">
        <v>906</v>
      </c>
      <c r="B78" s="60" t="s">
        <v>275</v>
      </c>
      <c r="C78" s="60" t="s">
        <v>276</v>
      </c>
      <c r="D78" s="60" t="s">
        <v>277</v>
      </c>
      <c r="E78" s="61" t="s">
        <v>46</v>
      </c>
      <c r="F78" s="62" t="s">
        <v>46</v>
      </c>
      <c r="G78" s="63" t="s">
        <v>46</v>
      </c>
      <c r="H78" s="64"/>
      <c r="I78" s="64" t="s">
        <v>47</v>
      </c>
      <c r="J78" s="65">
        <v>1</v>
      </c>
      <c r="K78" s="66">
        <f>2338</f>
        <v>2338</v>
      </c>
      <c r="L78" s="67" t="s">
        <v>77</v>
      </c>
      <c r="M78" s="66">
        <f>2344</f>
        <v>2344</v>
      </c>
      <c r="N78" s="67" t="s">
        <v>240</v>
      </c>
      <c r="O78" s="66">
        <f>2318</f>
        <v>2318</v>
      </c>
      <c r="P78" s="67" t="s">
        <v>92</v>
      </c>
      <c r="Q78" s="66">
        <f>2336</f>
        <v>2336</v>
      </c>
      <c r="R78" s="67" t="s">
        <v>872</v>
      </c>
      <c r="S78" s="68">
        <f>2332.5</f>
        <v>2332.5</v>
      </c>
      <c r="T78" s="65">
        <f>823846</f>
        <v>823846</v>
      </c>
      <c r="U78" s="65">
        <f>130010</f>
        <v>130010</v>
      </c>
      <c r="V78" s="65">
        <f>1921156179</f>
        <v>1921156179</v>
      </c>
      <c r="W78" s="65">
        <f>302224310</f>
        <v>302224310</v>
      </c>
      <c r="X78" s="69">
        <f>18</f>
        <v>18</v>
      </c>
    </row>
    <row r="79" spans="1:24">
      <c r="A79" s="60" t="s">
        <v>906</v>
      </c>
      <c r="B79" s="60" t="s">
        <v>278</v>
      </c>
      <c r="C79" s="60" t="s">
        <v>279</v>
      </c>
      <c r="D79" s="60" t="s">
        <v>280</v>
      </c>
      <c r="E79" s="61" t="s">
        <v>46</v>
      </c>
      <c r="F79" s="62" t="s">
        <v>46</v>
      </c>
      <c r="G79" s="63" t="s">
        <v>46</v>
      </c>
      <c r="H79" s="64"/>
      <c r="I79" s="64" t="s">
        <v>47</v>
      </c>
      <c r="J79" s="65">
        <v>1</v>
      </c>
      <c r="K79" s="66">
        <f>1897</f>
        <v>1897</v>
      </c>
      <c r="L79" s="67" t="s">
        <v>77</v>
      </c>
      <c r="M79" s="66">
        <f>1900</f>
        <v>1900</v>
      </c>
      <c r="N79" s="67" t="s">
        <v>77</v>
      </c>
      <c r="O79" s="66">
        <f>1811</f>
        <v>1811</v>
      </c>
      <c r="P79" s="67" t="s">
        <v>92</v>
      </c>
      <c r="Q79" s="66">
        <f>1894</f>
        <v>1894</v>
      </c>
      <c r="R79" s="67" t="s">
        <v>88</v>
      </c>
      <c r="S79" s="68">
        <f>1863.36</f>
        <v>1863.36</v>
      </c>
      <c r="T79" s="65">
        <f>476</f>
        <v>476</v>
      </c>
      <c r="U79" s="65" t="str">
        <f>"－"</f>
        <v>－</v>
      </c>
      <c r="V79" s="65">
        <f>884013</f>
        <v>884013</v>
      </c>
      <c r="W79" s="65" t="str">
        <f>"－"</f>
        <v>－</v>
      </c>
      <c r="X79" s="69">
        <f>14</f>
        <v>14</v>
      </c>
    </row>
    <row r="80" spans="1:24">
      <c r="A80" s="60" t="s">
        <v>906</v>
      </c>
      <c r="B80" s="60" t="s">
        <v>281</v>
      </c>
      <c r="C80" s="60" t="s">
        <v>282</v>
      </c>
      <c r="D80" s="60" t="s">
        <v>283</v>
      </c>
      <c r="E80" s="61" t="s">
        <v>46</v>
      </c>
      <c r="F80" s="62" t="s">
        <v>46</v>
      </c>
      <c r="G80" s="63" t="s">
        <v>46</v>
      </c>
      <c r="H80" s="64"/>
      <c r="I80" s="64" t="s">
        <v>47</v>
      </c>
      <c r="J80" s="65">
        <v>10</v>
      </c>
      <c r="K80" s="66">
        <f>1874</f>
        <v>1874</v>
      </c>
      <c r="L80" s="67" t="s">
        <v>77</v>
      </c>
      <c r="M80" s="66">
        <f>1900</f>
        <v>1900</v>
      </c>
      <c r="N80" s="67" t="s">
        <v>860</v>
      </c>
      <c r="O80" s="66">
        <f>1790</f>
        <v>1790</v>
      </c>
      <c r="P80" s="67" t="s">
        <v>92</v>
      </c>
      <c r="Q80" s="66">
        <f>1887</f>
        <v>1887</v>
      </c>
      <c r="R80" s="67" t="s">
        <v>872</v>
      </c>
      <c r="S80" s="68">
        <f>1860.31</f>
        <v>1860.31</v>
      </c>
      <c r="T80" s="65">
        <f>11590</f>
        <v>11590</v>
      </c>
      <c r="U80" s="65" t="str">
        <f>"－"</f>
        <v>－</v>
      </c>
      <c r="V80" s="65">
        <f>21664090</f>
        <v>21664090</v>
      </c>
      <c r="W80" s="65" t="str">
        <f>"－"</f>
        <v>－</v>
      </c>
      <c r="X80" s="69">
        <f>16</f>
        <v>16</v>
      </c>
    </row>
    <row r="81" spans="1:24">
      <c r="A81" s="60" t="s">
        <v>906</v>
      </c>
      <c r="B81" s="60" t="s">
        <v>284</v>
      </c>
      <c r="C81" s="60" t="s">
        <v>285</v>
      </c>
      <c r="D81" s="60" t="s">
        <v>286</v>
      </c>
      <c r="E81" s="61" t="s">
        <v>46</v>
      </c>
      <c r="F81" s="62" t="s">
        <v>46</v>
      </c>
      <c r="G81" s="63" t="s">
        <v>46</v>
      </c>
      <c r="H81" s="64"/>
      <c r="I81" s="64" t="s">
        <v>47</v>
      </c>
      <c r="J81" s="65">
        <v>1</v>
      </c>
      <c r="K81" s="66">
        <f>30750</f>
        <v>30750</v>
      </c>
      <c r="L81" s="67" t="s">
        <v>77</v>
      </c>
      <c r="M81" s="66">
        <f>31350</f>
        <v>31350</v>
      </c>
      <c r="N81" s="67" t="s">
        <v>88</v>
      </c>
      <c r="O81" s="66">
        <f>30650</f>
        <v>30650</v>
      </c>
      <c r="P81" s="67" t="s">
        <v>131</v>
      </c>
      <c r="Q81" s="66">
        <f>31350</f>
        <v>31350</v>
      </c>
      <c r="R81" s="67" t="s">
        <v>88</v>
      </c>
      <c r="S81" s="68">
        <f>30916.67</f>
        <v>30916.67</v>
      </c>
      <c r="T81" s="65">
        <f>22</f>
        <v>22</v>
      </c>
      <c r="U81" s="65" t="str">
        <f>"－"</f>
        <v>－</v>
      </c>
      <c r="V81" s="65">
        <f>682100</f>
        <v>682100</v>
      </c>
      <c r="W81" s="65" t="str">
        <f>"－"</f>
        <v>－</v>
      </c>
      <c r="X81" s="69">
        <f>3</f>
        <v>3</v>
      </c>
    </row>
    <row r="82" spans="1:24">
      <c r="A82" s="60" t="s">
        <v>906</v>
      </c>
      <c r="B82" s="60" t="s">
        <v>287</v>
      </c>
      <c r="C82" s="60" t="s">
        <v>288</v>
      </c>
      <c r="D82" s="60" t="s">
        <v>289</v>
      </c>
      <c r="E82" s="61" t="s">
        <v>46</v>
      </c>
      <c r="F82" s="62" t="s">
        <v>46</v>
      </c>
      <c r="G82" s="63" t="s">
        <v>46</v>
      </c>
      <c r="H82" s="64"/>
      <c r="I82" s="64" t="s">
        <v>47</v>
      </c>
      <c r="J82" s="65">
        <v>1</v>
      </c>
      <c r="K82" s="66">
        <f>21140</f>
        <v>21140</v>
      </c>
      <c r="L82" s="67" t="s">
        <v>77</v>
      </c>
      <c r="M82" s="66">
        <f>21400</f>
        <v>21400</v>
      </c>
      <c r="N82" s="67" t="s">
        <v>73</v>
      </c>
      <c r="O82" s="66">
        <f>21000</f>
        <v>21000</v>
      </c>
      <c r="P82" s="67" t="s">
        <v>131</v>
      </c>
      <c r="Q82" s="66">
        <f>21270</f>
        <v>21270</v>
      </c>
      <c r="R82" s="67" t="s">
        <v>872</v>
      </c>
      <c r="S82" s="68">
        <f>21111.11</f>
        <v>21111.11</v>
      </c>
      <c r="T82" s="65">
        <f>14521</f>
        <v>14521</v>
      </c>
      <c r="U82" s="65">
        <f>5012</f>
        <v>5012</v>
      </c>
      <c r="V82" s="65">
        <f>306395690</f>
        <v>306395690</v>
      </c>
      <c r="W82" s="65">
        <f>105680740</f>
        <v>105680740</v>
      </c>
      <c r="X82" s="69">
        <f>18</f>
        <v>18</v>
      </c>
    </row>
    <row r="83" spans="1:24">
      <c r="A83" s="60" t="s">
        <v>906</v>
      </c>
      <c r="B83" s="60" t="s">
        <v>290</v>
      </c>
      <c r="C83" s="60" t="s">
        <v>291</v>
      </c>
      <c r="D83" s="60" t="s">
        <v>292</v>
      </c>
      <c r="E83" s="61" t="s">
        <v>46</v>
      </c>
      <c r="F83" s="62" t="s">
        <v>46</v>
      </c>
      <c r="G83" s="63" t="s">
        <v>46</v>
      </c>
      <c r="H83" s="64"/>
      <c r="I83" s="64" t="s">
        <v>47</v>
      </c>
      <c r="J83" s="65">
        <v>1</v>
      </c>
      <c r="K83" s="66">
        <f>18300</f>
        <v>18300</v>
      </c>
      <c r="L83" s="67" t="s">
        <v>77</v>
      </c>
      <c r="M83" s="66">
        <f>18340</f>
        <v>18340</v>
      </c>
      <c r="N83" s="67" t="s">
        <v>240</v>
      </c>
      <c r="O83" s="66">
        <f>18110</f>
        <v>18110</v>
      </c>
      <c r="P83" s="67" t="s">
        <v>92</v>
      </c>
      <c r="Q83" s="66">
        <f>18270</f>
        <v>18270</v>
      </c>
      <c r="R83" s="67" t="s">
        <v>872</v>
      </c>
      <c r="S83" s="68">
        <f>18249.44</f>
        <v>18249.439999999999</v>
      </c>
      <c r="T83" s="65">
        <f>250813</f>
        <v>250813</v>
      </c>
      <c r="U83" s="65">
        <f>6008</f>
        <v>6008</v>
      </c>
      <c r="V83" s="65">
        <f>4588034380</f>
        <v>4588034380</v>
      </c>
      <c r="W83" s="65">
        <f>109499270</f>
        <v>109499270</v>
      </c>
      <c r="X83" s="69">
        <f>18</f>
        <v>18</v>
      </c>
    </row>
    <row r="84" spans="1:24">
      <c r="A84" s="60" t="s">
        <v>906</v>
      </c>
      <c r="B84" s="60" t="s">
        <v>293</v>
      </c>
      <c r="C84" s="60" t="s">
        <v>294</v>
      </c>
      <c r="D84" s="60" t="s">
        <v>295</v>
      </c>
      <c r="E84" s="61" t="s">
        <v>46</v>
      </c>
      <c r="F84" s="62" t="s">
        <v>46</v>
      </c>
      <c r="G84" s="63" t="s">
        <v>46</v>
      </c>
      <c r="H84" s="64"/>
      <c r="I84" s="64" t="s">
        <v>47</v>
      </c>
      <c r="J84" s="65">
        <v>10</v>
      </c>
      <c r="K84" s="66">
        <f>2152</f>
        <v>2152</v>
      </c>
      <c r="L84" s="67" t="s">
        <v>77</v>
      </c>
      <c r="M84" s="66">
        <f>2158</f>
        <v>2158</v>
      </c>
      <c r="N84" s="67" t="s">
        <v>77</v>
      </c>
      <c r="O84" s="66">
        <f>2071</f>
        <v>2071</v>
      </c>
      <c r="P84" s="67" t="s">
        <v>49</v>
      </c>
      <c r="Q84" s="66">
        <f>2139</f>
        <v>2139</v>
      </c>
      <c r="R84" s="67" t="s">
        <v>872</v>
      </c>
      <c r="S84" s="68">
        <f>2119.56</f>
        <v>2119.56</v>
      </c>
      <c r="T84" s="65">
        <f>1632630</f>
        <v>1632630</v>
      </c>
      <c r="U84" s="65">
        <f>657070</f>
        <v>657070</v>
      </c>
      <c r="V84" s="65">
        <f>3444788990</f>
        <v>3444788990</v>
      </c>
      <c r="W84" s="65">
        <f>1384317390</f>
        <v>1384317390</v>
      </c>
      <c r="X84" s="69">
        <f>18</f>
        <v>18</v>
      </c>
    </row>
    <row r="85" spans="1:24">
      <c r="A85" s="60" t="s">
        <v>906</v>
      </c>
      <c r="B85" s="60" t="s">
        <v>296</v>
      </c>
      <c r="C85" s="60" t="s">
        <v>297</v>
      </c>
      <c r="D85" s="60" t="s">
        <v>298</v>
      </c>
      <c r="E85" s="61" t="s">
        <v>46</v>
      </c>
      <c r="F85" s="62" t="s">
        <v>46</v>
      </c>
      <c r="G85" s="63" t="s">
        <v>46</v>
      </c>
      <c r="H85" s="64"/>
      <c r="I85" s="64" t="s">
        <v>47</v>
      </c>
      <c r="J85" s="65">
        <v>1</v>
      </c>
      <c r="K85" s="66">
        <f>35150</f>
        <v>35150</v>
      </c>
      <c r="L85" s="67" t="s">
        <v>77</v>
      </c>
      <c r="M85" s="66">
        <f>36100</f>
        <v>36100</v>
      </c>
      <c r="N85" s="67" t="s">
        <v>860</v>
      </c>
      <c r="O85" s="66">
        <f>34700</f>
        <v>34700</v>
      </c>
      <c r="P85" s="67" t="s">
        <v>92</v>
      </c>
      <c r="Q85" s="66">
        <f>35550</f>
        <v>35550</v>
      </c>
      <c r="R85" s="67" t="s">
        <v>872</v>
      </c>
      <c r="S85" s="68">
        <f>35536.11</f>
        <v>35536.11</v>
      </c>
      <c r="T85" s="65">
        <f>16062</f>
        <v>16062</v>
      </c>
      <c r="U85" s="65">
        <f>11</f>
        <v>11</v>
      </c>
      <c r="V85" s="65">
        <f>570427250</f>
        <v>570427250</v>
      </c>
      <c r="W85" s="65">
        <f>391900</f>
        <v>391900</v>
      </c>
      <c r="X85" s="69">
        <f>18</f>
        <v>18</v>
      </c>
    </row>
    <row r="86" spans="1:24">
      <c r="A86" s="60" t="s">
        <v>906</v>
      </c>
      <c r="B86" s="60" t="s">
        <v>299</v>
      </c>
      <c r="C86" s="60" t="s">
        <v>300</v>
      </c>
      <c r="D86" s="60" t="s">
        <v>301</v>
      </c>
      <c r="E86" s="61" t="s">
        <v>46</v>
      </c>
      <c r="F86" s="62" t="s">
        <v>46</v>
      </c>
      <c r="G86" s="63" t="s">
        <v>46</v>
      </c>
      <c r="H86" s="64"/>
      <c r="I86" s="64" t="s">
        <v>47</v>
      </c>
      <c r="J86" s="65">
        <v>10</v>
      </c>
      <c r="K86" s="66">
        <f>7950</f>
        <v>7950</v>
      </c>
      <c r="L86" s="67" t="s">
        <v>49</v>
      </c>
      <c r="M86" s="66">
        <f>7950</f>
        <v>7950</v>
      </c>
      <c r="N86" s="67" t="s">
        <v>49</v>
      </c>
      <c r="O86" s="66">
        <f>7810</f>
        <v>7810</v>
      </c>
      <c r="P86" s="67" t="s">
        <v>856</v>
      </c>
      <c r="Q86" s="66">
        <f>7810</f>
        <v>7810</v>
      </c>
      <c r="R86" s="67" t="s">
        <v>856</v>
      </c>
      <c r="S86" s="68">
        <f>7880</f>
        <v>7880</v>
      </c>
      <c r="T86" s="65">
        <f>28540</f>
        <v>28540</v>
      </c>
      <c r="U86" s="65">
        <f>28500</f>
        <v>28500</v>
      </c>
      <c r="V86" s="65">
        <f>222423100</f>
        <v>222423100</v>
      </c>
      <c r="W86" s="65">
        <f>222106500</f>
        <v>222106500</v>
      </c>
      <c r="X86" s="69">
        <f>2</f>
        <v>2</v>
      </c>
    </row>
    <row r="87" spans="1:24">
      <c r="A87" s="60" t="s">
        <v>906</v>
      </c>
      <c r="B87" s="60" t="s">
        <v>302</v>
      </c>
      <c r="C87" s="60" t="s">
        <v>303</v>
      </c>
      <c r="D87" s="60" t="s">
        <v>304</v>
      </c>
      <c r="E87" s="61" t="s">
        <v>46</v>
      </c>
      <c r="F87" s="62" t="s">
        <v>46</v>
      </c>
      <c r="G87" s="63" t="s">
        <v>46</v>
      </c>
      <c r="H87" s="64"/>
      <c r="I87" s="64" t="s">
        <v>47</v>
      </c>
      <c r="J87" s="65">
        <v>1</v>
      </c>
      <c r="K87" s="66">
        <f>15860</f>
        <v>15860</v>
      </c>
      <c r="L87" s="67" t="s">
        <v>77</v>
      </c>
      <c r="M87" s="66">
        <f>16380</f>
        <v>16380</v>
      </c>
      <c r="N87" s="67" t="s">
        <v>875</v>
      </c>
      <c r="O87" s="66">
        <f>15620</f>
        <v>15620</v>
      </c>
      <c r="P87" s="67" t="s">
        <v>92</v>
      </c>
      <c r="Q87" s="66">
        <f>16010</f>
        <v>16010</v>
      </c>
      <c r="R87" s="67" t="s">
        <v>872</v>
      </c>
      <c r="S87" s="68">
        <f>16006.11</f>
        <v>16006.11</v>
      </c>
      <c r="T87" s="65">
        <f>1355</f>
        <v>1355</v>
      </c>
      <c r="U87" s="65">
        <f>10</f>
        <v>10</v>
      </c>
      <c r="V87" s="65">
        <f>21612210</f>
        <v>21612210</v>
      </c>
      <c r="W87" s="65">
        <f>159660</f>
        <v>159660</v>
      </c>
      <c r="X87" s="69">
        <f>18</f>
        <v>18</v>
      </c>
    </row>
    <row r="88" spans="1:24">
      <c r="A88" s="60" t="s">
        <v>906</v>
      </c>
      <c r="B88" s="60" t="s">
        <v>305</v>
      </c>
      <c r="C88" s="60" t="s">
        <v>306</v>
      </c>
      <c r="D88" s="60" t="s">
        <v>307</v>
      </c>
      <c r="E88" s="61" t="s">
        <v>46</v>
      </c>
      <c r="F88" s="62" t="s">
        <v>46</v>
      </c>
      <c r="G88" s="63" t="s">
        <v>46</v>
      </c>
      <c r="H88" s="64"/>
      <c r="I88" s="64" t="s">
        <v>47</v>
      </c>
      <c r="J88" s="65">
        <v>1</v>
      </c>
      <c r="K88" s="66">
        <f>16050</f>
        <v>16050</v>
      </c>
      <c r="L88" s="67" t="s">
        <v>77</v>
      </c>
      <c r="M88" s="66">
        <f>16440</f>
        <v>16440</v>
      </c>
      <c r="N88" s="67" t="s">
        <v>860</v>
      </c>
      <c r="O88" s="66">
        <f>15600</f>
        <v>15600</v>
      </c>
      <c r="P88" s="67" t="s">
        <v>92</v>
      </c>
      <c r="Q88" s="66">
        <f>16240</f>
        <v>16240</v>
      </c>
      <c r="R88" s="67" t="s">
        <v>872</v>
      </c>
      <c r="S88" s="68">
        <f>16100</f>
        <v>16100</v>
      </c>
      <c r="T88" s="65">
        <f>4160</f>
        <v>4160</v>
      </c>
      <c r="U88" s="65" t="str">
        <f>"－"</f>
        <v>－</v>
      </c>
      <c r="V88" s="65">
        <f>66277620</f>
        <v>66277620</v>
      </c>
      <c r="W88" s="65" t="str">
        <f>"－"</f>
        <v>－</v>
      </c>
      <c r="X88" s="69">
        <f>17</f>
        <v>17</v>
      </c>
    </row>
    <row r="89" spans="1:24">
      <c r="A89" s="60" t="s">
        <v>906</v>
      </c>
      <c r="B89" s="60" t="s">
        <v>308</v>
      </c>
      <c r="C89" s="60" t="s">
        <v>309</v>
      </c>
      <c r="D89" s="60" t="s">
        <v>310</v>
      </c>
      <c r="E89" s="61" t="s">
        <v>46</v>
      </c>
      <c r="F89" s="62" t="s">
        <v>46</v>
      </c>
      <c r="G89" s="63" t="s">
        <v>46</v>
      </c>
      <c r="H89" s="64"/>
      <c r="I89" s="64" t="s">
        <v>47</v>
      </c>
      <c r="J89" s="65">
        <v>1</v>
      </c>
      <c r="K89" s="66">
        <f>19370</f>
        <v>19370</v>
      </c>
      <c r="L89" s="67" t="s">
        <v>77</v>
      </c>
      <c r="M89" s="66">
        <f>19900</f>
        <v>19900</v>
      </c>
      <c r="N89" s="67" t="s">
        <v>268</v>
      </c>
      <c r="O89" s="66">
        <f>19020</f>
        <v>19020</v>
      </c>
      <c r="P89" s="67" t="s">
        <v>92</v>
      </c>
      <c r="Q89" s="66">
        <f>19250</f>
        <v>19250</v>
      </c>
      <c r="R89" s="67" t="s">
        <v>872</v>
      </c>
      <c r="S89" s="68">
        <f>19476.67</f>
        <v>19476.669999999998</v>
      </c>
      <c r="T89" s="65">
        <f>4792</f>
        <v>4792</v>
      </c>
      <c r="U89" s="65" t="str">
        <f>"－"</f>
        <v>－</v>
      </c>
      <c r="V89" s="65">
        <f>92858330</f>
        <v>92858330</v>
      </c>
      <c r="W89" s="65" t="str">
        <f>"－"</f>
        <v>－</v>
      </c>
      <c r="X89" s="69">
        <f>18</f>
        <v>18</v>
      </c>
    </row>
    <row r="90" spans="1:24">
      <c r="A90" s="60" t="s">
        <v>906</v>
      </c>
      <c r="B90" s="60" t="s">
        <v>311</v>
      </c>
      <c r="C90" s="60" t="s">
        <v>312</v>
      </c>
      <c r="D90" s="60" t="s">
        <v>313</v>
      </c>
      <c r="E90" s="61" t="s">
        <v>46</v>
      </c>
      <c r="F90" s="62" t="s">
        <v>46</v>
      </c>
      <c r="G90" s="63" t="s">
        <v>46</v>
      </c>
      <c r="H90" s="64"/>
      <c r="I90" s="64" t="s">
        <v>47</v>
      </c>
      <c r="J90" s="65">
        <v>10</v>
      </c>
      <c r="K90" s="66">
        <f>10550</f>
        <v>10550</v>
      </c>
      <c r="L90" s="67" t="s">
        <v>77</v>
      </c>
      <c r="M90" s="66">
        <f>10550</f>
        <v>10550</v>
      </c>
      <c r="N90" s="67" t="s">
        <v>77</v>
      </c>
      <c r="O90" s="66">
        <f>10250</f>
        <v>10250</v>
      </c>
      <c r="P90" s="67" t="s">
        <v>92</v>
      </c>
      <c r="Q90" s="66">
        <f>10450</f>
        <v>10450</v>
      </c>
      <c r="R90" s="67" t="s">
        <v>872</v>
      </c>
      <c r="S90" s="68">
        <f>10359.44</f>
        <v>10359.44</v>
      </c>
      <c r="T90" s="65">
        <f>7090</f>
        <v>7090</v>
      </c>
      <c r="U90" s="65">
        <f>30</f>
        <v>30</v>
      </c>
      <c r="V90" s="65">
        <f>73624800</f>
        <v>73624800</v>
      </c>
      <c r="W90" s="65">
        <f>311900</f>
        <v>311900</v>
      </c>
      <c r="X90" s="69">
        <f>18</f>
        <v>18</v>
      </c>
    </row>
    <row r="91" spans="1:24">
      <c r="A91" s="60" t="s">
        <v>906</v>
      </c>
      <c r="B91" s="60" t="s">
        <v>314</v>
      </c>
      <c r="C91" s="60" t="s">
        <v>315</v>
      </c>
      <c r="D91" s="60" t="s">
        <v>316</v>
      </c>
      <c r="E91" s="61" t="s">
        <v>46</v>
      </c>
      <c r="F91" s="62" t="s">
        <v>46</v>
      </c>
      <c r="G91" s="63" t="s">
        <v>46</v>
      </c>
      <c r="H91" s="64"/>
      <c r="I91" s="64" t="s">
        <v>47</v>
      </c>
      <c r="J91" s="65">
        <v>1</v>
      </c>
      <c r="K91" s="66">
        <f>2553</f>
        <v>2553</v>
      </c>
      <c r="L91" s="67" t="s">
        <v>77</v>
      </c>
      <c r="M91" s="66">
        <f>2561</f>
        <v>2561</v>
      </c>
      <c r="N91" s="67" t="s">
        <v>73</v>
      </c>
      <c r="O91" s="66">
        <f>2515</f>
        <v>2515</v>
      </c>
      <c r="P91" s="67" t="s">
        <v>92</v>
      </c>
      <c r="Q91" s="66">
        <f>2554</f>
        <v>2554</v>
      </c>
      <c r="R91" s="67" t="s">
        <v>872</v>
      </c>
      <c r="S91" s="68">
        <f>2543.39</f>
        <v>2543.39</v>
      </c>
      <c r="T91" s="65">
        <f>168157</f>
        <v>168157</v>
      </c>
      <c r="U91" s="65">
        <f>120014</f>
        <v>120014</v>
      </c>
      <c r="V91" s="65">
        <f>428928053</f>
        <v>428928053</v>
      </c>
      <c r="W91" s="65">
        <f>306515635</f>
        <v>306515635</v>
      </c>
      <c r="X91" s="69">
        <f>18</f>
        <v>18</v>
      </c>
    </row>
    <row r="92" spans="1:24">
      <c r="A92" s="60" t="s">
        <v>906</v>
      </c>
      <c r="B92" s="60" t="s">
        <v>317</v>
      </c>
      <c r="C92" s="60" t="s">
        <v>318</v>
      </c>
      <c r="D92" s="60" t="s">
        <v>319</v>
      </c>
      <c r="E92" s="61" t="s">
        <v>46</v>
      </c>
      <c r="F92" s="62" t="s">
        <v>46</v>
      </c>
      <c r="G92" s="63" t="s">
        <v>46</v>
      </c>
      <c r="H92" s="64"/>
      <c r="I92" s="64" t="s">
        <v>47</v>
      </c>
      <c r="J92" s="65">
        <v>1</v>
      </c>
      <c r="K92" s="66">
        <f>2356</f>
        <v>2356</v>
      </c>
      <c r="L92" s="67" t="s">
        <v>77</v>
      </c>
      <c r="M92" s="66">
        <f>2363</f>
        <v>2363</v>
      </c>
      <c r="N92" s="67" t="s">
        <v>860</v>
      </c>
      <c r="O92" s="66">
        <f>2341</f>
        <v>2341</v>
      </c>
      <c r="P92" s="67" t="s">
        <v>371</v>
      </c>
      <c r="Q92" s="66">
        <f>2360</f>
        <v>2360</v>
      </c>
      <c r="R92" s="67" t="s">
        <v>872</v>
      </c>
      <c r="S92" s="68">
        <f>2355.89</f>
        <v>2355.89</v>
      </c>
      <c r="T92" s="65">
        <f>63949</f>
        <v>63949</v>
      </c>
      <c r="U92" s="65">
        <f>15</f>
        <v>15</v>
      </c>
      <c r="V92" s="65">
        <f>150557723</f>
        <v>150557723</v>
      </c>
      <c r="W92" s="65">
        <f>35168</f>
        <v>35168</v>
      </c>
      <c r="X92" s="69">
        <f>18</f>
        <v>18</v>
      </c>
    </row>
    <row r="93" spans="1:24">
      <c r="A93" s="60" t="s">
        <v>906</v>
      </c>
      <c r="B93" s="60" t="s">
        <v>320</v>
      </c>
      <c r="C93" s="60" t="s">
        <v>321</v>
      </c>
      <c r="D93" s="60" t="s">
        <v>322</v>
      </c>
      <c r="E93" s="61" t="s">
        <v>46</v>
      </c>
      <c r="F93" s="62" t="s">
        <v>46</v>
      </c>
      <c r="G93" s="63" t="s">
        <v>46</v>
      </c>
      <c r="H93" s="64"/>
      <c r="I93" s="64" t="s">
        <v>47</v>
      </c>
      <c r="J93" s="65">
        <v>1</v>
      </c>
      <c r="K93" s="66">
        <f>14640</f>
        <v>14640</v>
      </c>
      <c r="L93" s="67" t="s">
        <v>77</v>
      </c>
      <c r="M93" s="66">
        <f>15060</f>
        <v>15060</v>
      </c>
      <c r="N93" s="67" t="s">
        <v>872</v>
      </c>
      <c r="O93" s="66">
        <f>14160</f>
        <v>14160</v>
      </c>
      <c r="P93" s="67" t="s">
        <v>92</v>
      </c>
      <c r="Q93" s="66">
        <f>14860</f>
        <v>14860</v>
      </c>
      <c r="R93" s="67" t="s">
        <v>872</v>
      </c>
      <c r="S93" s="68">
        <f>14630.56</f>
        <v>14630.56</v>
      </c>
      <c r="T93" s="65">
        <f>20099</f>
        <v>20099</v>
      </c>
      <c r="U93" s="65">
        <f>4159</f>
        <v>4159</v>
      </c>
      <c r="V93" s="65">
        <f>294877429</f>
        <v>294877429</v>
      </c>
      <c r="W93" s="65">
        <f>60008139</f>
        <v>60008139</v>
      </c>
      <c r="X93" s="69">
        <f>18</f>
        <v>18</v>
      </c>
    </row>
    <row r="94" spans="1:24">
      <c r="A94" s="60" t="s">
        <v>906</v>
      </c>
      <c r="B94" s="60" t="s">
        <v>323</v>
      </c>
      <c r="C94" s="60" t="s">
        <v>324</v>
      </c>
      <c r="D94" s="60" t="s">
        <v>325</v>
      </c>
      <c r="E94" s="61" t="s">
        <v>46</v>
      </c>
      <c r="F94" s="62" t="s">
        <v>46</v>
      </c>
      <c r="G94" s="63" t="s">
        <v>46</v>
      </c>
      <c r="H94" s="64"/>
      <c r="I94" s="64" t="s">
        <v>47</v>
      </c>
      <c r="J94" s="65">
        <v>1</v>
      </c>
      <c r="K94" s="66">
        <f>8370</f>
        <v>8370</v>
      </c>
      <c r="L94" s="67" t="s">
        <v>77</v>
      </c>
      <c r="M94" s="66">
        <f>8600</f>
        <v>8600</v>
      </c>
      <c r="N94" s="67" t="s">
        <v>872</v>
      </c>
      <c r="O94" s="66">
        <f>8210</f>
        <v>8210</v>
      </c>
      <c r="P94" s="67" t="s">
        <v>92</v>
      </c>
      <c r="Q94" s="66">
        <f>8600</f>
        <v>8600</v>
      </c>
      <c r="R94" s="67" t="s">
        <v>872</v>
      </c>
      <c r="S94" s="68">
        <f>8419.44</f>
        <v>8419.44</v>
      </c>
      <c r="T94" s="65">
        <f>1745</f>
        <v>1745</v>
      </c>
      <c r="U94" s="65">
        <f>6</f>
        <v>6</v>
      </c>
      <c r="V94" s="65">
        <f>14718290</f>
        <v>14718290</v>
      </c>
      <c r="W94" s="65">
        <f>49940</f>
        <v>49940</v>
      </c>
      <c r="X94" s="69">
        <f>18</f>
        <v>18</v>
      </c>
    </row>
    <row r="95" spans="1:24">
      <c r="A95" s="60" t="s">
        <v>906</v>
      </c>
      <c r="B95" s="60" t="s">
        <v>326</v>
      </c>
      <c r="C95" s="60" t="s">
        <v>327</v>
      </c>
      <c r="D95" s="60" t="s">
        <v>328</v>
      </c>
      <c r="E95" s="61" t="s">
        <v>46</v>
      </c>
      <c r="F95" s="62" t="s">
        <v>46</v>
      </c>
      <c r="G95" s="63" t="s">
        <v>46</v>
      </c>
      <c r="H95" s="64"/>
      <c r="I95" s="64" t="s">
        <v>47</v>
      </c>
      <c r="J95" s="65">
        <v>1</v>
      </c>
      <c r="K95" s="66">
        <f>5970</f>
        <v>5970</v>
      </c>
      <c r="L95" s="67" t="s">
        <v>77</v>
      </c>
      <c r="M95" s="66">
        <f>6420</f>
        <v>6420</v>
      </c>
      <c r="N95" s="67" t="s">
        <v>872</v>
      </c>
      <c r="O95" s="66">
        <f>5970</f>
        <v>5970</v>
      </c>
      <c r="P95" s="67" t="s">
        <v>77</v>
      </c>
      <c r="Q95" s="66">
        <f>6410</f>
        <v>6410</v>
      </c>
      <c r="R95" s="67" t="s">
        <v>872</v>
      </c>
      <c r="S95" s="68">
        <f>6215</f>
        <v>6215</v>
      </c>
      <c r="T95" s="65">
        <f>3171508</f>
        <v>3171508</v>
      </c>
      <c r="U95" s="65">
        <f>127022</f>
        <v>127022</v>
      </c>
      <c r="V95" s="65">
        <f>19679597869</f>
        <v>19679597869</v>
      </c>
      <c r="W95" s="65">
        <f>785700879</f>
        <v>785700879</v>
      </c>
      <c r="X95" s="69">
        <f>18</f>
        <v>18</v>
      </c>
    </row>
    <row r="96" spans="1:24">
      <c r="A96" s="60" t="s">
        <v>906</v>
      </c>
      <c r="B96" s="60" t="s">
        <v>329</v>
      </c>
      <c r="C96" s="60" t="s">
        <v>330</v>
      </c>
      <c r="D96" s="60" t="s">
        <v>331</v>
      </c>
      <c r="E96" s="61" t="s">
        <v>46</v>
      </c>
      <c r="F96" s="62" t="s">
        <v>46</v>
      </c>
      <c r="G96" s="63" t="s">
        <v>46</v>
      </c>
      <c r="H96" s="64"/>
      <c r="I96" s="64" t="s">
        <v>47</v>
      </c>
      <c r="J96" s="65">
        <v>1</v>
      </c>
      <c r="K96" s="66">
        <f>4005</f>
        <v>4005</v>
      </c>
      <c r="L96" s="67" t="s">
        <v>77</v>
      </c>
      <c r="M96" s="66">
        <f>4140</f>
        <v>4140</v>
      </c>
      <c r="N96" s="67" t="s">
        <v>860</v>
      </c>
      <c r="O96" s="66">
        <f>3840</f>
        <v>3840</v>
      </c>
      <c r="P96" s="67" t="s">
        <v>176</v>
      </c>
      <c r="Q96" s="66">
        <f>3925</f>
        <v>3925</v>
      </c>
      <c r="R96" s="67" t="s">
        <v>872</v>
      </c>
      <c r="S96" s="68">
        <f>3991.94</f>
        <v>3991.94</v>
      </c>
      <c r="T96" s="65">
        <f>824297</f>
        <v>824297</v>
      </c>
      <c r="U96" s="65">
        <f>240</f>
        <v>240</v>
      </c>
      <c r="V96" s="65">
        <f>3287194460</f>
        <v>3287194460</v>
      </c>
      <c r="W96" s="65">
        <f>966815</f>
        <v>966815</v>
      </c>
      <c r="X96" s="69">
        <f>18</f>
        <v>18</v>
      </c>
    </row>
    <row r="97" spans="1:24">
      <c r="A97" s="60" t="s">
        <v>906</v>
      </c>
      <c r="B97" s="60" t="s">
        <v>332</v>
      </c>
      <c r="C97" s="60" t="s">
        <v>333</v>
      </c>
      <c r="D97" s="60" t="s">
        <v>334</v>
      </c>
      <c r="E97" s="61" t="s">
        <v>46</v>
      </c>
      <c r="F97" s="62" t="s">
        <v>46</v>
      </c>
      <c r="G97" s="63" t="s">
        <v>46</v>
      </c>
      <c r="H97" s="64"/>
      <c r="I97" s="64" t="s">
        <v>47</v>
      </c>
      <c r="J97" s="65">
        <v>1</v>
      </c>
      <c r="K97" s="66">
        <f>8710</f>
        <v>8710</v>
      </c>
      <c r="L97" s="67" t="s">
        <v>77</v>
      </c>
      <c r="M97" s="66">
        <f>9430</f>
        <v>9430</v>
      </c>
      <c r="N97" s="67" t="s">
        <v>100</v>
      </c>
      <c r="O97" s="66">
        <f>8630</f>
        <v>8630</v>
      </c>
      <c r="P97" s="67" t="s">
        <v>77</v>
      </c>
      <c r="Q97" s="66">
        <f>9170</f>
        <v>9170</v>
      </c>
      <c r="R97" s="67" t="s">
        <v>872</v>
      </c>
      <c r="S97" s="68">
        <f>9051.11</f>
        <v>9051.11</v>
      </c>
      <c r="T97" s="65">
        <f>438870</f>
        <v>438870</v>
      </c>
      <c r="U97" s="65">
        <f>37</f>
        <v>37</v>
      </c>
      <c r="V97" s="65">
        <f>3962670820</f>
        <v>3962670820</v>
      </c>
      <c r="W97" s="65">
        <f>340870</f>
        <v>340870</v>
      </c>
      <c r="X97" s="69">
        <f>18</f>
        <v>18</v>
      </c>
    </row>
    <row r="98" spans="1:24">
      <c r="A98" s="60" t="s">
        <v>906</v>
      </c>
      <c r="B98" s="60" t="s">
        <v>335</v>
      </c>
      <c r="C98" s="60" t="s">
        <v>336</v>
      </c>
      <c r="D98" s="60" t="s">
        <v>337</v>
      </c>
      <c r="E98" s="61" t="s">
        <v>46</v>
      </c>
      <c r="F98" s="62" t="s">
        <v>46</v>
      </c>
      <c r="G98" s="63" t="s">
        <v>46</v>
      </c>
      <c r="H98" s="64"/>
      <c r="I98" s="64" t="s">
        <v>47</v>
      </c>
      <c r="J98" s="65">
        <v>1</v>
      </c>
      <c r="K98" s="66">
        <f>98400</f>
        <v>98400</v>
      </c>
      <c r="L98" s="67" t="s">
        <v>77</v>
      </c>
      <c r="M98" s="66">
        <f>98400</f>
        <v>98400</v>
      </c>
      <c r="N98" s="67" t="s">
        <v>77</v>
      </c>
      <c r="O98" s="66">
        <f>88100</f>
        <v>88100</v>
      </c>
      <c r="P98" s="67" t="s">
        <v>176</v>
      </c>
      <c r="Q98" s="66">
        <f>92300</f>
        <v>92300</v>
      </c>
      <c r="R98" s="67" t="s">
        <v>872</v>
      </c>
      <c r="S98" s="68">
        <f>92688.89</f>
        <v>92688.89</v>
      </c>
      <c r="T98" s="65">
        <f>4170</f>
        <v>4170</v>
      </c>
      <c r="U98" s="65">
        <f>4</f>
        <v>4</v>
      </c>
      <c r="V98" s="65">
        <f>388386000</f>
        <v>388386000</v>
      </c>
      <c r="W98" s="65">
        <f>377700</f>
        <v>377700</v>
      </c>
      <c r="X98" s="69">
        <f>18</f>
        <v>18</v>
      </c>
    </row>
    <row r="99" spans="1:24">
      <c r="A99" s="60" t="s">
        <v>906</v>
      </c>
      <c r="B99" s="60" t="s">
        <v>338</v>
      </c>
      <c r="C99" s="60" t="s">
        <v>339</v>
      </c>
      <c r="D99" s="60" t="s">
        <v>340</v>
      </c>
      <c r="E99" s="61" t="s">
        <v>46</v>
      </c>
      <c r="F99" s="62" t="s">
        <v>46</v>
      </c>
      <c r="G99" s="63" t="s">
        <v>46</v>
      </c>
      <c r="H99" s="64"/>
      <c r="I99" s="64" t="s">
        <v>47</v>
      </c>
      <c r="J99" s="65">
        <v>1</v>
      </c>
      <c r="K99" s="66">
        <f>14960</f>
        <v>14960</v>
      </c>
      <c r="L99" s="67" t="s">
        <v>77</v>
      </c>
      <c r="M99" s="66">
        <f>15280</f>
        <v>15280</v>
      </c>
      <c r="N99" s="67" t="s">
        <v>88</v>
      </c>
      <c r="O99" s="66">
        <f>14450</f>
        <v>14450</v>
      </c>
      <c r="P99" s="67" t="s">
        <v>92</v>
      </c>
      <c r="Q99" s="66">
        <f>15240</f>
        <v>15240</v>
      </c>
      <c r="R99" s="67" t="s">
        <v>872</v>
      </c>
      <c r="S99" s="68">
        <f>14883.89</f>
        <v>14883.89</v>
      </c>
      <c r="T99" s="65">
        <f>1890611</f>
        <v>1890611</v>
      </c>
      <c r="U99" s="65">
        <f>46197</f>
        <v>46197</v>
      </c>
      <c r="V99" s="65">
        <f>27968345284</f>
        <v>27968345284</v>
      </c>
      <c r="W99" s="65">
        <f>693726324</f>
        <v>693726324</v>
      </c>
      <c r="X99" s="69">
        <f>18</f>
        <v>18</v>
      </c>
    </row>
    <row r="100" spans="1:24">
      <c r="A100" s="60" t="s">
        <v>906</v>
      </c>
      <c r="B100" s="60" t="s">
        <v>341</v>
      </c>
      <c r="C100" s="60" t="s">
        <v>342</v>
      </c>
      <c r="D100" s="60" t="s">
        <v>343</v>
      </c>
      <c r="E100" s="61" t="s">
        <v>46</v>
      </c>
      <c r="F100" s="62" t="s">
        <v>46</v>
      </c>
      <c r="G100" s="63" t="s">
        <v>46</v>
      </c>
      <c r="H100" s="64"/>
      <c r="I100" s="64" t="s">
        <v>47</v>
      </c>
      <c r="J100" s="65">
        <v>1</v>
      </c>
      <c r="K100" s="66">
        <f>36550</f>
        <v>36550</v>
      </c>
      <c r="L100" s="67" t="s">
        <v>77</v>
      </c>
      <c r="M100" s="66">
        <f>37350</f>
        <v>37350</v>
      </c>
      <c r="N100" s="67" t="s">
        <v>88</v>
      </c>
      <c r="O100" s="66">
        <f>36050</f>
        <v>36050</v>
      </c>
      <c r="P100" s="67" t="s">
        <v>92</v>
      </c>
      <c r="Q100" s="66">
        <f>37200</f>
        <v>37200</v>
      </c>
      <c r="R100" s="67" t="s">
        <v>872</v>
      </c>
      <c r="S100" s="68">
        <f>36686.11</f>
        <v>36686.11</v>
      </c>
      <c r="T100" s="65">
        <f>180227</f>
        <v>180227</v>
      </c>
      <c r="U100" s="65">
        <f>13007</f>
        <v>13007</v>
      </c>
      <c r="V100" s="65">
        <f>6617085800</f>
        <v>6617085800</v>
      </c>
      <c r="W100" s="65">
        <f>483116750</f>
        <v>483116750</v>
      </c>
      <c r="X100" s="69">
        <f>18</f>
        <v>18</v>
      </c>
    </row>
    <row r="101" spans="1:24">
      <c r="A101" s="60" t="s">
        <v>906</v>
      </c>
      <c r="B101" s="60" t="s">
        <v>344</v>
      </c>
      <c r="C101" s="60" t="s">
        <v>345</v>
      </c>
      <c r="D101" s="60" t="s">
        <v>346</v>
      </c>
      <c r="E101" s="61" t="s">
        <v>46</v>
      </c>
      <c r="F101" s="62" t="s">
        <v>46</v>
      </c>
      <c r="G101" s="63" t="s">
        <v>46</v>
      </c>
      <c r="H101" s="64"/>
      <c r="I101" s="64" t="s">
        <v>47</v>
      </c>
      <c r="J101" s="65">
        <v>10</v>
      </c>
      <c r="K101" s="66">
        <f>4940</f>
        <v>4940</v>
      </c>
      <c r="L101" s="67" t="s">
        <v>77</v>
      </c>
      <c r="M101" s="66">
        <f>5040</f>
        <v>5040</v>
      </c>
      <c r="N101" s="67" t="s">
        <v>88</v>
      </c>
      <c r="O101" s="66">
        <f>4835</f>
        <v>4835</v>
      </c>
      <c r="P101" s="67" t="s">
        <v>92</v>
      </c>
      <c r="Q101" s="66">
        <f>5010</f>
        <v>5010</v>
      </c>
      <c r="R101" s="67" t="s">
        <v>872</v>
      </c>
      <c r="S101" s="68">
        <f>4938.61</f>
        <v>4938.6099999999997</v>
      </c>
      <c r="T101" s="65">
        <f>1120500</f>
        <v>1120500</v>
      </c>
      <c r="U101" s="65">
        <f>62780</f>
        <v>62780</v>
      </c>
      <c r="V101" s="65">
        <f>5529828156</f>
        <v>5529828156</v>
      </c>
      <c r="W101" s="65">
        <f>311950906</f>
        <v>311950906</v>
      </c>
      <c r="X101" s="69">
        <f>18</f>
        <v>18</v>
      </c>
    </row>
    <row r="102" spans="1:24">
      <c r="A102" s="60" t="s">
        <v>906</v>
      </c>
      <c r="B102" s="60" t="s">
        <v>347</v>
      </c>
      <c r="C102" s="60" t="s">
        <v>348</v>
      </c>
      <c r="D102" s="60" t="s">
        <v>349</v>
      </c>
      <c r="E102" s="61" t="s">
        <v>46</v>
      </c>
      <c r="F102" s="62" t="s">
        <v>46</v>
      </c>
      <c r="G102" s="63" t="s">
        <v>46</v>
      </c>
      <c r="H102" s="64"/>
      <c r="I102" s="64" t="s">
        <v>47</v>
      </c>
      <c r="J102" s="65">
        <v>10</v>
      </c>
      <c r="K102" s="66">
        <f>3300</f>
        <v>3300</v>
      </c>
      <c r="L102" s="67" t="s">
        <v>77</v>
      </c>
      <c r="M102" s="66">
        <f>3380</f>
        <v>3380</v>
      </c>
      <c r="N102" s="67" t="s">
        <v>872</v>
      </c>
      <c r="O102" s="66">
        <f>3235</f>
        <v>3235</v>
      </c>
      <c r="P102" s="67" t="s">
        <v>92</v>
      </c>
      <c r="Q102" s="66">
        <f>3360</f>
        <v>3360</v>
      </c>
      <c r="R102" s="67" t="s">
        <v>872</v>
      </c>
      <c r="S102" s="68">
        <f>3311.67</f>
        <v>3311.67</v>
      </c>
      <c r="T102" s="65">
        <f>86120</f>
        <v>86120</v>
      </c>
      <c r="U102" s="65">
        <f>50</f>
        <v>50</v>
      </c>
      <c r="V102" s="65">
        <f>284931500</f>
        <v>284931500</v>
      </c>
      <c r="W102" s="65">
        <f>166050</f>
        <v>166050</v>
      </c>
      <c r="X102" s="69">
        <f>18</f>
        <v>18</v>
      </c>
    </row>
    <row r="103" spans="1:24">
      <c r="A103" s="60" t="s">
        <v>906</v>
      </c>
      <c r="B103" s="60" t="s">
        <v>350</v>
      </c>
      <c r="C103" s="60" t="s">
        <v>351</v>
      </c>
      <c r="D103" s="60" t="s">
        <v>352</v>
      </c>
      <c r="E103" s="61" t="s">
        <v>46</v>
      </c>
      <c r="F103" s="62" t="s">
        <v>46</v>
      </c>
      <c r="G103" s="63" t="s">
        <v>46</v>
      </c>
      <c r="H103" s="64"/>
      <c r="I103" s="64" t="s">
        <v>47</v>
      </c>
      <c r="J103" s="65">
        <v>10</v>
      </c>
      <c r="K103" s="66">
        <f>5410</f>
        <v>5410</v>
      </c>
      <c r="L103" s="67" t="s">
        <v>77</v>
      </c>
      <c r="M103" s="66">
        <f>5410</f>
        <v>5410</v>
      </c>
      <c r="N103" s="67" t="s">
        <v>77</v>
      </c>
      <c r="O103" s="66">
        <f>4895</f>
        <v>4895</v>
      </c>
      <c r="P103" s="67" t="s">
        <v>100</v>
      </c>
      <c r="Q103" s="66">
        <f>5120</f>
        <v>5120</v>
      </c>
      <c r="R103" s="67" t="s">
        <v>872</v>
      </c>
      <c r="S103" s="68">
        <f>5126.11</f>
        <v>5126.1099999999997</v>
      </c>
      <c r="T103" s="65">
        <f>14880</f>
        <v>14880</v>
      </c>
      <c r="U103" s="65" t="str">
        <f>"－"</f>
        <v>－</v>
      </c>
      <c r="V103" s="65">
        <f>75872400</f>
        <v>75872400</v>
      </c>
      <c r="W103" s="65" t="str">
        <f>"－"</f>
        <v>－</v>
      </c>
      <c r="X103" s="69">
        <f>18</f>
        <v>18</v>
      </c>
    </row>
    <row r="104" spans="1:24">
      <c r="A104" s="60" t="s">
        <v>906</v>
      </c>
      <c r="B104" s="60" t="s">
        <v>353</v>
      </c>
      <c r="C104" s="60" t="s">
        <v>354</v>
      </c>
      <c r="D104" s="60" t="s">
        <v>355</v>
      </c>
      <c r="E104" s="61" t="s">
        <v>46</v>
      </c>
      <c r="F104" s="62" t="s">
        <v>46</v>
      </c>
      <c r="G104" s="63" t="s">
        <v>46</v>
      </c>
      <c r="H104" s="64"/>
      <c r="I104" s="64" t="s">
        <v>47</v>
      </c>
      <c r="J104" s="65">
        <v>1</v>
      </c>
      <c r="K104" s="66">
        <f>3445</f>
        <v>3445</v>
      </c>
      <c r="L104" s="67" t="s">
        <v>77</v>
      </c>
      <c r="M104" s="66">
        <f>4155</f>
        <v>4155</v>
      </c>
      <c r="N104" s="67" t="s">
        <v>92</v>
      </c>
      <c r="O104" s="66">
        <f>2994</f>
        <v>2994</v>
      </c>
      <c r="P104" s="67" t="s">
        <v>88</v>
      </c>
      <c r="Q104" s="66">
        <f>3030</f>
        <v>3030</v>
      </c>
      <c r="R104" s="67" t="s">
        <v>872</v>
      </c>
      <c r="S104" s="68">
        <f>3428.33</f>
        <v>3428.33</v>
      </c>
      <c r="T104" s="65">
        <f>24575834</f>
        <v>24575834</v>
      </c>
      <c r="U104" s="65">
        <f>1782</f>
        <v>1782</v>
      </c>
      <c r="V104" s="65">
        <f>86366204303</f>
        <v>86366204303</v>
      </c>
      <c r="W104" s="65">
        <f>6561105</f>
        <v>6561105</v>
      </c>
      <c r="X104" s="69">
        <f>18</f>
        <v>18</v>
      </c>
    </row>
    <row r="105" spans="1:24">
      <c r="A105" s="60" t="s">
        <v>906</v>
      </c>
      <c r="B105" s="60" t="s">
        <v>356</v>
      </c>
      <c r="C105" s="60" t="s">
        <v>357</v>
      </c>
      <c r="D105" s="60" t="s">
        <v>358</v>
      </c>
      <c r="E105" s="61" t="s">
        <v>46</v>
      </c>
      <c r="F105" s="62" t="s">
        <v>46</v>
      </c>
      <c r="G105" s="63" t="s">
        <v>46</v>
      </c>
      <c r="H105" s="64"/>
      <c r="I105" s="64" t="s">
        <v>47</v>
      </c>
      <c r="J105" s="65">
        <v>10</v>
      </c>
      <c r="K105" s="66">
        <f>2865</f>
        <v>2865</v>
      </c>
      <c r="L105" s="67" t="s">
        <v>77</v>
      </c>
      <c r="M105" s="66">
        <f>2927</f>
        <v>2927</v>
      </c>
      <c r="N105" s="67" t="s">
        <v>872</v>
      </c>
      <c r="O105" s="66">
        <f>2760</f>
        <v>2760</v>
      </c>
      <c r="P105" s="67" t="s">
        <v>92</v>
      </c>
      <c r="Q105" s="66">
        <f>2917</f>
        <v>2917</v>
      </c>
      <c r="R105" s="67" t="s">
        <v>872</v>
      </c>
      <c r="S105" s="68">
        <f>2862.06</f>
        <v>2862.06</v>
      </c>
      <c r="T105" s="65">
        <f>94130</f>
        <v>94130</v>
      </c>
      <c r="U105" s="65">
        <f>60</f>
        <v>60</v>
      </c>
      <c r="V105" s="65">
        <f>268944330</f>
        <v>268944330</v>
      </c>
      <c r="W105" s="65">
        <f>170860</f>
        <v>170860</v>
      </c>
      <c r="X105" s="69">
        <f>18</f>
        <v>18</v>
      </c>
    </row>
    <row r="106" spans="1:24">
      <c r="A106" s="60" t="s">
        <v>906</v>
      </c>
      <c r="B106" s="60" t="s">
        <v>359</v>
      </c>
      <c r="C106" s="60" t="s">
        <v>360</v>
      </c>
      <c r="D106" s="60" t="s">
        <v>361</v>
      </c>
      <c r="E106" s="61" t="s">
        <v>46</v>
      </c>
      <c r="F106" s="62" t="s">
        <v>46</v>
      </c>
      <c r="G106" s="63" t="s">
        <v>46</v>
      </c>
      <c r="H106" s="64"/>
      <c r="I106" s="64" t="s">
        <v>47</v>
      </c>
      <c r="J106" s="65">
        <v>10</v>
      </c>
      <c r="K106" s="66">
        <f>1663</f>
        <v>1663</v>
      </c>
      <c r="L106" s="67" t="s">
        <v>77</v>
      </c>
      <c r="M106" s="66">
        <f>1680</f>
        <v>1680</v>
      </c>
      <c r="N106" s="67" t="s">
        <v>860</v>
      </c>
      <c r="O106" s="66">
        <f>1602</f>
        <v>1602</v>
      </c>
      <c r="P106" s="67" t="s">
        <v>371</v>
      </c>
      <c r="Q106" s="66">
        <f>1671</f>
        <v>1671</v>
      </c>
      <c r="R106" s="67" t="s">
        <v>872</v>
      </c>
      <c r="S106" s="68">
        <f>1647.67</f>
        <v>1647.67</v>
      </c>
      <c r="T106" s="65">
        <f>117510</f>
        <v>117510</v>
      </c>
      <c r="U106" s="65">
        <f>60</f>
        <v>60</v>
      </c>
      <c r="V106" s="65">
        <f>193468290</f>
        <v>193468290</v>
      </c>
      <c r="W106" s="65">
        <f>98650</f>
        <v>98650</v>
      </c>
      <c r="X106" s="69">
        <f>18</f>
        <v>18</v>
      </c>
    </row>
    <row r="107" spans="1:24">
      <c r="A107" s="60" t="s">
        <v>906</v>
      </c>
      <c r="B107" s="60" t="s">
        <v>362</v>
      </c>
      <c r="C107" s="60" t="s">
        <v>363</v>
      </c>
      <c r="D107" s="60" t="s">
        <v>364</v>
      </c>
      <c r="E107" s="61" t="s">
        <v>46</v>
      </c>
      <c r="F107" s="62" t="s">
        <v>46</v>
      </c>
      <c r="G107" s="63" t="s">
        <v>46</v>
      </c>
      <c r="H107" s="64"/>
      <c r="I107" s="64" t="s">
        <v>47</v>
      </c>
      <c r="J107" s="65">
        <v>1</v>
      </c>
      <c r="K107" s="66">
        <f>45450</f>
        <v>45450</v>
      </c>
      <c r="L107" s="67" t="s">
        <v>77</v>
      </c>
      <c r="M107" s="66">
        <f>46350</f>
        <v>46350</v>
      </c>
      <c r="N107" s="67" t="s">
        <v>88</v>
      </c>
      <c r="O107" s="66">
        <f>44500</f>
        <v>44500</v>
      </c>
      <c r="P107" s="67" t="s">
        <v>92</v>
      </c>
      <c r="Q107" s="66">
        <f>46150</f>
        <v>46150</v>
      </c>
      <c r="R107" s="67" t="s">
        <v>872</v>
      </c>
      <c r="S107" s="68">
        <f>45433.33</f>
        <v>45433.33</v>
      </c>
      <c r="T107" s="65">
        <f>154315</f>
        <v>154315</v>
      </c>
      <c r="U107" s="65">
        <f>32000</f>
        <v>32000</v>
      </c>
      <c r="V107" s="65">
        <f>7008365124</f>
        <v>7008365124</v>
      </c>
      <c r="W107" s="65">
        <f>1455716424</f>
        <v>1455716424</v>
      </c>
      <c r="X107" s="69">
        <f>18</f>
        <v>18</v>
      </c>
    </row>
    <row r="108" spans="1:24">
      <c r="A108" s="60" t="s">
        <v>906</v>
      </c>
      <c r="B108" s="60" t="s">
        <v>365</v>
      </c>
      <c r="C108" s="60" t="s">
        <v>366</v>
      </c>
      <c r="D108" s="60" t="s">
        <v>367</v>
      </c>
      <c r="E108" s="61" t="s">
        <v>46</v>
      </c>
      <c r="F108" s="62" t="s">
        <v>46</v>
      </c>
      <c r="G108" s="63" t="s">
        <v>46</v>
      </c>
      <c r="H108" s="64"/>
      <c r="I108" s="64" t="s">
        <v>47</v>
      </c>
      <c r="J108" s="65">
        <v>1</v>
      </c>
      <c r="K108" s="66">
        <f>3020</f>
        <v>3020</v>
      </c>
      <c r="L108" s="67" t="s">
        <v>77</v>
      </c>
      <c r="M108" s="66">
        <f>3045</f>
        <v>3045</v>
      </c>
      <c r="N108" s="67" t="s">
        <v>872</v>
      </c>
      <c r="O108" s="66">
        <f>2950</f>
        <v>2950</v>
      </c>
      <c r="P108" s="67" t="s">
        <v>371</v>
      </c>
      <c r="Q108" s="66">
        <f>3040</f>
        <v>3040</v>
      </c>
      <c r="R108" s="67" t="s">
        <v>872</v>
      </c>
      <c r="S108" s="68">
        <f>3006.11</f>
        <v>3006.11</v>
      </c>
      <c r="T108" s="65">
        <f>9951</f>
        <v>9951</v>
      </c>
      <c r="U108" s="65" t="str">
        <f>"－"</f>
        <v>－</v>
      </c>
      <c r="V108" s="65">
        <f>29940581</f>
        <v>29940581</v>
      </c>
      <c r="W108" s="65" t="str">
        <f>"－"</f>
        <v>－</v>
      </c>
      <c r="X108" s="69">
        <f>18</f>
        <v>18</v>
      </c>
    </row>
    <row r="109" spans="1:24">
      <c r="A109" s="60" t="s">
        <v>906</v>
      </c>
      <c r="B109" s="60" t="s">
        <v>368</v>
      </c>
      <c r="C109" s="60" t="s">
        <v>369</v>
      </c>
      <c r="D109" s="60" t="s">
        <v>370</v>
      </c>
      <c r="E109" s="61" t="s">
        <v>46</v>
      </c>
      <c r="F109" s="62" t="s">
        <v>46</v>
      </c>
      <c r="G109" s="63" t="s">
        <v>46</v>
      </c>
      <c r="H109" s="64"/>
      <c r="I109" s="64" t="s">
        <v>47</v>
      </c>
      <c r="J109" s="65">
        <v>1</v>
      </c>
      <c r="K109" s="66">
        <f>4160</f>
        <v>4160</v>
      </c>
      <c r="L109" s="67" t="s">
        <v>77</v>
      </c>
      <c r="M109" s="66">
        <f>4200</f>
        <v>4200</v>
      </c>
      <c r="N109" s="67" t="s">
        <v>860</v>
      </c>
      <c r="O109" s="66">
        <f>4075</f>
        <v>4075</v>
      </c>
      <c r="P109" s="67" t="s">
        <v>268</v>
      </c>
      <c r="Q109" s="66">
        <f>4130</f>
        <v>4130</v>
      </c>
      <c r="R109" s="67" t="s">
        <v>872</v>
      </c>
      <c r="S109" s="68">
        <f>4127.78</f>
        <v>4127.78</v>
      </c>
      <c r="T109" s="65">
        <f>3121</f>
        <v>3121</v>
      </c>
      <c r="U109" s="65" t="str">
        <f>"－"</f>
        <v>－</v>
      </c>
      <c r="V109" s="65">
        <f>12898820</f>
        <v>12898820</v>
      </c>
      <c r="W109" s="65" t="str">
        <f>"－"</f>
        <v>－</v>
      </c>
      <c r="X109" s="69">
        <f>18</f>
        <v>18</v>
      </c>
    </row>
    <row r="110" spans="1:24">
      <c r="A110" s="60" t="s">
        <v>906</v>
      </c>
      <c r="B110" s="60" t="s">
        <v>372</v>
      </c>
      <c r="C110" s="60" t="s">
        <v>373</v>
      </c>
      <c r="D110" s="60" t="s">
        <v>374</v>
      </c>
      <c r="E110" s="61" t="s">
        <v>46</v>
      </c>
      <c r="F110" s="62" t="s">
        <v>46</v>
      </c>
      <c r="G110" s="63" t="s">
        <v>46</v>
      </c>
      <c r="H110" s="64"/>
      <c r="I110" s="64" t="s">
        <v>47</v>
      </c>
      <c r="J110" s="65">
        <v>1</v>
      </c>
      <c r="K110" s="66">
        <f>3610</f>
        <v>3610</v>
      </c>
      <c r="L110" s="67" t="s">
        <v>77</v>
      </c>
      <c r="M110" s="66">
        <f>3615</f>
        <v>3615</v>
      </c>
      <c r="N110" s="67" t="s">
        <v>77</v>
      </c>
      <c r="O110" s="66">
        <f>3230</f>
        <v>3230</v>
      </c>
      <c r="P110" s="67" t="s">
        <v>92</v>
      </c>
      <c r="Q110" s="66">
        <f>3405</f>
        <v>3405</v>
      </c>
      <c r="R110" s="67" t="s">
        <v>872</v>
      </c>
      <c r="S110" s="68">
        <f>3419.44</f>
        <v>3419.44</v>
      </c>
      <c r="T110" s="65">
        <f>159376</f>
        <v>159376</v>
      </c>
      <c r="U110" s="65">
        <f>32</f>
        <v>32</v>
      </c>
      <c r="V110" s="65">
        <f>544204650</f>
        <v>544204650</v>
      </c>
      <c r="W110" s="65">
        <f>108005</f>
        <v>108005</v>
      </c>
      <c r="X110" s="69">
        <f>18</f>
        <v>18</v>
      </c>
    </row>
    <row r="111" spans="1:24">
      <c r="A111" s="60" t="s">
        <v>906</v>
      </c>
      <c r="B111" s="60" t="s">
        <v>375</v>
      </c>
      <c r="C111" s="60" t="s">
        <v>376</v>
      </c>
      <c r="D111" s="60" t="s">
        <v>377</v>
      </c>
      <c r="E111" s="61" t="s">
        <v>46</v>
      </c>
      <c r="F111" s="62" t="s">
        <v>46</v>
      </c>
      <c r="G111" s="63" t="s">
        <v>46</v>
      </c>
      <c r="H111" s="64"/>
      <c r="I111" s="64" t="s">
        <v>47</v>
      </c>
      <c r="J111" s="65">
        <v>1</v>
      </c>
      <c r="K111" s="66">
        <f>44700</f>
        <v>44700</v>
      </c>
      <c r="L111" s="67" t="s">
        <v>77</v>
      </c>
      <c r="M111" s="66">
        <f>45250</f>
        <v>45250</v>
      </c>
      <c r="N111" s="67" t="s">
        <v>872</v>
      </c>
      <c r="O111" s="66">
        <f>44450</f>
        <v>44450</v>
      </c>
      <c r="P111" s="67" t="s">
        <v>92</v>
      </c>
      <c r="Q111" s="66">
        <f>45100</f>
        <v>45100</v>
      </c>
      <c r="R111" s="67" t="s">
        <v>872</v>
      </c>
      <c r="S111" s="68">
        <f>44675</f>
        <v>44675</v>
      </c>
      <c r="T111" s="65">
        <f>13583</f>
        <v>13583</v>
      </c>
      <c r="U111" s="65">
        <f>7</f>
        <v>7</v>
      </c>
      <c r="V111" s="65">
        <f>607343450</f>
        <v>607343450</v>
      </c>
      <c r="W111" s="65">
        <f>312600</f>
        <v>312600</v>
      </c>
      <c r="X111" s="69">
        <f>18</f>
        <v>18</v>
      </c>
    </row>
    <row r="112" spans="1:24">
      <c r="A112" s="60" t="s">
        <v>906</v>
      </c>
      <c r="B112" s="60" t="s">
        <v>378</v>
      </c>
      <c r="C112" s="60" t="s">
        <v>379</v>
      </c>
      <c r="D112" s="60" t="s">
        <v>380</v>
      </c>
      <c r="E112" s="61" t="s">
        <v>46</v>
      </c>
      <c r="F112" s="62" t="s">
        <v>46</v>
      </c>
      <c r="G112" s="63" t="s">
        <v>46</v>
      </c>
      <c r="H112" s="64"/>
      <c r="I112" s="64" t="s">
        <v>47</v>
      </c>
      <c r="J112" s="65">
        <v>10</v>
      </c>
      <c r="K112" s="66">
        <f>1279</f>
        <v>1279</v>
      </c>
      <c r="L112" s="67" t="s">
        <v>100</v>
      </c>
      <c r="M112" s="66">
        <f>1280</f>
        <v>1280</v>
      </c>
      <c r="N112" s="67" t="s">
        <v>240</v>
      </c>
      <c r="O112" s="66">
        <f>1206</f>
        <v>1206</v>
      </c>
      <c r="P112" s="67" t="s">
        <v>268</v>
      </c>
      <c r="Q112" s="66">
        <f>1280</f>
        <v>1280</v>
      </c>
      <c r="R112" s="67" t="s">
        <v>240</v>
      </c>
      <c r="S112" s="68">
        <f>1252.6</f>
        <v>1252.5999999999999</v>
      </c>
      <c r="T112" s="65">
        <f>240</f>
        <v>240</v>
      </c>
      <c r="U112" s="65" t="str">
        <f>"－"</f>
        <v>－</v>
      </c>
      <c r="V112" s="65">
        <f>301530</f>
        <v>301530</v>
      </c>
      <c r="W112" s="65" t="str">
        <f>"－"</f>
        <v>－</v>
      </c>
      <c r="X112" s="69">
        <f>5</f>
        <v>5</v>
      </c>
    </row>
    <row r="113" spans="1:24">
      <c r="A113" s="60" t="s">
        <v>906</v>
      </c>
      <c r="B113" s="60" t="s">
        <v>381</v>
      </c>
      <c r="C113" s="60" t="s">
        <v>382</v>
      </c>
      <c r="D113" s="60" t="s">
        <v>383</v>
      </c>
      <c r="E113" s="61" t="s">
        <v>46</v>
      </c>
      <c r="F113" s="62" t="s">
        <v>46</v>
      </c>
      <c r="G113" s="63" t="s">
        <v>46</v>
      </c>
      <c r="H113" s="64"/>
      <c r="I113" s="64" t="s">
        <v>47</v>
      </c>
      <c r="J113" s="65">
        <v>10</v>
      </c>
      <c r="K113" s="66">
        <f>23420</f>
        <v>23420</v>
      </c>
      <c r="L113" s="67" t="s">
        <v>77</v>
      </c>
      <c r="M113" s="66">
        <f>24260</f>
        <v>24260</v>
      </c>
      <c r="N113" s="67" t="s">
        <v>860</v>
      </c>
      <c r="O113" s="66">
        <f>21560</f>
        <v>21560</v>
      </c>
      <c r="P113" s="67" t="s">
        <v>92</v>
      </c>
      <c r="Q113" s="66">
        <f>23400</f>
        <v>23400</v>
      </c>
      <c r="R113" s="67" t="s">
        <v>872</v>
      </c>
      <c r="S113" s="68">
        <f>23065</f>
        <v>23065</v>
      </c>
      <c r="T113" s="65">
        <f>3233340</f>
        <v>3233340</v>
      </c>
      <c r="U113" s="65">
        <f>7190</f>
        <v>7190</v>
      </c>
      <c r="V113" s="65">
        <f>74502148500</f>
        <v>74502148500</v>
      </c>
      <c r="W113" s="65">
        <f>160209900</f>
        <v>160209900</v>
      </c>
      <c r="X113" s="69">
        <f>18</f>
        <v>18</v>
      </c>
    </row>
    <row r="114" spans="1:24">
      <c r="A114" s="60" t="s">
        <v>906</v>
      </c>
      <c r="B114" s="60" t="s">
        <v>384</v>
      </c>
      <c r="C114" s="60" t="s">
        <v>385</v>
      </c>
      <c r="D114" s="60" t="s">
        <v>386</v>
      </c>
      <c r="E114" s="61" t="s">
        <v>46</v>
      </c>
      <c r="F114" s="62" t="s">
        <v>46</v>
      </c>
      <c r="G114" s="63" t="s">
        <v>46</v>
      </c>
      <c r="H114" s="64"/>
      <c r="I114" s="64" t="s">
        <v>47</v>
      </c>
      <c r="J114" s="65">
        <v>10</v>
      </c>
      <c r="K114" s="66">
        <f>2274</f>
        <v>2274</v>
      </c>
      <c r="L114" s="67" t="s">
        <v>77</v>
      </c>
      <c r="M114" s="66">
        <f>2363</f>
        <v>2363</v>
      </c>
      <c r="N114" s="67" t="s">
        <v>92</v>
      </c>
      <c r="O114" s="66">
        <f>2234</f>
        <v>2234</v>
      </c>
      <c r="P114" s="67" t="s">
        <v>860</v>
      </c>
      <c r="Q114" s="66">
        <f>2266</f>
        <v>2266</v>
      </c>
      <c r="R114" s="67" t="s">
        <v>872</v>
      </c>
      <c r="S114" s="68">
        <f>2286.83</f>
        <v>2286.83</v>
      </c>
      <c r="T114" s="65">
        <f>361630</f>
        <v>361630</v>
      </c>
      <c r="U114" s="65">
        <f>750</f>
        <v>750</v>
      </c>
      <c r="V114" s="65">
        <f>829465360</f>
        <v>829465360</v>
      </c>
      <c r="W114" s="65">
        <f>1701820</f>
        <v>1701820</v>
      </c>
      <c r="X114" s="69">
        <f>18</f>
        <v>18</v>
      </c>
    </row>
    <row r="115" spans="1:24">
      <c r="A115" s="60" t="s">
        <v>906</v>
      </c>
      <c r="B115" s="60" t="s">
        <v>387</v>
      </c>
      <c r="C115" s="60" t="s">
        <v>388</v>
      </c>
      <c r="D115" s="60" t="s">
        <v>389</v>
      </c>
      <c r="E115" s="61" t="s">
        <v>46</v>
      </c>
      <c r="F115" s="62" t="s">
        <v>46</v>
      </c>
      <c r="G115" s="63" t="s">
        <v>46</v>
      </c>
      <c r="H115" s="64"/>
      <c r="I115" s="64" t="s">
        <v>47</v>
      </c>
      <c r="J115" s="65">
        <v>1</v>
      </c>
      <c r="K115" s="66">
        <f>16110</f>
        <v>16110</v>
      </c>
      <c r="L115" s="67" t="s">
        <v>77</v>
      </c>
      <c r="M115" s="66">
        <f>16850</f>
        <v>16850</v>
      </c>
      <c r="N115" s="67" t="s">
        <v>860</v>
      </c>
      <c r="O115" s="66">
        <f>14300</f>
        <v>14300</v>
      </c>
      <c r="P115" s="67" t="s">
        <v>92</v>
      </c>
      <c r="Q115" s="66">
        <f>15860</f>
        <v>15860</v>
      </c>
      <c r="R115" s="67" t="s">
        <v>872</v>
      </c>
      <c r="S115" s="68">
        <f>15511.67</f>
        <v>15511.67</v>
      </c>
      <c r="T115" s="65">
        <f>141636562</f>
        <v>141636562</v>
      </c>
      <c r="U115" s="65">
        <f>273694</f>
        <v>273694</v>
      </c>
      <c r="V115" s="65">
        <f>2186890746226</f>
        <v>2186890746226</v>
      </c>
      <c r="W115" s="65">
        <f>4153738136</f>
        <v>4153738136</v>
      </c>
      <c r="X115" s="69">
        <f>18</f>
        <v>18</v>
      </c>
    </row>
    <row r="116" spans="1:24">
      <c r="A116" s="60" t="s">
        <v>906</v>
      </c>
      <c r="B116" s="60" t="s">
        <v>390</v>
      </c>
      <c r="C116" s="60" t="s">
        <v>391</v>
      </c>
      <c r="D116" s="60" t="s">
        <v>392</v>
      </c>
      <c r="E116" s="61" t="s">
        <v>46</v>
      </c>
      <c r="F116" s="62" t="s">
        <v>46</v>
      </c>
      <c r="G116" s="63" t="s">
        <v>46</v>
      </c>
      <c r="H116" s="64"/>
      <c r="I116" s="64" t="s">
        <v>47</v>
      </c>
      <c r="J116" s="65">
        <v>1</v>
      </c>
      <c r="K116" s="66">
        <f>1012</f>
        <v>1012</v>
      </c>
      <c r="L116" s="67" t="s">
        <v>77</v>
      </c>
      <c r="M116" s="66">
        <f>1071</f>
        <v>1071</v>
      </c>
      <c r="N116" s="67" t="s">
        <v>92</v>
      </c>
      <c r="O116" s="66">
        <f>989</f>
        <v>989</v>
      </c>
      <c r="P116" s="67" t="s">
        <v>860</v>
      </c>
      <c r="Q116" s="66">
        <f>1013</f>
        <v>1013</v>
      </c>
      <c r="R116" s="67" t="s">
        <v>872</v>
      </c>
      <c r="S116" s="68">
        <f>1027.67</f>
        <v>1027.67</v>
      </c>
      <c r="T116" s="65">
        <f>11953317</f>
        <v>11953317</v>
      </c>
      <c r="U116" s="65">
        <f>3709221</f>
        <v>3709221</v>
      </c>
      <c r="V116" s="65">
        <f>12347704821</f>
        <v>12347704821</v>
      </c>
      <c r="W116" s="65">
        <f>3824355725</f>
        <v>3824355725</v>
      </c>
      <c r="X116" s="69">
        <f>18</f>
        <v>18</v>
      </c>
    </row>
    <row r="117" spans="1:24">
      <c r="A117" s="60" t="s">
        <v>906</v>
      </c>
      <c r="B117" s="60" t="s">
        <v>393</v>
      </c>
      <c r="C117" s="60" t="s">
        <v>394</v>
      </c>
      <c r="D117" s="60" t="s">
        <v>395</v>
      </c>
      <c r="E117" s="61" t="s">
        <v>46</v>
      </c>
      <c r="F117" s="62" t="s">
        <v>46</v>
      </c>
      <c r="G117" s="63" t="s">
        <v>46</v>
      </c>
      <c r="H117" s="64"/>
      <c r="I117" s="64" t="s">
        <v>47</v>
      </c>
      <c r="J117" s="65">
        <v>10</v>
      </c>
      <c r="K117" s="66">
        <f>11350</f>
        <v>11350</v>
      </c>
      <c r="L117" s="67" t="s">
        <v>77</v>
      </c>
      <c r="M117" s="66">
        <f>11600</f>
        <v>11600</v>
      </c>
      <c r="N117" s="67" t="s">
        <v>88</v>
      </c>
      <c r="O117" s="66">
        <f>10350</f>
        <v>10350</v>
      </c>
      <c r="P117" s="67" t="s">
        <v>49</v>
      </c>
      <c r="Q117" s="66">
        <f>11380</f>
        <v>11380</v>
      </c>
      <c r="R117" s="67" t="s">
        <v>872</v>
      </c>
      <c r="S117" s="68">
        <f>10935</f>
        <v>10935</v>
      </c>
      <c r="T117" s="65">
        <f>11540</f>
        <v>11540</v>
      </c>
      <c r="U117" s="65" t="str">
        <f>"－"</f>
        <v>－</v>
      </c>
      <c r="V117" s="65">
        <f>126960600</f>
        <v>126960600</v>
      </c>
      <c r="W117" s="65" t="str">
        <f>"－"</f>
        <v>－</v>
      </c>
      <c r="X117" s="69">
        <f>18</f>
        <v>18</v>
      </c>
    </row>
    <row r="118" spans="1:24">
      <c r="A118" s="60" t="s">
        <v>906</v>
      </c>
      <c r="B118" s="60" t="s">
        <v>396</v>
      </c>
      <c r="C118" s="60" t="s">
        <v>397</v>
      </c>
      <c r="D118" s="60" t="s">
        <v>398</v>
      </c>
      <c r="E118" s="61" t="s">
        <v>46</v>
      </c>
      <c r="F118" s="62" t="s">
        <v>46</v>
      </c>
      <c r="G118" s="63" t="s">
        <v>46</v>
      </c>
      <c r="H118" s="64"/>
      <c r="I118" s="64" t="s">
        <v>47</v>
      </c>
      <c r="J118" s="65">
        <v>10</v>
      </c>
      <c r="K118" s="66">
        <f>6600</f>
        <v>6600</v>
      </c>
      <c r="L118" s="67" t="s">
        <v>77</v>
      </c>
      <c r="M118" s="66">
        <f>6990</f>
        <v>6990</v>
      </c>
      <c r="N118" s="67" t="s">
        <v>92</v>
      </c>
      <c r="O118" s="66">
        <f>6540</f>
        <v>6540</v>
      </c>
      <c r="P118" s="67" t="s">
        <v>88</v>
      </c>
      <c r="Q118" s="66">
        <f>6600</f>
        <v>6600</v>
      </c>
      <c r="R118" s="67" t="s">
        <v>872</v>
      </c>
      <c r="S118" s="68">
        <f>6721.76</f>
        <v>6721.76</v>
      </c>
      <c r="T118" s="65">
        <f>3420</f>
        <v>3420</v>
      </c>
      <c r="U118" s="65" t="str">
        <f>"－"</f>
        <v>－</v>
      </c>
      <c r="V118" s="65">
        <f>23119400</f>
        <v>23119400</v>
      </c>
      <c r="W118" s="65" t="str">
        <f>"－"</f>
        <v>－</v>
      </c>
      <c r="X118" s="69">
        <f>17</f>
        <v>17</v>
      </c>
    </row>
    <row r="119" spans="1:24">
      <c r="A119" s="60" t="s">
        <v>906</v>
      </c>
      <c r="B119" s="60" t="s">
        <v>399</v>
      </c>
      <c r="C119" s="60" t="s">
        <v>400</v>
      </c>
      <c r="D119" s="60" t="s">
        <v>401</v>
      </c>
      <c r="E119" s="61" t="s">
        <v>46</v>
      </c>
      <c r="F119" s="62" t="s">
        <v>46</v>
      </c>
      <c r="G119" s="63" t="s">
        <v>46</v>
      </c>
      <c r="H119" s="64"/>
      <c r="I119" s="64" t="s">
        <v>47</v>
      </c>
      <c r="J119" s="65">
        <v>10</v>
      </c>
      <c r="K119" s="66">
        <f>1679</f>
        <v>1679</v>
      </c>
      <c r="L119" s="67" t="s">
        <v>100</v>
      </c>
      <c r="M119" s="66">
        <f>1700</f>
        <v>1700</v>
      </c>
      <c r="N119" s="67" t="s">
        <v>240</v>
      </c>
      <c r="O119" s="66">
        <f>1645</f>
        <v>1645</v>
      </c>
      <c r="P119" s="67" t="s">
        <v>613</v>
      </c>
      <c r="Q119" s="66">
        <f>1686</f>
        <v>1686</v>
      </c>
      <c r="R119" s="67" t="s">
        <v>73</v>
      </c>
      <c r="S119" s="68">
        <f>1688.75</f>
        <v>1688.75</v>
      </c>
      <c r="T119" s="65">
        <f>570</f>
        <v>570</v>
      </c>
      <c r="U119" s="65" t="str">
        <f>"－"</f>
        <v>－</v>
      </c>
      <c r="V119" s="65">
        <f>962560</f>
        <v>962560</v>
      </c>
      <c r="W119" s="65" t="str">
        <f>"－"</f>
        <v>－</v>
      </c>
      <c r="X119" s="69">
        <f>4</f>
        <v>4</v>
      </c>
    </row>
    <row r="120" spans="1:24">
      <c r="A120" s="60" t="s">
        <v>906</v>
      </c>
      <c r="B120" s="60" t="s">
        <v>402</v>
      </c>
      <c r="C120" s="60" t="s">
        <v>403</v>
      </c>
      <c r="D120" s="60" t="s">
        <v>404</v>
      </c>
      <c r="E120" s="61" t="s">
        <v>46</v>
      </c>
      <c r="F120" s="62" t="s">
        <v>46</v>
      </c>
      <c r="G120" s="63" t="s">
        <v>46</v>
      </c>
      <c r="H120" s="64"/>
      <c r="I120" s="64" t="s">
        <v>47</v>
      </c>
      <c r="J120" s="65">
        <v>10</v>
      </c>
      <c r="K120" s="66">
        <f>854</f>
        <v>854</v>
      </c>
      <c r="L120" s="67" t="s">
        <v>77</v>
      </c>
      <c r="M120" s="66">
        <f>938</f>
        <v>938</v>
      </c>
      <c r="N120" s="67" t="s">
        <v>88</v>
      </c>
      <c r="O120" s="66">
        <f>832</f>
        <v>832</v>
      </c>
      <c r="P120" s="67" t="s">
        <v>49</v>
      </c>
      <c r="Q120" s="66">
        <f>916</f>
        <v>916</v>
      </c>
      <c r="R120" s="67" t="s">
        <v>872</v>
      </c>
      <c r="S120" s="68">
        <f>869</f>
        <v>869</v>
      </c>
      <c r="T120" s="65">
        <f>28740</f>
        <v>28740</v>
      </c>
      <c r="U120" s="65" t="str">
        <f>"－"</f>
        <v>－</v>
      </c>
      <c r="V120" s="65">
        <f>25207030</f>
        <v>25207030</v>
      </c>
      <c r="W120" s="65" t="str">
        <f>"－"</f>
        <v>－</v>
      </c>
      <c r="X120" s="69">
        <f>18</f>
        <v>18</v>
      </c>
    </row>
    <row r="121" spans="1:24">
      <c r="A121" s="60" t="s">
        <v>906</v>
      </c>
      <c r="B121" s="60" t="s">
        <v>405</v>
      </c>
      <c r="C121" s="60" t="s">
        <v>406</v>
      </c>
      <c r="D121" s="60" t="s">
        <v>407</v>
      </c>
      <c r="E121" s="61" t="s">
        <v>46</v>
      </c>
      <c r="F121" s="62" t="s">
        <v>46</v>
      </c>
      <c r="G121" s="63" t="s">
        <v>46</v>
      </c>
      <c r="H121" s="64" t="s">
        <v>878</v>
      </c>
      <c r="I121" s="64"/>
      <c r="J121" s="65">
        <v>10</v>
      </c>
      <c r="K121" s="66">
        <f>812</f>
        <v>812</v>
      </c>
      <c r="L121" s="67" t="s">
        <v>77</v>
      </c>
      <c r="M121" s="66">
        <f>829</f>
        <v>829</v>
      </c>
      <c r="N121" s="67" t="s">
        <v>872</v>
      </c>
      <c r="O121" s="66">
        <f>679</f>
        <v>679</v>
      </c>
      <c r="P121" s="67" t="s">
        <v>875</v>
      </c>
      <c r="Q121" s="66">
        <f>825</f>
        <v>825</v>
      </c>
      <c r="R121" s="67" t="s">
        <v>872</v>
      </c>
      <c r="S121" s="68">
        <f>765.61</f>
        <v>765.61</v>
      </c>
      <c r="T121" s="65">
        <f>46700</f>
        <v>46700</v>
      </c>
      <c r="U121" s="65" t="str">
        <f>"－"</f>
        <v>－</v>
      </c>
      <c r="V121" s="65">
        <f>35269970</f>
        <v>35269970</v>
      </c>
      <c r="W121" s="65" t="str">
        <f>"－"</f>
        <v>－</v>
      </c>
      <c r="X121" s="69">
        <f>18</f>
        <v>18</v>
      </c>
    </row>
    <row r="122" spans="1:24">
      <c r="A122" s="60" t="s">
        <v>906</v>
      </c>
      <c r="B122" s="60" t="s">
        <v>408</v>
      </c>
      <c r="C122" s="60" t="s">
        <v>409</v>
      </c>
      <c r="D122" s="60" t="s">
        <v>410</v>
      </c>
      <c r="E122" s="61" t="s">
        <v>46</v>
      </c>
      <c r="F122" s="62" t="s">
        <v>46</v>
      </c>
      <c r="G122" s="63" t="s">
        <v>46</v>
      </c>
      <c r="H122" s="64"/>
      <c r="I122" s="64" t="s">
        <v>47</v>
      </c>
      <c r="J122" s="65">
        <v>1</v>
      </c>
      <c r="K122" s="66">
        <f>22720</f>
        <v>22720</v>
      </c>
      <c r="L122" s="67" t="s">
        <v>77</v>
      </c>
      <c r="M122" s="66">
        <f>23290</f>
        <v>23290</v>
      </c>
      <c r="N122" s="67" t="s">
        <v>860</v>
      </c>
      <c r="O122" s="66">
        <f>22340</f>
        <v>22340</v>
      </c>
      <c r="P122" s="67" t="s">
        <v>131</v>
      </c>
      <c r="Q122" s="66">
        <f>22850</f>
        <v>22850</v>
      </c>
      <c r="R122" s="67" t="s">
        <v>872</v>
      </c>
      <c r="S122" s="68">
        <f>22896.67</f>
        <v>22896.67</v>
      </c>
      <c r="T122" s="65">
        <f>19222</f>
        <v>19222</v>
      </c>
      <c r="U122" s="65">
        <f>38</f>
        <v>38</v>
      </c>
      <c r="V122" s="65">
        <f>440691915</f>
        <v>440691915</v>
      </c>
      <c r="W122" s="65">
        <f>870455</f>
        <v>870455</v>
      </c>
      <c r="X122" s="69">
        <f>18</f>
        <v>18</v>
      </c>
    </row>
    <row r="123" spans="1:24">
      <c r="A123" s="60" t="s">
        <v>906</v>
      </c>
      <c r="B123" s="60" t="s">
        <v>411</v>
      </c>
      <c r="C123" s="60" t="s">
        <v>412</v>
      </c>
      <c r="D123" s="60" t="s">
        <v>413</v>
      </c>
      <c r="E123" s="61" t="s">
        <v>46</v>
      </c>
      <c r="F123" s="62" t="s">
        <v>46</v>
      </c>
      <c r="G123" s="63" t="s">
        <v>46</v>
      </c>
      <c r="H123" s="64"/>
      <c r="I123" s="64" t="s">
        <v>47</v>
      </c>
      <c r="J123" s="65">
        <v>1</v>
      </c>
      <c r="K123" s="66">
        <f>2322</f>
        <v>2322</v>
      </c>
      <c r="L123" s="67" t="s">
        <v>77</v>
      </c>
      <c r="M123" s="66">
        <f>2374</f>
        <v>2374</v>
      </c>
      <c r="N123" s="67" t="s">
        <v>860</v>
      </c>
      <c r="O123" s="66">
        <f>2196</f>
        <v>2196</v>
      </c>
      <c r="P123" s="67" t="s">
        <v>92</v>
      </c>
      <c r="Q123" s="66">
        <f>2306</f>
        <v>2306</v>
      </c>
      <c r="R123" s="67" t="s">
        <v>872</v>
      </c>
      <c r="S123" s="68">
        <f>2283.17</f>
        <v>2283.17</v>
      </c>
      <c r="T123" s="65">
        <f>72410</f>
        <v>72410</v>
      </c>
      <c r="U123" s="65">
        <f>5</f>
        <v>5</v>
      </c>
      <c r="V123" s="65">
        <f>163813783</f>
        <v>163813783</v>
      </c>
      <c r="W123" s="65">
        <f>11304</f>
        <v>11304</v>
      </c>
      <c r="X123" s="69">
        <f>18</f>
        <v>18</v>
      </c>
    </row>
    <row r="124" spans="1:24">
      <c r="A124" s="60" t="s">
        <v>906</v>
      </c>
      <c r="B124" s="60" t="s">
        <v>414</v>
      </c>
      <c r="C124" s="60" t="s">
        <v>415</v>
      </c>
      <c r="D124" s="60" t="s">
        <v>416</v>
      </c>
      <c r="E124" s="61" t="s">
        <v>46</v>
      </c>
      <c r="F124" s="62" t="s">
        <v>46</v>
      </c>
      <c r="G124" s="63" t="s">
        <v>46</v>
      </c>
      <c r="H124" s="64"/>
      <c r="I124" s="64" t="s">
        <v>47</v>
      </c>
      <c r="J124" s="65">
        <v>10</v>
      </c>
      <c r="K124" s="66">
        <f>17180</f>
        <v>17180</v>
      </c>
      <c r="L124" s="67" t="s">
        <v>77</v>
      </c>
      <c r="M124" s="66">
        <f>17980</f>
        <v>17980</v>
      </c>
      <c r="N124" s="67" t="s">
        <v>860</v>
      </c>
      <c r="O124" s="66">
        <f>15260</f>
        <v>15260</v>
      </c>
      <c r="P124" s="67" t="s">
        <v>92</v>
      </c>
      <c r="Q124" s="66">
        <f>16940</f>
        <v>16940</v>
      </c>
      <c r="R124" s="67" t="s">
        <v>872</v>
      </c>
      <c r="S124" s="68">
        <f>16557.22</f>
        <v>16557.22</v>
      </c>
      <c r="T124" s="65">
        <f>13118410</f>
        <v>13118410</v>
      </c>
      <c r="U124" s="65">
        <f>3610</f>
        <v>3610</v>
      </c>
      <c r="V124" s="65">
        <f>218502136645</f>
        <v>218502136645</v>
      </c>
      <c r="W124" s="65">
        <f>59828445</f>
        <v>59828445</v>
      </c>
      <c r="X124" s="69">
        <f>18</f>
        <v>18</v>
      </c>
    </row>
    <row r="125" spans="1:24">
      <c r="A125" s="60" t="s">
        <v>906</v>
      </c>
      <c r="B125" s="60" t="s">
        <v>417</v>
      </c>
      <c r="C125" s="60" t="s">
        <v>418</v>
      </c>
      <c r="D125" s="60" t="s">
        <v>419</v>
      </c>
      <c r="E125" s="61" t="s">
        <v>46</v>
      </c>
      <c r="F125" s="62" t="s">
        <v>46</v>
      </c>
      <c r="G125" s="63" t="s">
        <v>46</v>
      </c>
      <c r="H125" s="64"/>
      <c r="I125" s="64" t="s">
        <v>47</v>
      </c>
      <c r="J125" s="65">
        <v>10</v>
      </c>
      <c r="K125" s="66">
        <f>2701</f>
        <v>2701</v>
      </c>
      <c r="L125" s="67" t="s">
        <v>77</v>
      </c>
      <c r="M125" s="66">
        <f>2855</f>
        <v>2855</v>
      </c>
      <c r="N125" s="67" t="s">
        <v>92</v>
      </c>
      <c r="O125" s="66">
        <f>2639</f>
        <v>2639</v>
      </c>
      <c r="P125" s="67" t="s">
        <v>860</v>
      </c>
      <c r="Q125" s="66">
        <f>2701</f>
        <v>2701</v>
      </c>
      <c r="R125" s="67" t="s">
        <v>872</v>
      </c>
      <c r="S125" s="68">
        <f>2741.44</f>
        <v>2741.44</v>
      </c>
      <c r="T125" s="65">
        <f>1653770</f>
        <v>1653770</v>
      </c>
      <c r="U125" s="65" t="str">
        <f>"－"</f>
        <v>－</v>
      </c>
      <c r="V125" s="65">
        <f>4554887050</f>
        <v>4554887050</v>
      </c>
      <c r="W125" s="65" t="str">
        <f>"－"</f>
        <v>－</v>
      </c>
      <c r="X125" s="69">
        <f>18</f>
        <v>18</v>
      </c>
    </row>
    <row r="126" spans="1:24">
      <c r="A126" s="60" t="s">
        <v>906</v>
      </c>
      <c r="B126" s="60" t="s">
        <v>420</v>
      </c>
      <c r="C126" s="60" t="s">
        <v>421</v>
      </c>
      <c r="D126" s="60" t="s">
        <v>422</v>
      </c>
      <c r="E126" s="61" t="s">
        <v>46</v>
      </c>
      <c r="F126" s="62" t="s">
        <v>46</v>
      </c>
      <c r="G126" s="63" t="s">
        <v>46</v>
      </c>
      <c r="H126" s="64"/>
      <c r="I126" s="64" t="s">
        <v>47</v>
      </c>
      <c r="J126" s="65">
        <v>10</v>
      </c>
      <c r="K126" s="66">
        <f>974</f>
        <v>974</v>
      </c>
      <c r="L126" s="67" t="s">
        <v>77</v>
      </c>
      <c r="M126" s="66">
        <f>989</f>
        <v>989</v>
      </c>
      <c r="N126" s="67" t="s">
        <v>49</v>
      </c>
      <c r="O126" s="66">
        <f>941</f>
        <v>941</v>
      </c>
      <c r="P126" s="67" t="s">
        <v>73</v>
      </c>
      <c r="Q126" s="66">
        <f>970</f>
        <v>970</v>
      </c>
      <c r="R126" s="67" t="s">
        <v>88</v>
      </c>
      <c r="S126" s="68">
        <f>967</f>
        <v>967</v>
      </c>
      <c r="T126" s="65">
        <f>460</f>
        <v>460</v>
      </c>
      <c r="U126" s="65" t="str">
        <f>"－"</f>
        <v>－</v>
      </c>
      <c r="V126" s="65">
        <f>441000</f>
        <v>441000</v>
      </c>
      <c r="W126" s="65" t="str">
        <f>"－"</f>
        <v>－</v>
      </c>
      <c r="X126" s="69">
        <f>10</f>
        <v>10</v>
      </c>
    </row>
    <row r="127" spans="1:24">
      <c r="A127" s="60" t="s">
        <v>906</v>
      </c>
      <c r="B127" s="60" t="s">
        <v>423</v>
      </c>
      <c r="C127" s="60" t="s">
        <v>424</v>
      </c>
      <c r="D127" s="60" t="s">
        <v>425</v>
      </c>
      <c r="E127" s="61" t="s">
        <v>46</v>
      </c>
      <c r="F127" s="62" t="s">
        <v>46</v>
      </c>
      <c r="G127" s="63" t="s">
        <v>46</v>
      </c>
      <c r="H127" s="64"/>
      <c r="I127" s="64" t="s">
        <v>47</v>
      </c>
      <c r="J127" s="65">
        <v>10</v>
      </c>
      <c r="K127" s="66">
        <f>1507</f>
        <v>1507</v>
      </c>
      <c r="L127" s="67" t="s">
        <v>77</v>
      </c>
      <c r="M127" s="66">
        <f>1543</f>
        <v>1543</v>
      </c>
      <c r="N127" s="67" t="s">
        <v>860</v>
      </c>
      <c r="O127" s="66">
        <f>1428</f>
        <v>1428</v>
      </c>
      <c r="P127" s="67" t="s">
        <v>92</v>
      </c>
      <c r="Q127" s="66">
        <f>1505</f>
        <v>1505</v>
      </c>
      <c r="R127" s="67" t="s">
        <v>872</v>
      </c>
      <c r="S127" s="68">
        <f>1496.46</f>
        <v>1496.46</v>
      </c>
      <c r="T127" s="65">
        <f>59480</f>
        <v>59480</v>
      </c>
      <c r="U127" s="65">
        <f>53410</f>
        <v>53410</v>
      </c>
      <c r="V127" s="65">
        <f>89319456</f>
        <v>89319456</v>
      </c>
      <c r="W127" s="65">
        <f>80234416</f>
        <v>80234416</v>
      </c>
      <c r="X127" s="69">
        <f>13</f>
        <v>13</v>
      </c>
    </row>
    <row r="128" spans="1:24">
      <c r="A128" s="60" t="s">
        <v>906</v>
      </c>
      <c r="B128" s="60" t="s">
        <v>426</v>
      </c>
      <c r="C128" s="60" t="s">
        <v>427</v>
      </c>
      <c r="D128" s="60" t="s">
        <v>428</v>
      </c>
      <c r="E128" s="61" t="s">
        <v>46</v>
      </c>
      <c r="F128" s="62" t="s">
        <v>46</v>
      </c>
      <c r="G128" s="63" t="s">
        <v>46</v>
      </c>
      <c r="H128" s="64"/>
      <c r="I128" s="64" t="s">
        <v>47</v>
      </c>
      <c r="J128" s="65">
        <v>1</v>
      </c>
      <c r="K128" s="66">
        <f>1750</f>
        <v>1750</v>
      </c>
      <c r="L128" s="67" t="s">
        <v>77</v>
      </c>
      <c r="M128" s="66">
        <f>1750</f>
        <v>1750</v>
      </c>
      <c r="N128" s="67" t="s">
        <v>77</v>
      </c>
      <c r="O128" s="66">
        <f>1657</f>
        <v>1657</v>
      </c>
      <c r="P128" s="67" t="s">
        <v>613</v>
      </c>
      <c r="Q128" s="66">
        <f>1730</f>
        <v>1730</v>
      </c>
      <c r="R128" s="67" t="s">
        <v>88</v>
      </c>
      <c r="S128" s="68">
        <f>1702.5</f>
        <v>1702.5</v>
      </c>
      <c r="T128" s="65">
        <f>338774</f>
        <v>338774</v>
      </c>
      <c r="U128" s="65">
        <f>330000</f>
        <v>330000</v>
      </c>
      <c r="V128" s="65">
        <f>579531391</f>
        <v>579531391</v>
      </c>
      <c r="W128" s="65">
        <f>564577200</f>
        <v>564577200</v>
      </c>
      <c r="X128" s="69">
        <f>12</f>
        <v>12</v>
      </c>
    </row>
    <row r="129" spans="1:24">
      <c r="A129" s="60" t="s">
        <v>906</v>
      </c>
      <c r="B129" s="60" t="s">
        <v>429</v>
      </c>
      <c r="C129" s="60" t="s">
        <v>430</v>
      </c>
      <c r="D129" s="60" t="s">
        <v>431</v>
      </c>
      <c r="E129" s="61" t="s">
        <v>46</v>
      </c>
      <c r="F129" s="62" t="s">
        <v>46</v>
      </c>
      <c r="G129" s="63" t="s">
        <v>46</v>
      </c>
      <c r="H129" s="64"/>
      <c r="I129" s="64" t="s">
        <v>47</v>
      </c>
      <c r="J129" s="65">
        <v>1</v>
      </c>
      <c r="K129" s="66">
        <f>17360</f>
        <v>17360</v>
      </c>
      <c r="L129" s="67" t="s">
        <v>77</v>
      </c>
      <c r="M129" s="66">
        <f>17710</f>
        <v>17710</v>
      </c>
      <c r="N129" s="67" t="s">
        <v>88</v>
      </c>
      <c r="O129" s="66">
        <f>16710</f>
        <v>16710</v>
      </c>
      <c r="P129" s="67" t="s">
        <v>92</v>
      </c>
      <c r="Q129" s="66">
        <f>17430</f>
        <v>17430</v>
      </c>
      <c r="R129" s="67" t="s">
        <v>872</v>
      </c>
      <c r="S129" s="68">
        <f>17273.33</f>
        <v>17273.330000000002</v>
      </c>
      <c r="T129" s="65">
        <f>84306</f>
        <v>84306</v>
      </c>
      <c r="U129" s="65">
        <f>42351</f>
        <v>42351</v>
      </c>
      <c r="V129" s="65">
        <f>1447510787</f>
        <v>1447510787</v>
      </c>
      <c r="W129" s="65">
        <f>723940437</f>
        <v>723940437</v>
      </c>
      <c r="X129" s="69">
        <f>18</f>
        <v>18</v>
      </c>
    </row>
    <row r="130" spans="1:24">
      <c r="A130" s="60" t="s">
        <v>906</v>
      </c>
      <c r="B130" s="60" t="s">
        <v>432</v>
      </c>
      <c r="C130" s="60" t="s">
        <v>433</v>
      </c>
      <c r="D130" s="60" t="s">
        <v>434</v>
      </c>
      <c r="E130" s="61" t="s">
        <v>46</v>
      </c>
      <c r="F130" s="62" t="s">
        <v>46</v>
      </c>
      <c r="G130" s="63" t="s">
        <v>46</v>
      </c>
      <c r="H130" s="64"/>
      <c r="I130" s="64" t="s">
        <v>47</v>
      </c>
      <c r="J130" s="65">
        <v>1</v>
      </c>
      <c r="K130" s="66">
        <f>1600</f>
        <v>1600</v>
      </c>
      <c r="L130" s="67" t="s">
        <v>77</v>
      </c>
      <c r="M130" s="66">
        <f>1631</f>
        <v>1631</v>
      </c>
      <c r="N130" s="67" t="s">
        <v>88</v>
      </c>
      <c r="O130" s="66">
        <f>1542</f>
        <v>1542</v>
      </c>
      <c r="P130" s="67" t="s">
        <v>92</v>
      </c>
      <c r="Q130" s="66">
        <f>1611</f>
        <v>1611</v>
      </c>
      <c r="R130" s="67" t="s">
        <v>872</v>
      </c>
      <c r="S130" s="68">
        <f>1592.56</f>
        <v>1592.56</v>
      </c>
      <c r="T130" s="65">
        <f>145346</f>
        <v>145346</v>
      </c>
      <c r="U130" s="65">
        <f>18</f>
        <v>18</v>
      </c>
      <c r="V130" s="65">
        <f>231021242</f>
        <v>231021242</v>
      </c>
      <c r="W130" s="65">
        <f>28686</f>
        <v>28686</v>
      </c>
      <c r="X130" s="69">
        <f>18</f>
        <v>18</v>
      </c>
    </row>
    <row r="131" spans="1:24">
      <c r="A131" s="60" t="s">
        <v>906</v>
      </c>
      <c r="B131" s="60" t="s">
        <v>435</v>
      </c>
      <c r="C131" s="60" t="s">
        <v>436</v>
      </c>
      <c r="D131" s="60" t="s">
        <v>437</v>
      </c>
      <c r="E131" s="61" t="s">
        <v>46</v>
      </c>
      <c r="F131" s="62" t="s">
        <v>46</v>
      </c>
      <c r="G131" s="63" t="s">
        <v>46</v>
      </c>
      <c r="H131" s="64"/>
      <c r="I131" s="64" t="s">
        <v>47</v>
      </c>
      <c r="J131" s="65">
        <v>1</v>
      </c>
      <c r="K131" s="66">
        <f>17850</f>
        <v>17850</v>
      </c>
      <c r="L131" s="67" t="s">
        <v>77</v>
      </c>
      <c r="M131" s="66">
        <f>18210</f>
        <v>18210</v>
      </c>
      <c r="N131" s="67" t="s">
        <v>88</v>
      </c>
      <c r="O131" s="66">
        <f>17180</f>
        <v>17180</v>
      </c>
      <c r="P131" s="67" t="s">
        <v>92</v>
      </c>
      <c r="Q131" s="66">
        <f>17970</f>
        <v>17970</v>
      </c>
      <c r="R131" s="67" t="s">
        <v>872</v>
      </c>
      <c r="S131" s="68">
        <f>17772.78</f>
        <v>17772.78</v>
      </c>
      <c r="T131" s="65">
        <f>59874</f>
        <v>59874</v>
      </c>
      <c r="U131" s="65">
        <f>28204</f>
        <v>28204</v>
      </c>
      <c r="V131" s="65">
        <f>1058300090</f>
        <v>1058300090</v>
      </c>
      <c r="W131" s="65">
        <f>500593340</f>
        <v>500593340</v>
      </c>
      <c r="X131" s="69">
        <f>18</f>
        <v>18</v>
      </c>
    </row>
    <row r="132" spans="1:24">
      <c r="A132" s="60" t="s">
        <v>906</v>
      </c>
      <c r="B132" s="60" t="s">
        <v>438</v>
      </c>
      <c r="C132" s="60" t="s">
        <v>439</v>
      </c>
      <c r="D132" s="60" t="s">
        <v>440</v>
      </c>
      <c r="E132" s="61" t="s">
        <v>46</v>
      </c>
      <c r="F132" s="62" t="s">
        <v>46</v>
      </c>
      <c r="G132" s="63" t="s">
        <v>46</v>
      </c>
      <c r="H132" s="64"/>
      <c r="I132" s="64" t="s">
        <v>47</v>
      </c>
      <c r="J132" s="65">
        <v>10</v>
      </c>
      <c r="K132" s="66">
        <f>2121</f>
        <v>2121</v>
      </c>
      <c r="L132" s="67" t="s">
        <v>77</v>
      </c>
      <c r="M132" s="66">
        <f>2125</f>
        <v>2125</v>
      </c>
      <c r="N132" s="67" t="s">
        <v>77</v>
      </c>
      <c r="O132" s="66">
        <f>2045</f>
        <v>2045</v>
      </c>
      <c r="P132" s="67" t="s">
        <v>92</v>
      </c>
      <c r="Q132" s="66">
        <f>2108</f>
        <v>2108</v>
      </c>
      <c r="R132" s="67" t="s">
        <v>872</v>
      </c>
      <c r="S132" s="68">
        <f>2087.22</f>
        <v>2087.2199999999998</v>
      </c>
      <c r="T132" s="65">
        <f>1049600</f>
        <v>1049600</v>
      </c>
      <c r="U132" s="65">
        <f>210000</f>
        <v>210000</v>
      </c>
      <c r="V132" s="65">
        <f>2190153670</f>
        <v>2190153670</v>
      </c>
      <c r="W132" s="65">
        <f>439653400</f>
        <v>439653400</v>
      </c>
      <c r="X132" s="69">
        <f>18</f>
        <v>18</v>
      </c>
    </row>
    <row r="133" spans="1:24">
      <c r="A133" s="60" t="s">
        <v>906</v>
      </c>
      <c r="B133" s="60" t="s">
        <v>441</v>
      </c>
      <c r="C133" s="60" t="s">
        <v>442</v>
      </c>
      <c r="D133" s="60" t="s">
        <v>443</v>
      </c>
      <c r="E133" s="61" t="s">
        <v>46</v>
      </c>
      <c r="F133" s="62" t="s">
        <v>46</v>
      </c>
      <c r="G133" s="63" t="s">
        <v>46</v>
      </c>
      <c r="H133" s="64"/>
      <c r="I133" s="64" t="s">
        <v>47</v>
      </c>
      <c r="J133" s="65">
        <v>10</v>
      </c>
      <c r="K133" s="66">
        <f>1735</f>
        <v>1735</v>
      </c>
      <c r="L133" s="67" t="s">
        <v>860</v>
      </c>
      <c r="M133" s="66">
        <f>1735</f>
        <v>1735</v>
      </c>
      <c r="N133" s="67" t="s">
        <v>860</v>
      </c>
      <c r="O133" s="66">
        <f>1654</f>
        <v>1654</v>
      </c>
      <c r="P133" s="67" t="s">
        <v>92</v>
      </c>
      <c r="Q133" s="66">
        <f>1730</f>
        <v>1730</v>
      </c>
      <c r="R133" s="67" t="s">
        <v>88</v>
      </c>
      <c r="S133" s="68">
        <f>1698.86</f>
        <v>1698.86</v>
      </c>
      <c r="T133" s="65">
        <f>170</f>
        <v>170</v>
      </c>
      <c r="U133" s="65" t="str">
        <f>"－"</f>
        <v>－</v>
      </c>
      <c r="V133" s="65">
        <f>288250</f>
        <v>288250</v>
      </c>
      <c r="W133" s="65" t="str">
        <f>"－"</f>
        <v>－</v>
      </c>
      <c r="X133" s="69">
        <f>7</f>
        <v>7</v>
      </c>
    </row>
    <row r="134" spans="1:24">
      <c r="A134" s="60" t="s">
        <v>906</v>
      </c>
      <c r="B134" s="60" t="s">
        <v>444</v>
      </c>
      <c r="C134" s="60" t="s">
        <v>445</v>
      </c>
      <c r="D134" s="60" t="s">
        <v>446</v>
      </c>
      <c r="E134" s="61" t="s">
        <v>46</v>
      </c>
      <c r="F134" s="62" t="s">
        <v>46</v>
      </c>
      <c r="G134" s="63" t="s">
        <v>46</v>
      </c>
      <c r="H134" s="64"/>
      <c r="I134" s="64" t="s">
        <v>47</v>
      </c>
      <c r="J134" s="65">
        <v>10</v>
      </c>
      <c r="K134" s="66">
        <f>2139</f>
        <v>2139</v>
      </c>
      <c r="L134" s="67" t="s">
        <v>77</v>
      </c>
      <c r="M134" s="66">
        <f>2143</f>
        <v>2143</v>
      </c>
      <c r="N134" s="67" t="s">
        <v>77</v>
      </c>
      <c r="O134" s="66">
        <f>2060</f>
        <v>2060</v>
      </c>
      <c r="P134" s="67" t="s">
        <v>49</v>
      </c>
      <c r="Q134" s="66">
        <f>2123</f>
        <v>2123</v>
      </c>
      <c r="R134" s="67" t="s">
        <v>872</v>
      </c>
      <c r="S134" s="68">
        <f>2105.83</f>
        <v>2105.83</v>
      </c>
      <c r="T134" s="65">
        <f>374950</f>
        <v>374950</v>
      </c>
      <c r="U134" s="65">
        <f>78060</f>
        <v>78060</v>
      </c>
      <c r="V134" s="65">
        <f>788689350</f>
        <v>788689350</v>
      </c>
      <c r="W134" s="65">
        <f>165095870</f>
        <v>165095870</v>
      </c>
      <c r="X134" s="69">
        <f>18</f>
        <v>18</v>
      </c>
    </row>
    <row r="135" spans="1:24">
      <c r="A135" s="60" t="s">
        <v>906</v>
      </c>
      <c r="B135" s="60" t="s">
        <v>447</v>
      </c>
      <c r="C135" s="60" t="s">
        <v>448</v>
      </c>
      <c r="D135" s="60" t="s">
        <v>449</v>
      </c>
      <c r="E135" s="61" t="s">
        <v>46</v>
      </c>
      <c r="F135" s="62" t="s">
        <v>46</v>
      </c>
      <c r="G135" s="63" t="s">
        <v>46</v>
      </c>
      <c r="H135" s="64"/>
      <c r="I135" s="64" t="s">
        <v>47</v>
      </c>
      <c r="J135" s="65">
        <v>1</v>
      </c>
      <c r="K135" s="66" t="str">
        <f>"－"</f>
        <v>－</v>
      </c>
      <c r="L135" s="67"/>
      <c r="M135" s="66" t="str">
        <f>"－"</f>
        <v>－</v>
      </c>
      <c r="N135" s="67"/>
      <c r="O135" s="66" t="str">
        <f>"－"</f>
        <v>－</v>
      </c>
      <c r="P135" s="67"/>
      <c r="Q135" s="66" t="str">
        <f>"－"</f>
        <v>－</v>
      </c>
      <c r="R135" s="67"/>
      <c r="S135" s="68" t="str">
        <f t="shared" ref="S135:X135" si="4">"－"</f>
        <v>－</v>
      </c>
      <c r="T135" s="65" t="str">
        <f t="shared" si="4"/>
        <v>－</v>
      </c>
      <c r="U135" s="65" t="str">
        <f t="shared" si="4"/>
        <v>－</v>
      </c>
      <c r="V135" s="65" t="str">
        <f t="shared" si="4"/>
        <v>－</v>
      </c>
      <c r="W135" s="65" t="str">
        <f t="shared" si="4"/>
        <v>－</v>
      </c>
      <c r="X135" s="69" t="str">
        <f t="shared" si="4"/>
        <v>－</v>
      </c>
    </row>
    <row r="136" spans="1:24">
      <c r="A136" s="60" t="s">
        <v>906</v>
      </c>
      <c r="B136" s="60" t="s">
        <v>450</v>
      </c>
      <c r="C136" s="60" t="s">
        <v>451</v>
      </c>
      <c r="D136" s="60" t="s">
        <v>452</v>
      </c>
      <c r="E136" s="61" t="s">
        <v>46</v>
      </c>
      <c r="F136" s="62" t="s">
        <v>46</v>
      </c>
      <c r="G136" s="63" t="s">
        <v>46</v>
      </c>
      <c r="H136" s="64"/>
      <c r="I136" s="64" t="s">
        <v>47</v>
      </c>
      <c r="J136" s="65">
        <v>1</v>
      </c>
      <c r="K136" s="66">
        <f>17680</f>
        <v>17680</v>
      </c>
      <c r="L136" s="67" t="s">
        <v>77</v>
      </c>
      <c r="M136" s="66">
        <f>18030</f>
        <v>18030</v>
      </c>
      <c r="N136" s="67" t="s">
        <v>88</v>
      </c>
      <c r="O136" s="66">
        <f>17050</f>
        <v>17050</v>
      </c>
      <c r="P136" s="67" t="s">
        <v>92</v>
      </c>
      <c r="Q136" s="66">
        <f>17800</f>
        <v>17800</v>
      </c>
      <c r="R136" s="67" t="s">
        <v>872</v>
      </c>
      <c r="S136" s="68">
        <f>17613.57</f>
        <v>17613.57</v>
      </c>
      <c r="T136" s="65">
        <f>3822</f>
        <v>3822</v>
      </c>
      <c r="U136" s="65" t="str">
        <f>"－"</f>
        <v>－</v>
      </c>
      <c r="V136" s="65">
        <f>66510860</f>
        <v>66510860</v>
      </c>
      <c r="W136" s="65" t="str">
        <f>"－"</f>
        <v>－</v>
      </c>
      <c r="X136" s="69">
        <f>14</f>
        <v>14</v>
      </c>
    </row>
    <row r="137" spans="1:24">
      <c r="A137" s="60" t="s">
        <v>906</v>
      </c>
      <c r="B137" s="60" t="s">
        <v>453</v>
      </c>
      <c r="C137" s="60" t="s">
        <v>454</v>
      </c>
      <c r="D137" s="60" t="s">
        <v>455</v>
      </c>
      <c r="E137" s="61" t="s">
        <v>46</v>
      </c>
      <c r="F137" s="62" t="s">
        <v>46</v>
      </c>
      <c r="G137" s="63" t="s">
        <v>46</v>
      </c>
      <c r="H137" s="64"/>
      <c r="I137" s="64" t="s">
        <v>47</v>
      </c>
      <c r="J137" s="65">
        <v>100</v>
      </c>
      <c r="K137" s="66">
        <f>152</f>
        <v>152</v>
      </c>
      <c r="L137" s="67" t="s">
        <v>77</v>
      </c>
      <c r="M137" s="66">
        <f>160</f>
        <v>160</v>
      </c>
      <c r="N137" s="67" t="s">
        <v>613</v>
      </c>
      <c r="O137" s="66">
        <f>151</f>
        <v>151</v>
      </c>
      <c r="P137" s="67" t="s">
        <v>131</v>
      </c>
      <c r="Q137" s="66">
        <f>154</f>
        <v>154</v>
      </c>
      <c r="R137" s="67" t="s">
        <v>872</v>
      </c>
      <c r="S137" s="68">
        <f>155.33</f>
        <v>155.33000000000001</v>
      </c>
      <c r="T137" s="65">
        <f>57129700</f>
        <v>57129700</v>
      </c>
      <c r="U137" s="65">
        <f>344200</f>
        <v>344200</v>
      </c>
      <c r="V137" s="65">
        <f>8873391250</f>
        <v>8873391250</v>
      </c>
      <c r="W137" s="65">
        <f>53309450</f>
        <v>53309450</v>
      </c>
      <c r="X137" s="69">
        <f>18</f>
        <v>18</v>
      </c>
    </row>
    <row r="138" spans="1:24">
      <c r="A138" s="60" t="s">
        <v>906</v>
      </c>
      <c r="B138" s="60" t="s">
        <v>456</v>
      </c>
      <c r="C138" s="60" t="s">
        <v>457</v>
      </c>
      <c r="D138" s="60" t="s">
        <v>458</v>
      </c>
      <c r="E138" s="61" t="s">
        <v>46</v>
      </c>
      <c r="F138" s="62" t="s">
        <v>46</v>
      </c>
      <c r="G138" s="63" t="s">
        <v>46</v>
      </c>
      <c r="H138" s="64"/>
      <c r="I138" s="64" t="s">
        <v>47</v>
      </c>
      <c r="J138" s="65">
        <v>1</v>
      </c>
      <c r="K138" s="66">
        <f>27010</f>
        <v>27010</v>
      </c>
      <c r="L138" s="67" t="s">
        <v>77</v>
      </c>
      <c r="M138" s="66">
        <f>28270</f>
        <v>28270</v>
      </c>
      <c r="N138" s="67" t="s">
        <v>268</v>
      </c>
      <c r="O138" s="66">
        <f>26890</f>
        <v>26890</v>
      </c>
      <c r="P138" s="67" t="s">
        <v>131</v>
      </c>
      <c r="Q138" s="66">
        <f>27590</f>
        <v>27590</v>
      </c>
      <c r="R138" s="67" t="s">
        <v>872</v>
      </c>
      <c r="S138" s="68">
        <f>27540.56</f>
        <v>27540.560000000001</v>
      </c>
      <c r="T138" s="65">
        <f>1840</f>
        <v>1840</v>
      </c>
      <c r="U138" s="65" t="str">
        <f t="shared" ref="U138:U148" si="5">"－"</f>
        <v>－</v>
      </c>
      <c r="V138" s="65">
        <f>50541970</f>
        <v>50541970</v>
      </c>
      <c r="W138" s="65" t="str">
        <f t="shared" ref="W138:W148" si="6">"－"</f>
        <v>－</v>
      </c>
      <c r="X138" s="69">
        <f>18</f>
        <v>18</v>
      </c>
    </row>
    <row r="139" spans="1:24">
      <c r="A139" s="60" t="s">
        <v>906</v>
      </c>
      <c r="B139" s="60" t="s">
        <v>459</v>
      </c>
      <c r="C139" s="60" t="s">
        <v>460</v>
      </c>
      <c r="D139" s="60" t="s">
        <v>461</v>
      </c>
      <c r="E139" s="61" t="s">
        <v>46</v>
      </c>
      <c r="F139" s="62" t="s">
        <v>46</v>
      </c>
      <c r="G139" s="63" t="s">
        <v>46</v>
      </c>
      <c r="H139" s="64"/>
      <c r="I139" s="64" t="s">
        <v>47</v>
      </c>
      <c r="J139" s="65">
        <v>1</v>
      </c>
      <c r="K139" s="66">
        <f>10100</f>
        <v>10100</v>
      </c>
      <c r="L139" s="67" t="s">
        <v>77</v>
      </c>
      <c r="M139" s="66">
        <f>10740</f>
        <v>10740</v>
      </c>
      <c r="N139" s="67" t="s">
        <v>860</v>
      </c>
      <c r="O139" s="66">
        <f>9590</f>
        <v>9590</v>
      </c>
      <c r="P139" s="67" t="s">
        <v>73</v>
      </c>
      <c r="Q139" s="66">
        <f>9740</f>
        <v>9740</v>
      </c>
      <c r="R139" s="67" t="s">
        <v>872</v>
      </c>
      <c r="S139" s="68">
        <f>10041.67</f>
        <v>10041.67</v>
      </c>
      <c r="T139" s="65">
        <f>9507</f>
        <v>9507</v>
      </c>
      <c r="U139" s="65" t="str">
        <f t="shared" si="5"/>
        <v>－</v>
      </c>
      <c r="V139" s="65">
        <f>95878370</f>
        <v>95878370</v>
      </c>
      <c r="W139" s="65" t="str">
        <f t="shared" si="6"/>
        <v>－</v>
      </c>
      <c r="X139" s="69">
        <f>18</f>
        <v>18</v>
      </c>
    </row>
    <row r="140" spans="1:24">
      <c r="A140" s="60" t="s">
        <v>906</v>
      </c>
      <c r="B140" s="60" t="s">
        <v>462</v>
      </c>
      <c r="C140" s="60" t="s">
        <v>463</v>
      </c>
      <c r="D140" s="60" t="s">
        <v>464</v>
      </c>
      <c r="E140" s="61" t="s">
        <v>46</v>
      </c>
      <c r="F140" s="62" t="s">
        <v>46</v>
      </c>
      <c r="G140" s="63" t="s">
        <v>46</v>
      </c>
      <c r="H140" s="64"/>
      <c r="I140" s="64" t="s">
        <v>47</v>
      </c>
      <c r="J140" s="65">
        <v>1</v>
      </c>
      <c r="K140" s="66">
        <f>22620</f>
        <v>22620</v>
      </c>
      <c r="L140" s="67" t="s">
        <v>77</v>
      </c>
      <c r="M140" s="66">
        <f>23380</f>
        <v>23380</v>
      </c>
      <c r="N140" s="67" t="s">
        <v>860</v>
      </c>
      <c r="O140" s="66">
        <f>21880</f>
        <v>21880</v>
      </c>
      <c r="P140" s="67" t="s">
        <v>92</v>
      </c>
      <c r="Q140" s="66">
        <f>22040</f>
        <v>22040</v>
      </c>
      <c r="R140" s="67" t="s">
        <v>872</v>
      </c>
      <c r="S140" s="68">
        <f>22372.22</f>
        <v>22372.22</v>
      </c>
      <c r="T140" s="65">
        <f>1556</f>
        <v>1556</v>
      </c>
      <c r="U140" s="65" t="str">
        <f t="shared" si="5"/>
        <v>－</v>
      </c>
      <c r="V140" s="65">
        <f>35087190</f>
        <v>35087190</v>
      </c>
      <c r="W140" s="65" t="str">
        <f t="shared" si="6"/>
        <v>－</v>
      </c>
      <c r="X140" s="69">
        <f>18</f>
        <v>18</v>
      </c>
    </row>
    <row r="141" spans="1:24">
      <c r="A141" s="60" t="s">
        <v>906</v>
      </c>
      <c r="B141" s="60" t="s">
        <v>465</v>
      </c>
      <c r="C141" s="60" t="s">
        <v>466</v>
      </c>
      <c r="D141" s="60" t="s">
        <v>467</v>
      </c>
      <c r="E141" s="61" t="s">
        <v>46</v>
      </c>
      <c r="F141" s="62" t="s">
        <v>46</v>
      </c>
      <c r="G141" s="63" t="s">
        <v>46</v>
      </c>
      <c r="H141" s="64"/>
      <c r="I141" s="64" t="s">
        <v>47</v>
      </c>
      <c r="J141" s="65">
        <v>1</v>
      </c>
      <c r="K141" s="66">
        <f>27750</f>
        <v>27750</v>
      </c>
      <c r="L141" s="67" t="s">
        <v>77</v>
      </c>
      <c r="M141" s="66">
        <f>28500</f>
        <v>28500</v>
      </c>
      <c r="N141" s="67" t="s">
        <v>875</v>
      </c>
      <c r="O141" s="66">
        <f>26460</f>
        <v>26460</v>
      </c>
      <c r="P141" s="67" t="s">
        <v>92</v>
      </c>
      <c r="Q141" s="66">
        <f>27620</f>
        <v>27620</v>
      </c>
      <c r="R141" s="67" t="s">
        <v>872</v>
      </c>
      <c r="S141" s="68">
        <f>27552.22</f>
        <v>27552.22</v>
      </c>
      <c r="T141" s="65">
        <f>2051</f>
        <v>2051</v>
      </c>
      <c r="U141" s="65" t="str">
        <f t="shared" si="5"/>
        <v>－</v>
      </c>
      <c r="V141" s="65">
        <f>56957670</f>
        <v>56957670</v>
      </c>
      <c r="W141" s="65" t="str">
        <f t="shared" si="6"/>
        <v>－</v>
      </c>
      <c r="X141" s="69">
        <f>18</f>
        <v>18</v>
      </c>
    </row>
    <row r="142" spans="1:24">
      <c r="A142" s="60" t="s">
        <v>906</v>
      </c>
      <c r="B142" s="60" t="s">
        <v>468</v>
      </c>
      <c r="C142" s="60" t="s">
        <v>469</v>
      </c>
      <c r="D142" s="60" t="s">
        <v>470</v>
      </c>
      <c r="E142" s="61" t="s">
        <v>46</v>
      </c>
      <c r="F142" s="62" t="s">
        <v>46</v>
      </c>
      <c r="G142" s="63" t="s">
        <v>46</v>
      </c>
      <c r="H142" s="64"/>
      <c r="I142" s="64" t="s">
        <v>47</v>
      </c>
      <c r="J142" s="65">
        <v>1</v>
      </c>
      <c r="K142" s="66">
        <f>23290</f>
        <v>23290</v>
      </c>
      <c r="L142" s="67" t="s">
        <v>77</v>
      </c>
      <c r="M142" s="66">
        <f>23800</f>
        <v>23800</v>
      </c>
      <c r="N142" s="67" t="s">
        <v>860</v>
      </c>
      <c r="O142" s="66">
        <f>22600</f>
        <v>22600</v>
      </c>
      <c r="P142" s="67" t="s">
        <v>92</v>
      </c>
      <c r="Q142" s="66">
        <f>23110</f>
        <v>23110</v>
      </c>
      <c r="R142" s="67" t="s">
        <v>872</v>
      </c>
      <c r="S142" s="68">
        <f>23123.33</f>
        <v>23123.33</v>
      </c>
      <c r="T142" s="65">
        <f>4636</f>
        <v>4636</v>
      </c>
      <c r="U142" s="65" t="str">
        <f t="shared" si="5"/>
        <v>－</v>
      </c>
      <c r="V142" s="65">
        <f>107429090</f>
        <v>107429090</v>
      </c>
      <c r="W142" s="65" t="str">
        <f t="shared" si="6"/>
        <v>－</v>
      </c>
      <c r="X142" s="69">
        <f>18</f>
        <v>18</v>
      </c>
    </row>
    <row r="143" spans="1:24">
      <c r="A143" s="60" t="s">
        <v>906</v>
      </c>
      <c r="B143" s="60" t="s">
        <v>471</v>
      </c>
      <c r="C143" s="60" t="s">
        <v>472</v>
      </c>
      <c r="D143" s="60" t="s">
        <v>473</v>
      </c>
      <c r="E143" s="61" t="s">
        <v>46</v>
      </c>
      <c r="F143" s="62" t="s">
        <v>46</v>
      </c>
      <c r="G143" s="63" t="s">
        <v>46</v>
      </c>
      <c r="H143" s="64"/>
      <c r="I143" s="64" t="s">
        <v>47</v>
      </c>
      <c r="J143" s="65">
        <v>1</v>
      </c>
      <c r="K143" s="66">
        <f>21850</f>
        <v>21850</v>
      </c>
      <c r="L143" s="67" t="s">
        <v>77</v>
      </c>
      <c r="M143" s="66">
        <f>23560</f>
        <v>23560</v>
      </c>
      <c r="N143" s="67" t="s">
        <v>88</v>
      </c>
      <c r="O143" s="66">
        <f>21310</f>
        <v>21310</v>
      </c>
      <c r="P143" s="67" t="s">
        <v>131</v>
      </c>
      <c r="Q143" s="66">
        <f>23270</f>
        <v>23270</v>
      </c>
      <c r="R143" s="67" t="s">
        <v>872</v>
      </c>
      <c r="S143" s="68">
        <f>22432.22</f>
        <v>22432.22</v>
      </c>
      <c r="T143" s="65">
        <f>2252</f>
        <v>2252</v>
      </c>
      <c r="U143" s="65" t="str">
        <f t="shared" si="5"/>
        <v>－</v>
      </c>
      <c r="V143" s="65">
        <f>50795300</f>
        <v>50795300</v>
      </c>
      <c r="W143" s="65" t="str">
        <f t="shared" si="6"/>
        <v>－</v>
      </c>
      <c r="X143" s="69">
        <f>18</f>
        <v>18</v>
      </c>
    </row>
    <row r="144" spans="1:24">
      <c r="A144" s="60" t="s">
        <v>906</v>
      </c>
      <c r="B144" s="60" t="s">
        <v>474</v>
      </c>
      <c r="C144" s="60" t="s">
        <v>475</v>
      </c>
      <c r="D144" s="60" t="s">
        <v>476</v>
      </c>
      <c r="E144" s="61" t="s">
        <v>46</v>
      </c>
      <c r="F144" s="62" t="s">
        <v>46</v>
      </c>
      <c r="G144" s="63" t="s">
        <v>46</v>
      </c>
      <c r="H144" s="64"/>
      <c r="I144" s="64" t="s">
        <v>47</v>
      </c>
      <c r="J144" s="65">
        <v>1</v>
      </c>
      <c r="K144" s="66">
        <f>16660</f>
        <v>16660</v>
      </c>
      <c r="L144" s="67" t="s">
        <v>77</v>
      </c>
      <c r="M144" s="66">
        <f>18350</f>
        <v>18350</v>
      </c>
      <c r="N144" s="67" t="s">
        <v>860</v>
      </c>
      <c r="O144" s="66">
        <f>16210</f>
        <v>16210</v>
      </c>
      <c r="P144" s="67" t="s">
        <v>73</v>
      </c>
      <c r="Q144" s="66">
        <f>16620</f>
        <v>16620</v>
      </c>
      <c r="R144" s="67" t="s">
        <v>872</v>
      </c>
      <c r="S144" s="68">
        <f>17027.78</f>
        <v>17027.78</v>
      </c>
      <c r="T144" s="65">
        <f>13586</f>
        <v>13586</v>
      </c>
      <c r="U144" s="65" t="str">
        <f t="shared" si="5"/>
        <v>－</v>
      </c>
      <c r="V144" s="65">
        <f>234855660</f>
        <v>234855660</v>
      </c>
      <c r="W144" s="65" t="str">
        <f t="shared" si="6"/>
        <v>－</v>
      </c>
      <c r="X144" s="69">
        <f>18</f>
        <v>18</v>
      </c>
    </row>
    <row r="145" spans="1:24">
      <c r="A145" s="60" t="s">
        <v>906</v>
      </c>
      <c r="B145" s="60" t="s">
        <v>477</v>
      </c>
      <c r="C145" s="60" t="s">
        <v>478</v>
      </c>
      <c r="D145" s="60" t="s">
        <v>479</v>
      </c>
      <c r="E145" s="61" t="s">
        <v>46</v>
      </c>
      <c r="F145" s="62" t="s">
        <v>46</v>
      </c>
      <c r="G145" s="63" t="s">
        <v>46</v>
      </c>
      <c r="H145" s="64"/>
      <c r="I145" s="64" t="s">
        <v>47</v>
      </c>
      <c r="J145" s="65">
        <v>1</v>
      </c>
      <c r="K145" s="66">
        <f>41650</f>
        <v>41650</v>
      </c>
      <c r="L145" s="67" t="s">
        <v>77</v>
      </c>
      <c r="M145" s="66">
        <f>42500</f>
        <v>42500</v>
      </c>
      <c r="N145" s="67" t="s">
        <v>860</v>
      </c>
      <c r="O145" s="66">
        <f>39150</f>
        <v>39150</v>
      </c>
      <c r="P145" s="67" t="s">
        <v>855</v>
      </c>
      <c r="Q145" s="66">
        <f>40400</f>
        <v>40400</v>
      </c>
      <c r="R145" s="67" t="s">
        <v>872</v>
      </c>
      <c r="S145" s="68">
        <f>40444.44</f>
        <v>40444.44</v>
      </c>
      <c r="T145" s="65">
        <f>1908</f>
        <v>1908</v>
      </c>
      <c r="U145" s="65" t="str">
        <f t="shared" si="5"/>
        <v>－</v>
      </c>
      <c r="V145" s="65">
        <f>77079150</f>
        <v>77079150</v>
      </c>
      <c r="W145" s="65" t="str">
        <f t="shared" si="6"/>
        <v>－</v>
      </c>
      <c r="X145" s="69">
        <f>18</f>
        <v>18</v>
      </c>
    </row>
    <row r="146" spans="1:24">
      <c r="A146" s="60" t="s">
        <v>906</v>
      </c>
      <c r="B146" s="60" t="s">
        <v>480</v>
      </c>
      <c r="C146" s="60" t="s">
        <v>481</v>
      </c>
      <c r="D146" s="60" t="s">
        <v>482</v>
      </c>
      <c r="E146" s="61" t="s">
        <v>46</v>
      </c>
      <c r="F146" s="62" t="s">
        <v>46</v>
      </c>
      <c r="G146" s="63" t="s">
        <v>46</v>
      </c>
      <c r="H146" s="64"/>
      <c r="I146" s="64" t="s">
        <v>47</v>
      </c>
      <c r="J146" s="65">
        <v>1</v>
      </c>
      <c r="K146" s="66">
        <f>27900</f>
        <v>27900</v>
      </c>
      <c r="L146" s="67" t="s">
        <v>77</v>
      </c>
      <c r="M146" s="66">
        <f>28300</f>
        <v>28300</v>
      </c>
      <c r="N146" s="67" t="s">
        <v>172</v>
      </c>
      <c r="O146" s="66">
        <f>26010</f>
        <v>26010</v>
      </c>
      <c r="P146" s="67" t="s">
        <v>92</v>
      </c>
      <c r="Q146" s="66">
        <f>27990</f>
        <v>27990</v>
      </c>
      <c r="R146" s="67" t="s">
        <v>872</v>
      </c>
      <c r="S146" s="68">
        <f>27311.11</f>
        <v>27311.11</v>
      </c>
      <c r="T146" s="65">
        <f>4855</f>
        <v>4855</v>
      </c>
      <c r="U146" s="65" t="str">
        <f t="shared" si="5"/>
        <v>－</v>
      </c>
      <c r="V146" s="65">
        <f>131632380</f>
        <v>131632380</v>
      </c>
      <c r="W146" s="65" t="str">
        <f t="shared" si="6"/>
        <v>－</v>
      </c>
      <c r="X146" s="69">
        <f>18</f>
        <v>18</v>
      </c>
    </row>
    <row r="147" spans="1:24">
      <c r="A147" s="60" t="s">
        <v>906</v>
      </c>
      <c r="B147" s="60" t="s">
        <v>483</v>
      </c>
      <c r="C147" s="60" t="s">
        <v>484</v>
      </c>
      <c r="D147" s="60" t="s">
        <v>485</v>
      </c>
      <c r="E147" s="61" t="s">
        <v>46</v>
      </c>
      <c r="F147" s="62" t="s">
        <v>46</v>
      </c>
      <c r="G147" s="63" t="s">
        <v>46</v>
      </c>
      <c r="H147" s="64"/>
      <c r="I147" s="64" t="s">
        <v>47</v>
      </c>
      <c r="J147" s="65">
        <v>1</v>
      </c>
      <c r="K147" s="66">
        <f>30500</f>
        <v>30500</v>
      </c>
      <c r="L147" s="67" t="s">
        <v>77</v>
      </c>
      <c r="M147" s="66">
        <f>31000</f>
        <v>31000</v>
      </c>
      <c r="N147" s="67" t="s">
        <v>860</v>
      </c>
      <c r="O147" s="66">
        <f>28660</f>
        <v>28660</v>
      </c>
      <c r="P147" s="67" t="s">
        <v>92</v>
      </c>
      <c r="Q147" s="66">
        <f>30200</f>
        <v>30200</v>
      </c>
      <c r="R147" s="67" t="s">
        <v>872</v>
      </c>
      <c r="S147" s="68">
        <f>29961.11</f>
        <v>29961.11</v>
      </c>
      <c r="T147" s="65">
        <f>3965</f>
        <v>3965</v>
      </c>
      <c r="U147" s="65" t="str">
        <f t="shared" si="5"/>
        <v>－</v>
      </c>
      <c r="V147" s="65">
        <f>118885840</f>
        <v>118885840</v>
      </c>
      <c r="W147" s="65" t="str">
        <f t="shared" si="6"/>
        <v>－</v>
      </c>
      <c r="X147" s="69">
        <f>18</f>
        <v>18</v>
      </c>
    </row>
    <row r="148" spans="1:24">
      <c r="A148" s="60" t="s">
        <v>906</v>
      </c>
      <c r="B148" s="60" t="s">
        <v>486</v>
      </c>
      <c r="C148" s="60" t="s">
        <v>487</v>
      </c>
      <c r="D148" s="60" t="s">
        <v>488</v>
      </c>
      <c r="E148" s="61" t="s">
        <v>46</v>
      </c>
      <c r="F148" s="62" t="s">
        <v>46</v>
      </c>
      <c r="G148" s="63" t="s">
        <v>46</v>
      </c>
      <c r="H148" s="64"/>
      <c r="I148" s="64" t="s">
        <v>47</v>
      </c>
      <c r="J148" s="65">
        <v>1</v>
      </c>
      <c r="K148" s="66">
        <f>6400</f>
        <v>6400</v>
      </c>
      <c r="L148" s="67" t="s">
        <v>77</v>
      </c>
      <c r="M148" s="66">
        <f>6590</f>
        <v>6590</v>
      </c>
      <c r="N148" s="67" t="s">
        <v>875</v>
      </c>
      <c r="O148" s="66">
        <f>6090</f>
        <v>6090</v>
      </c>
      <c r="P148" s="67" t="s">
        <v>73</v>
      </c>
      <c r="Q148" s="66">
        <f>6120</f>
        <v>6120</v>
      </c>
      <c r="R148" s="67" t="s">
        <v>872</v>
      </c>
      <c r="S148" s="68">
        <f>6333.33</f>
        <v>6333.33</v>
      </c>
      <c r="T148" s="65">
        <f>15578</f>
        <v>15578</v>
      </c>
      <c r="U148" s="65" t="str">
        <f t="shared" si="5"/>
        <v>－</v>
      </c>
      <c r="V148" s="65">
        <f>98892770</f>
        <v>98892770</v>
      </c>
      <c r="W148" s="65" t="str">
        <f t="shared" si="6"/>
        <v>－</v>
      </c>
      <c r="X148" s="69">
        <f>18</f>
        <v>18</v>
      </c>
    </row>
    <row r="149" spans="1:24">
      <c r="A149" s="60" t="s">
        <v>906</v>
      </c>
      <c r="B149" s="60" t="s">
        <v>489</v>
      </c>
      <c r="C149" s="60" t="s">
        <v>490</v>
      </c>
      <c r="D149" s="60" t="s">
        <v>491</v>
      </c>
      <c r="E149" s="61" t="s">
        <v>46</v>
      </c>
      <c r="F149" s="62" t="s">
        <v>46</v>
      </c>
      <c r="G149" s="63" t="s">
        <v>46</v>
      </c>
      <c r="H149" s="64"/>
      <c r="I149" s="64" t="s">
        <v>47</v>
      </c>
      <c r="J149" s="65">
        <v>1</v>
      </c>
      <c r="K149" s="66">
        <f>15030</f>
        <v>15030</v>
      </c>
      <c r="L149" s="67" t="s">
        <v>77</v>
      </c>
      <c r="M149" s="66">
        <f>15330</f>
        <v>15330</v>
      </c>
      <c r="N149" s="67" t="s">
        <v>860</v>
      </c>
      <c r="O149" s="66">
        <f>14370</f>
        <v>14370</v>
      </c>
      <c r="P149" s="67" t="s">
        <v>92</v>
      </c>
      <c r="Q149" s="66">
        <f>14990</f>
        <v>14990</v>
      </c>
      <c r="R149" s="67" t="s">
        <v>872</v>
      </c>
      <c r="S149" s="68">
        <f>14850</f>
        <v>14850</v>
      </c>
      <c r="T149" s="65">
        <f>31378</f>
        <v>31378</v>
      </c>
      <c r="U149" s="65">
        <f>48</f>
        <v>48</v>
      </c>
      <c r="V149" s="65">
        <f>466383260</f>
        <v>466383260</v>
      </c>
      <c r="W149" s="65">
        <f>698400</f>
        <v>698400</v>
      </c>
      <c r="X149" s="69">
        <f>18</f>
        <v>18</v>
      </c>
    </row>
    <row r="150" spans="1:24">
      <c r="A150" s="60" t="s">
        <v>906</v>
      </c>
      <c r="B150" s="60" t="s">
        <v>492</v>
      </c>
      <c r="C150" s="60" t="s">
        <v>493</v>
      </c>
      <c r="D150" s="60" t="s">
        <v>494</v>
      </c>
      <c r="E150" s="61" t="s">
        <v>46</v>
      </c>
      <c r="F150" s="62" t="s">
        <v>46</v>
      </c>
      <c r="G150" s="63" t="s">
        <v>46</v>
      </c>
      <c r="H150" s="64"/>
      <c r="I150" s="64" t="s">
        <v>47</v>
      </c>
      <c r="J150" s="65">
        <v>1</v>
      </c>
      <c r="K150" s="66">
        <f>39750</f>
        <v>39750</v>
      </c>
      <c r="L150" s="67" t="s">
        <v>77</v>
      </c>
      <c r="M150" s="66">
        <f>41100</f>
        <v>41100</v>
      </c>
      <c r="N150" s="67" t="s">
        <v>875</v>
      </c>
      <c r="O150" s="66">
        <f>38400</f>
        <v>38400</v>
      </c>
      <c r="P150" s="67" t="s">
        <v>92</v>
      </c>
      <c r="Q150" s="66">
        <f>39100</f>
        <v>39100</v>
      </c>
      <c r="R150" s="67" t="s">
        <v>872</v>
      </c>
      <c r="S150" s="68">
        <f>39294.44</f>
        <v>39294.44</v>
      </c>
      <c r="T150" s="65">
        <f>5388</f>
        <v>5388</v>
      </c>
      <c r="U150" s="65" t="str">
        <f>"－"</f>
        <v>－</v>
      </c>
      <c r="V150" s="65">
        <f>213194150</f>
        <v>213194150</v>
      </c>
      <c r="W150" s="65" t="str">
        <f>"－"</f>
        <v>－</v>
      </c>
      <c r="X150" s="69">
        <f>18</f>
        <v>18</v>
      </c>
    </row>
    <row r="151" spans="1:24">
      <c r="A151" s="60" t="s">
        <v>906</v>
      </c>
      <c r="B151" s="60" t="s">
        <v>495</v>
      </c>
      <c r="C151" s="60" t="s">
        <v>496</v>
      </c>
      <c r="D151" s="60" t="s">
        <v>497</v>
      </c>
      <c r="E151" s="61" t="s">
        <v>46</v>
      </c>
      <c r="F151" s="62" t="s">
        <v>46</v>
      </c>
      <c r="G151" s="63" t="s">
        <v>46</v>
      </c>
      <c r="H151" s="64"/>
      <c r="I151" s="64" t="s">
        <v>47</v>
      </c>
      <c r="J151" s="65">
        <v>1</v>
      </c>
      <c r="K151" s="66">
        <f>23720</f>
        <v>23720</v>
      </c>
      <c r="L151" s="67" t="s">
        <v>172</v>
      </c>
      <c r="M151" s="66">
        <f>23760</f>
        <v>23760</v>
      </c>
      <c r="N151" s="67" t="s">
        <v>860</v>
      </c>
      <c r="O151" s="66">
        <f>22830</f>
        <v>22830</v>
      </c>
      <c r="P151" s="67" t="s">
        <v>131</v>
      </c>
      <c r="Q151" s="66">
        <f>23330</f>
        <v>23330</v>
      </c>
      <c r="R151" s="67" t="s">
        <v>88</v>
      </c>
      <c r="S151" s="68">
        <f>23305</f>
        <v>23305</v>
      </c>
      <c r="T151" s="65">
        <f>247</f>
        <v>247</v>
      </c>
      <c r="U151" s="65" t="str">
        <f>"－"</f>
        <v>－</v>
      </c>
      <c r="V151" s="65">
        <f>5733940</f>
        <v>5733940</v>
      </c>
      <c r="W151" s="65" t="str">
        <f>"－"</f>
        <v>－</v>
      </c>
      <c r="X151" s="69">
        <f>12</f>
        <v>12</v>
      </c>
    </row>
    <row r="152" spans="1:24">
      <c r="A152" s="60" t="s">
        <v>906</v>
      </c>
      <c r="B152" s="60" t="s">
        <v>498</v>
      </c>
      <c r="C152" s="60" t="s">
        <v>499</v>
      </c>
      <c r="D152" s="60" t="s">
        <v>500</v>
      </c>
      <c r="E152" s="61" t="s">
        <v>46</v>
      </c>
      <c r="F152" s="62" t="s">
        <v>46</v>
      </c>
      <c r="G152" s="63" t="s">
        <v>46</v>
      </c>
      <c r="H152" s="64"/>
      <c r="I152" s="64" t="s">
        <v>47</v>
      </c>
      <c r="J152" s="65">
        <v>1</v>
      </c>
      <c r="K152" s="66">
        <f>7900</f>
        <v>7900</v>
      </c>
      <c r="L152" s="67" t="s">
        <v>77</v>
      </c>
      <c r="M152" s="66">
        <f>8310</f>
        <v>8310</v>
      </c>
      <c r="N152" s="67" t="s">
        <v>613</v>
      </c>
      <c r="O152" s="66">
        <f>7830</f>
        <v>7830</v>
      </c>
      <c r="P152" s="67" t="s">
        <v>131</v>
      </c>
      <c r="Q152" s="66">
        <f>8040</f>
        <v>8040</v>
      </c>
      <c r="R152" s="67" t="s">
        <v>872</v>
      </c>
      <c r="S152" s="68">
        <f>8097.22</f>
        <v>8097.22</v>
      </c>
      <c r="T152" s="65">
        <f>48452</f>
        <v>48452</v>
      </c>
      <c r="U152" s="65" t="str">
        <f>"－"</f>
        <v>－</v>
      </c>
      <c r="V152" s="65">
        <f>391317920</f>
        <v>391317920</v>
      </c>
      <c r="W152" s="65" t="str">
        <f>"－"</f>
        <v>－</v>
      </c>
      <c r="X152" s="69">
        <f>18</f>
        <v>18</v>
      </c>
    </row>
    <row r="153" spans="1:24">
      <c r="A153" s="60" t="s">
        <v>906</v>
      </c>
      <c r="B153" s="60" t="s">
        <v>501</v>
      </c>
      <c r="C153" s="60" t="s">
        <v>502</v>
      </c>
      <c r="D153" s="60" t="s">
        <v>503</v>
      </c>
      <c r="E153" s="61" t="s">
        <v>46</v>
      </c>
      <c r="F153" s="62" t="s">
        <v>46</v>
      </c>
      <c r="G153" s="63" t="s">
        <v>46</v>
      </c>
      <c r="H153" s="64"/>
      <c r="I153" s="64" t="s">
        <v>47</v>
      </c>
      <c r="J153" s="65">
        <v>1</v>
      </c>
      <c r="K153" s="66">
        <f>13290</f>
        <v>13290</v>
      </c>
      <c r="L153" s="67" t="s">
        <v>77</v>
      </c>
      <c r="M153" s="66">
        <f>13690</f>
        <v>13690</v>
      </c>
      <c r="N153" s="67" t="s">
        <v>88</v>
      </c>
      <c r="O153" s="66">
        <f>12890</f>
        <v>12890</v>
      </c>
      <c r="P153" s="67" t="s">
        <v>131</v>
      </c>
      <c r="Q153" s="66">
        <f>13470</f>
        <v>13470</v>
      </c>
      <c r="R153" s="67" t="s">
        <v>872</v>
      </c>
      <c r="S153" s="68">
        <f>13435</f>
        <v>13435</v>
      </c>
      <c r="T153" s="65">
        <f>2771</f>
        <v>2771</v>
      </c>
      <c r="U153" s="65" t="str">
        <f>"－"</f>
        <v>－</v>
      </c>
      <c r="V153" s="65">
        <f>37014630</f>
        <v>37014630</v>
      </c>
      <c r="W153" s="65" t="str">
        <f>"－"</f>
        <v>－</v>
      </c>
      <c r="X153" s="69">
        <f>18</f>
        <v>18</v>
      </c>
    </row>
    <row r="154" spans="1:24">
      <c r="A154" s="60" t="s">
        <v>906</v>
      </c>
      <c r="B154" s="60" t="s">
        <v>504</v>
      </c>
      <c r="C154" s="60" t="s">
        <v>505</v>
      </c>
      <c r="D154" s="60" t="s">
        <v>506</v>
      </c>
      <c r="E154" s="61" t="s">
        <v>46</v>
      </c>
      <c r="F154" s="62" t="s">
        <v>46</v>
      </c>
      <c r="G154" s="63" t="s">
        <v>46</v>
      </c>
      <c r="H154" s="64"/>
      <c r="I154" s="64" t="s">
        <v>47</v>
      </c>
      <c r="J154" s="65">
        <v>1</v>
      </c>
      <c r="K154" s="66">
        <f>29100</f>
        <v>29100</v>
      </c>
      <c r="L154" s="67" t="s">
        <v>77</v>
      </c>
      <c r="M154" s="66">
        <f>30150</f>
        <v>30150</v>
      </c>
      <c r="N154" s="67" t="s">
        <v>875</v>
      </c>
      <c r="O154" s="66">
        <f>28020</f>
        <v>28020</v>
      </c>
      <c r="P154" s="67" t="s">
        <v>92</v>
      </c>
      <c r="Q154" s="66">
        <f>29350</f>
        <v>29350</v>
      </c>
      <c r="R154" s="67" t="s">
        <v>872</v>
      </c>
      <c r="S154" s="68">
        <f>29336.67</f>
        <v>29336.67</v>
      </c>
      <c r="T154" s="65">
        <f>2315</f>
        <v>2315</v>
      </c>
      <c r="U154" s="65" t="str">
        <f>"－"</f>
        <v>－</v>
      </c>
      <c r="V154" s="65">
        <f>68102890</f>
        <v>68102890</v>
      </c>
      <c r="W154" s="65" t="str">
        <f>"－"</f>
        <v>－</v>
      </c>
      <c r="X154" s="69">
        <f>18</f>
        <v>18</v>
      </c>
    </row>
    <row r="155" spans="1:24">
      <c r="A155" s="60" t="s">
        <v>906</v>
      </c>
      <c r="B155" s="60" t="s">
        <v>507</v>
      </c>
      <c r="C155" s="60" t="s">
        <v>508</v>
      </c>
      <c r="D155" s="60" t="s">
        <v>509</v>
      </c>
      <c r="E155" s="61" t="s">
        <v>46</v>
      </c>
      <c r="F155" s="62" t="s">
        <v>46</v>
      </c>
      <c r="G155" s="63" t="s">
        <v>46</v>
      </c>
      <c r="H155" s="64"/>
      <c r="I155" s="64" t="s">
        <v>47</v>
      </c>
      <c r="J155" s="65">
        <v>10</v>
      </c>
      <c r="K155" s="66">
        <f>1071</f>
        <v>1071</v>
      </c>
      <c r="L155" s="67" t="s">
        <v>77</v>
      </c>
      <c r="M155" s="66">
        <f>1099</f>
        <v>1099</v>
      </c>
      <c r="N155" s="67" t="s">
        <v>88</v>
      </c>
      <c r="O155" s="66">
        <f>1041</f>
        <v>1041</v>
      </c>
      <c r="P155" s="67" t="s">
        <v>131</v>
      </c>
      <c r="Q155" s="66">
        <f>1083</f>
        <v>1083</v>
      </c>
      <c r="R155" s="67" t="s">
        <v>872</v>
      </c>
      <c r="S155" s="68">
        <f>1075.11</f>
        <v>1075.1099999999999</v>
      </c>
      <c r="T155" s="65">
        <f>396330</f>
        <v>396330</v>
      </c>
      <c r="U155" s="65">
        <f>130</f>
        <v>130</v>
      </c>
      <c r="V155" s="65">
        <f>425776100</f>
        <v>425776100</v>
      </c>
      <c r="W155" s="65">
        <f>139530</f>
        <v>139530</v>
      </c>
      <c r="X155" s="69">
        <f>18</f>
        <v>18</v>
      </c>
    </row>
    <row r="156" spans="1:24">
      <c r="A156" s="60" t="s">
        <v>906</v>
      </c>
      <c r="B156" s="60" t="s">
        <v>510</v>
      </c>
      <c r="C156" s="60" t="s">
        <v>511</v>
      </c>
      <c r="D156" s="60" t="s">
        <v>512</v>
      </c>
      <c r="E156" s="61" t="s">
        <v>46</v>
      </c>
      <c r="F156" s="62" t="s">
        <v>46</v>
      </c>
      <c r="G156" s="63" t="s">
        <v>46</v>
      </c>
      <c r="H156" s="64"/>
      <c r="I156" s="64" t="s">
        <v>47</v>
      </c>
      <c r="J156" s="65">
        <v>10</v>
      </c>
      <c r="K156" s="66">
        <f>2373</f>
        <v>2373</v>
      </c>
      <c r="L156" s="67" t="s">
        <v>77</v>
      </c>
      <c r="M156" s="66">
        <f>2380</f>
        <v>2380</v>
      </c>
      <c r="N156" s="67" t="s">
        <v>872</v>
      </c>
      <c r="O156" s="66">
        <f>2280</f>
        <v>2280</v>
      </c>
      <c r="P156" s="67" t="s">
        <v>92</v>
      </c>
      <c r="Q156" s="66">
        <f>2380</f>
        <v>2380</v>
      </c>
      <c r="R156" s="67" t="s">
        <v>872</v>
      </c>
      <c r="S156" s="68">
        <f>2336.86</f>
        <v>2336.86</v>
      </c>
      <c r="T156" s="65">
        <f>580</f>
        <v>580</v>
      </c>
      <c r="U156" s="65" t="str">
        <f>"－"</f>
        <v>－</v>
      </c>
      <c r="V156" s="65">
        <f>1344320</f>
        <v>1344320</v>
      </c>
      <c r="W156" s="65" t="str">
        <f>"－"</f>
        <v>－</v>
      </c>
      <c r="X156" s="69">
        <f>7</f>
        <v>7</v>
      </c>
    </row>
    <row r="157" spans="1:24">
      <c r="A157" s="60" t="s">
        <v>906</v>
      </c>
      <c r="B157" s="60" t="s">
        <v>513</v>
      </c>
      <c r="C157" s="60" t="s">
        <v>514</v>
      </c>
      <c r="D157" s="60" t="s">
        <v>515</v>
      </c>
      <c r="E157" s="61" t="s">
        <v>46</v>
      </c>
      <c r="F157" s="62" t="s">
        <v>46</v>
      </c>
      <c r="G157" s="63" t="s">
        <v>46</v>
      </c>
      <c r="H157" s="64"/>
      <c r="I157" s="64" t="s">
        <v>47</v>
      </c>
      <c r="J157" s="65">
        <v>10</v>
      </c>
      <c r="K157" s="66">
        <f>2442</f>
        <v>2442</v>
      </c>
      <c r="L157" s="67" t="s">
        <v>77</v>
      </c>
      <c r="M157" s="66">
        <f>2481</f>
        <v>2481</v>
      </c>
      <c r="N157" s="67" t="s">
        <v>88</v>
      </c>
      <c r="O157" s="66">
        <f>2350</f>
        <v>2350</v>
      </c>
      <c r="P157" s="67" t="s">
        <v>92</v>
      </c>
      <c r="Q157" s="66">
        <f>2454</f>
        <v>2454</v>
      </c>
      <c r="R157" s="67" t="s">
        <v>872</v>
      </c>
      <c r="S157" s="68">
        <f>2422.72</f>
        <v>2422.7199999999998</v>
      </c>
      <c r="T157" s="65">
        <f>28430</f>
        <v>28430</v>
      </c>
      <c r="U157" s="65">
        <f>13000</f>
        <v>13000</v>
      </c>
      <c r="V157" s="65">
        <f>68310770</f>
        <v>68310770</v>
      </c>
      <c r="W157" s="65">
        <f>30979520</f>
        <v>30979520</v>
      </c>
      <c r="X157" s="69">
        <f>18</f>
        <v>18</v>
      </c>
    </row>
    <row r="158" spans="1:24">
      <c r="A158" s="60" t="s">
        <v>906</v>
      </c>
      <c r="B158" s="60" t="s">
        <v>516</v>
      </c>
      <c r="C158" s="60" t="s">
        <v>517</v>
      </c>
      <c r="D158" s="60" t="s">
        <v>518</v>
      </c>
      <c r="E158" s="61" t="s">
        <v>46</v>
      </c>
      <c r="F158" s="62" t="s">
        <v>46</v>
      </c>
      <c r="G158" s="63" t="s">
        <v>46</v>
      </c>
      <c r="H158" s="64"/>
      <c r="I158" s="64" t="s">
        <v>47</v>
      </c>
      <c r="J158" s="65">
        <v>10</v>
      </c>
      <c r="K158" s="66">
        <f>1477</f>
        <v>1477</v>
      </c>
      <c r="L158" s="67" t="s">
        <v>77</v>
      </c>
      <c r="M158" s="66">
        <f>1515</f>
        <v>1515</v>
      </c>
      <c r="N158" s="67" t="s">
        <v>88</v>
      </c>
      <c r="O158" s="66">
        <f>1441</f>
        <v>1441</v>
      </c>
      <c r="P158" s="67" t="s">
        <v>131</v>
      </c>
      <c r="Q158" s="66">
        <f>1504</f>
        <v>1504</v>
      </c>
      <c r="R158" s="67" t="s">
        <v>872</v>
      </c>
      <c r="S158" s="68">
        <f>1473</f>
        <v>1473</v>
      </c>
      <c r="T158" s="65">
        <f>910</f>
        <v>910</v>
      </c>
      <c r="U158" s="65" t="str">
        <f>"－"</f>
        <v>－</v>
      </c>
      <c r="V158" s="65">
        <f>1339160</f>
        <v>1339160</v>
      </c>
      <c r="W158" s="65" t="str">
        <f>"－"</f>
        <v>－</v>
      </c>
      <c r="X158" s="69">
        <f>11</f>
        <v>11</v>
      </c>
    </row>
    <row r="159" spans="1:24">
      <c r="A159" s="60" t="s">
        <v>906</v>
      </c>
      <c r="B159" s="60" t="s">
        <v>519</v>
      </c>
      <c r="C159" s="60" t="s">
        <v>520</v>
      </c>
      <c r="D159" s="60" t="s">
        <v>521</v>
      </c>
      <c r="E159" s="61" t="s">
        <v>46</v>
      </c>
      <c r="F159" s="62" t="s">
        <v>46</v>
      </c>
      <c r="G159" s="63" t="s">
        <v>46</v>
      </c>
      <c r="H159" s="64"/>
      <c r="I159" s="64" t="s">
        <v>47</v>
      </c>
      <c r="J159" s="65">
        <v>1</v>
      </c>
      <c r="K159" s="66">
        <f>3260</f>
        <v>3260</v>
      </c>
      <c r="L159" s="67" t="s">
        <v>77</v>
      </c>
      <c r="M159" s="66">
        <f>3325</f>
        <v>3325</v>
      </c>
      <c r="N159" s="67" t="s">
        <v>88</v>
      </c>
      <c r="O159" s="66">
        <f>3190</f>
        <v>3190</v>
      </c>
      <c r="P159" s="67" t="s">
        <v>92</v>
      </c>
      <c r="Q159" s="66">
        <f>3305</f>
        <v>3305</v>
      </c>
      <c r="R159" s="67" t="s">
        <v>872</v>
      </c>
      <c r="S159" s="68">
        <f>3260.28</f>
        <v>3260.28</v>
      </c>
      <c r="T159" s="65">
        <f>2943553</f>
        <v>2943553</v>
      </c>
      <c r="U159" s="65">
        <f>137391</f>
        <v>137391</v>
      </c>
      <c r="V159" s="65">
        <f>9578932560</f>
        <v>9578932560</v>
      </c>
      <c r="W159" s="65">
        <f>451176155</f>
        <v>451176155</v>
      </c>
      <c r="X159" s="69">
        <f>18</f>
        <v>18</v>
      </c>
    </row>
    <row r="160" spans="1:24">
      <c r="A160" s="60" t="s">
        <v>906</v>
      </c>
      <c r="B160" s="60" t="s">
        <v>522</v>
      </c>
      <c r="C160" s="60" t="s">
        <v>523</v>
      </c>
      <c r="D160" s="60" t="s">
        <v>524</v>
      </c>
      <c r="E160" s="61" t="s">
        <v>46</v>
      </c>
      <c r="F160" s="62" t="s">
        <v>46</v>
      </c>
      <c r="G160" s="63" t="s">
        <v>46</v>
      </c>
      <c r="H160" s="64"/>
      <c r="I160" s="64" t="s">
        <v>47</v>
      </c>
      <c r="J160" s="65">
        <v>1</v>
      </c>
      <c r="K160" s="66">
        <f>2578</f>
        <v>2578</v>
      </c>
      <c r="L160" s="67" t="s">
        <v>77</v>
      </c>
      <c r="M160" s="66">
        <f>2605</f>
        <v>2605</v>
      </c>
      <c r="N160" s="67" t="s">
        <v>872</v>
      </c>
      <c r="O160" s="66">
        <f>2559</f>
        <v>2559</v>
      </c>
      <c r="P160" s="67" t="s">
        <v>131</v>
      </c>
      <c r="Q160" s="66">
        <f>2591</f>
        <v>2591</v>
      </c>
      <c r="R160" s="67" t="s">
        <v>872</v>
      </c>
      <c r="S160" s="68">
        <f>2573.5</f>
        <v>2573.5</v>
      </c>
      <c r="T160" s="65">
        <f>558021</f>
        <v>558021</v>
      </c>
      <c r="U160" s="65">
        <f>144918</f>
        <v>144918</v>
      </c>
      <c r="V160" s="65">
        <f>1435990867</f>
        <v>1435990867</v>
      </c>
      <c r="W160" s="65">
        <f>371772769</f>
        <v>371772769</v>
      </c>
      <c r="X160" s="69">
        <f>18</f>
        <v>18</v>
      </c>
    </row>
    <row r="161" spans="1:24">
      <c r="A161" s="60" t="s">
        <v>906</v>
      </c>
      <c r="B161" s="60" t="s">
        <v>525</v>
      </c>
      <c r="C161" s="60" t="s">
        <v>526</v>
      </c>
      <c r="D161" s="60" t="s">
        <v>527</v>
      </c>
      <c r="E161" s="61" t="s">
        <v>46</v>
      </c>
      <c r="F161" s="62" t="s">
        <v>46</v>
      </c>
      <c r="G161" s="63" t="s">
        <v>46</v>
      </c>
      <c r="H161" s="64"/>
      <c r="I161" s="64" t="s">
        <v>47</v>
      </c>
      <c r="J161" s="65">
        <v>1</v>
      </c>
      <c r="K161" s="66">
        <f>2926</f>
        <v>2926</v>
      </c>
      <c r="L161" s="67" t="s">
        <v>77</v>
      </c>
      <c r="M161" s="66">
        <f>3010</f>
        <v>3010</v>
      </c>
      <c r="N161" s="67" t="s">
        <v>88</v>
      </c>
      <c r="O161" s="66">
        <f>2881</f>
        <v>2881</v>
      </c>
      <c r="P161" s="67" t="s">
        <v>92</v>
      </c>
      <c r="Q161" s="66">
        <f>2997</f>
        <v>2997</v>
      </c>
      <c r="R161" s="67" t="s">
        <v>872</v>
      </c>
      <c r="S161" s="68">
        <f>2945.44</f>
        <v>2945.44</v>
      </c>
      <c r="T161" s="65">
        <f>89679</f>
        <v>89679</v>
      </c>
      <c r="U161" s="65">
        <f>3429</f>
        <v>3429</v>
      </c>
      <c r="V161" s="65">
        <f>264479549</f>
        <v>264479549</v>
      </c>
      <c r="W161" s="65">
        <f>9941591</f>
        <v>9941591</v>
      </c>
      <c r="X161" s="69">
        <f>18</f>
        <v>18</v>
      </c>
    </row>
    <row r="162" spans="1:24">
      <c r="A162" s="60" t="s">
        <v>906</v>
      </c>
      <c r="B162" s="60" t="s">
        <v>528</v>
      </c>
      <c r="C162" s="60" t="s">
        <v>529</v>
      </c>
      <c r="D162" s="60" t="s">
        <v>530</v>
      </c>
      <c r="E162" s="61" t="s">
        <v>46</v>
      </c>
      <c r="F162" s="62" t="s">
        <v>46</v>
      </c>
      <c r="G162" s="63" t="s">
        <v>46</v>
      </c>
      <c r="H162" s="64"/>
      <c r="I162" s="64" t="s">
        <v>47</v>
      </c>
      <c r="J162" s="65">
        <v>1</v>
      </c>
      <c r="K162" s="66">
        <f>2371</f>
        <v>2371</v>
      </c>
      <c r="L162" s="67" t="s">
        <v>77</v>
      </c>
      <c r="M162" s="66">
        <f>2460</f>
        <v>2460</v>
      </c>
      <c r="N162" s="67" t="s">
        <v>872</v>
      </c>
      <c r="O162" s="66">
        <f>2295</f>
        <v>2295</v>
      </c>
      <c r="P162" s="67" t="s">
        <v>49</v>
      </c>
      <c r="Q162" s="66">
        <f>2460</f>
        <v>2460</v>
      </c>
      <c r="R162" s="67" t="s">
        <v>872</v>
      </c>
      <c r="S162" s="68">
        <f>2372.5</f>
        <v>2372.5</v>
      </c>
      <c r="T162" s="65">
        <f>81194</f>
        <v>81194</v>
      </c>
      <c r="U162" s="65">
        <f>3</f>
        <v>3</v>
      </c>
      <c r="V162" s="65">
        <f>192922401</f>
        <v>192922401</v>
      </c>
      <c r="W162" s="65">
        <f>7098</f>
        <v>7098</v>
      </c>
      <c r="X162" s="69">
        <f>18</f>
        <v>18</v>
      </c>
    </row>
    <row r="163" spans="1:24">
      <c r="A163" s="60" t="s">
        <v>906</v>
      </c>
      <c r="B163" s="60" t="s">
        <v>531</v>
      </c>
      <c r="C163" s="60" t="s">
        <v>532</v>
      </c>
      <c r="D163" s="60" t="s">
        <v>533</v>
      </c>
      <c r="E163" s="61" t="s">
        <v>46</v>
      </c>
      <c r="F163" s="62" t="s">
        <v>46</v>
      </c>
      <c r="G163" s="63" t="s">
        <v>46</v>
      </c>
      <c r="H163" s="64"/>
      <c r="I163" s="64" t="s">
        <v>47</v>
      </c>
      <c r="J163" s="65">
        <v>1</v>
      </c>
      <c r="K163" s="66">
        <f>2247</f>
        <v>2247</v>
      </c>
      <c r="L163" s="67" t="s">
        <v>77</v>
      </c>
      <c r="M163" s="66">
        <f>2343</f>
        <v>2343</v>
      </c>
      <c r="N163" s="67" t="s">
        <v>872</v>
      </c>
      <c r="O163" s="66">
        <f>2209</f>
        <v>2209</v>
      </c>
      <c r="P163" s="67" t="s">
        <v>92</v>
      </c>
      <c r="Q163" s="66">
        <f>2337</f>
        <v>2337</v>
      </c>
      <c r="R163" s="67" t="s">
        <v>872</v>
      </c>
      <c r="S163" s="68">
        <f>2275.11</f>
        <v>2275.11</v>
      </c>
      <c r="T163" s="65">
        <f>196378</f>
        <v>196378</v>
      </c>
      <c r="U163" s="65">
        <f>9</f>
        <v>9</v>
      </c>
      <c r="V163" s="65">
        <f>445616524</f>
        <v>445616524</v>
      </c>
      <c r="W163" s="65">
        <f>20444</f>
        <v>20444</v>
      </c>
      <c r="X163" s="69">
        <f>18</f>
        <v>18</v>
      </c>
    </row>
    <row r="164" spans="1:24">
      <c r="A164" s="60" t="s">
        <v>906</v>
      </c>
      <c r="B164" s="60" t="s">
        <v>534</v>
      </c>
      <c r="C164" s="60" t="s">
        <v>535</v>
      </c>
      <c r="D164" s="60" t="s">
        <v>536</v>
      </c>
      <c r="E164" s="61" t="s">
        <v>46</v>
      </c>
      <c r="F164" s="62" t="s">
        <v>46</v>
      </c>
      <c r="G164" s="63" t="s">
        <v>46</v>
      </c>
      <c r="H164" s="64"/>
      <c r="I164" s="64" t="s">
        <v>47</v>
      </c>
      <c r="J164" s="65">
        <v>1</v>
      </c>
      <c r="K164" s="66">
        <f>11880</f>
        <v>11880</v>
      </c>
      <c r="L164" s="67" t="s">
        <v>77</v>
      </c>
      <c r="M164" s="66">
        <f>11950</f>
        <v>11950</v>
      </c>
      <c r="N164" s="67" t="s">
        <v>88</v>
      </c>
      <c r="O164" s="66">
        <f>11510</f>
        <v>11510</v>
      </c>
      <c r="P164" s="67" t="s">
        <v>92</v>
      </c>
      <c r="Q164" s="66">
        <f>11930</f>
        <v>11930</v>
      </c>
      <c r="R164" s="67" t="s">
        <v>872</v>
      </c>
      <c r="S164" s="68">
        <f>11778.33</f>
        <v>11778.33</v>
      </c>
      <c r="T164" s="65">
        <f>16073</f>
        <v>16073</v>
      </c>
      <c r="U164" s="65">
        <f>4</f>
        <v>4</v>
      </c>
      <c r="V164" s="65">
        <f>189726890</f>
        <v>189726890</v>
      </c>
      <c r="W164" s="65">
        <f>47090</f>
        <v>47090</v>
      </c>
      <c r="X164" s="69">
        <f>18</f>
        <v>18</v>
      </c>
    </row>
    <row r="165" spans="1:24">
      <c r="A165" s="60" t="s">
        <v>906</v>
      </c>
      <c r="B165" s="60" t="s">
        <v>541</v>
      </c>
      <c r="C165" s="60" t="s">
        <v>542</v>
      </c>
      <c r="D165" s="60" t="s">
        <v>543</v>
      </c>
      <c r="E165" s="61" t="s">
        <v>46</v>
      </c>
      <c r="F165" s="62" t="s">
        <v>46</v>
      </c>
      <c r="G165" s="63" t="s">
        <v>46</v>
      </c>
      <c r="H165" s="64"/>
      <c r="I165" s="64" t="s">
        <v>47</v>
      </c>
      <c r="J165" s="65">
        <v>1</v>
      </c>
      <c r="K165" s="66">
        <f>1363</f>
        <v>1363</v>
      </c>
      <c r="L165" s="67" t="s">
        <v>77</v>
      </c>
      <c r="M165" s="66">
        <f>1417</f>
        <v>1417</v>
      </c>
      <c r="N165" s="67" t="s">
        <v>88</v>
      </c>
      <c r="O165" s="66">
        <f>1292</f>
        <v>1292</v>
      </c>
      <c r="P165" s="67" t="s">
        <v>268</v>
      </c>
      <c r="Q165" s="66">
        <f>1404</f>
        <v>1404</v>
      </c>
      <c r="R165" s="67" t="s">
        <v>872</v>
      </c>
      <c r="S165" s="68">
        <f>1364.5</f>
        <v>1364.5</v>
      </c>
      <c r="T165" s="65">
        <f>35763817</f>
        <v>35763817</v>
      </c>
      <c r="U165" s="65">
        <f>50783</f>
        <v>50783</v>
      </c>
      <c r="V165" s="65">
        <f>48792496540</f>
        <v>48792496540</v>
      </c>
      <c r="W165" s="65">
        <f>69418739</f>
        <v>69418739</v>
      </c>
      <c r="X165" s="69">
        <f>18</f>
        <v>18</v>
      </c>
    </row>
    <row r="166" spans="1:24">
      <c r="A166" s="60" t="s">
        <v>906</v>
      </c>
      <c r="B166" s="60" t="s">
        <v>544</v>
      </c>
      <c r="C166" s="60" t="s">
        <v>545</v>
      </c>
      <c r="D166" s="60" t="s">
        <v>546</v>
      </c>
      <c r="E166" s="61" t="s">
        <v>46</v>
      </c>
      <c r="F166" s="62" t="s">
        <v>46</v>
      </c>
      <c r="G166" s="63" t="s">
        <v>46</v>
      </c>
      <c r="H166" s="64"/>
      <c r="I166" s="64" t="s">
        <v>47</v>
      </c>
      <c r="J166" s="65">
        <v>1</v>
      </c>
      <c r="K166" s="66">
        <f>18110</f>
        <v>18110</v>
      </c>
      <c r="L166" s="67" t="s">
        <v>77</v>
      </c>
      <c r="M166" s="66">
        <f>19800</f>
        <v>19800</v>
      </c>
      <c r="N166" s="67" t="s">
        <v>872</v>
      </c>
      <c r="O166" s="66">
        <f>18110</f>
        <v>18110</v>
      </c>
      <c r="P166" s="67" t="s">
        <v>77</v>
      </c>
      <c r="Q166" s="66">
        <f>19790</f>
        <v>19790</v>
      </c>
      <c r="R166" s="67" t="s">
        <v>872</v>
      </c>
      <c r="S166" s="68">
        <f>19187.22</f>
        <v>19187.22</v>
      </c>
      <c r="T166" s="65">
        <f>7767</f>
        <v>7767</v>
      </c>
      <c r="U166" s="65" t="str">
        <f>"－"</f>
        <v>－</v>
      </c>
      <c r="V166" s="65">
        <f>147524580</f>
        <v>147524580</v>
      </c>
      <c r="W166" s="65" t="str">
        <f>"－"</f>
        <v>－</v>
      </c>
      <c r="X166" s="69">
        <f>18</f>
        <v>18</v>
      </c>
    </row>
    <row r="167" spans="1:24">
      <c r="A167" s="60" t="s">
        <v>906</v>
      </c>
      <c r="B167" s="60" t="s">
        <v>547</v>
      </c>
      <c r="C167" s="60" t="s">
        <v>548</v>
      </c>
      <c r="D167" s="60" t="s">
        <v>549</v>
      </c>
      <c r="E167" s="61" t="s">
        <v>46</v>
      </c>
      <c r="F167" s="62" t="s">
        <v>46</v>
      </c>
      <c r="G167" s="63" t="s">
        <v>46</v>
      </c>
      <c r="H167" s="64"/>
      <c r="I167" s="64" t="s">
        <v>47</v>
      </c>
      <c r="J167" s="65">
        <v>10</v>
      </c>
      <c r="K167" s="66">
        <f>2665</f>
        <v>2665</v>
      </c>
      <c r="L167" s="67" t="s">
        <v>77</v>
      </c>
      <c r="M167" s="66">
        <f>2925</f>
        <v>2925</v>
      </c>
      <c r="N167" s="67" t="s">
        <v>100</v>
      </c>
      <c r="O167" s="66">
        <f>2648</f>
        <v>2648</v>
      </c>
      <c r="P167" s="67" t="s">
        <v>77</v>
      </c>
      <c r="Q167" s="66">
        <f>2865</f>
        <v>2865</v>
      </c>
      <c r="R167" s="67" t="s">
        <v>872</v>
      </c>
      <c r="S167" s="68">
        <f>2809.56</f>
        <v>2809.56</v>
      </c>
      <c r="T167" s="65">
        <f>53940</f>
        <v>53940</v>
      </c>
      <c r="U167" s="65" t="str">
        <f>"－"</f>
        <v>－</v>
      </c>
      <c r="V167" s="65">
        <f>150385030</f>
        <v>150385030</v>
      </c>
      <c r="W167" s="65" t="str">
        <f>"－"</f>
        <v>－</v>
      </c>
      <c r="X167" s="69">
        <f>18</f>
        <v>18</v>
      </c>
    </row>
    <row r="168" spans="1:24">
      <c r="A168" s="60" t="s">
        <v>906</v>
      </c>
      <c r="B168" s="60" t="s">
        <v>550</v>
      </c>
      <c r="C168" s="60" t="s">
        <v>551</v>
      </c>
      <c r="D168" s="60" t="s">
        <v>552</v>
      </c>
      <c r="E168" s="61" t="s">
        <v>46</v>
      </c>
      <c r="F168" s="62" t="s">
        <v>46</v>
      </c>
      <c r="G168" s="63" t="s">
        <v>46</v>
      </c>
      <c r="H168" s="64"/>
      <c r="I168" s="64" t="s">
        <v>47</v>
      </c>
      <c r="J168" s="65">
        <v>1</v>
      </c>
      <c r="K168" s="66">
        <f>12380</f>
        <v>12380</v>
      </c>
      <c r="L168" s="67" t="s">
        <v>77</v>
      </c>
      <c r="M168" s="66">
        <f>12840</f>
        <v>12840</v>
      </c>
      <c r="N168" s="67" t="s">
        <v>860</v>
      </c>
      <c r="O168" s="66">
        <f>11770</f>
        <v>11770</v>
      </c>
      <c r="P168" s="67" t="s">
        <v>176</v>
      </c>
      <c r="Q168" s="66">
        <f>12100</f>
        <v>12100</v>
      </c>
      <c r="R168" s="67" t="s">
        <v>872</v>
      </c>
      <c r="S168" s="68">
        <f>12373.89</f>
        <v>12373.89</v>
      </c>
      <c r="T168" s="65">
        <f>4368</f>
        <v>4368</v>
      </c>
      <c r="U168" s="65" t="str">
        <f>"－"</f>
        <v>－</v>
      </c>
      <c r="V168" s="65">
        <f>54057310</f>
        <v>54057310</v>
      </c>
      <c r="W168" s="65" t="str">
        <f>"－"</f>
        <v>－</v>
      </c>
      <c r="X168" s="69">
        <f>18</f>
        <v>18</v>
      </c>
    </row>
    <row r="169" spans="1:24">
      <c r="A169" s="60" t="s">
        <v>906</v>
      </c>
      <c r="B169" s="60" t="s">
        <v>553</v>
      </c>
      <c r="C169" s="60" t="s">
        <v>554</v>
      </c>
      <c r="D169" s="60" t="s">
        <v>555</v>
      </c>
      <c r="E169" s="61" t="s">
        <v>46</v>
      </c>
      <c r="F169" s="62" t="s">
        <v>46</v>
      </c>
      <c r="G169" s="63" t="s">
        <v>46</v>
      </c>
      <c r="H169" s="64"/>
      <c r="I169" s="64" t="s">
        <v>47</v>
      </c>
      <c r="J169" s="65">
        <v>1</v>
      </c>
      <c r="K169" s="66">
        <f>30150</f>
        <v>30150</v>
      </c>
      <c r="L169" s="67" t="s">
        <v>77</v>
      </c>
      <c r="M169" s="66">
        <f>30900</f>
        <v>30900</v>
      </c>
      <c r="N169" s="67" t="s">
        <v>172</v>
      </c>
      <c r="O169" s="66">
        <f>27620</f>
        <v>27620</v>
      </c>
      <c r="P169" s="67" t="s">
        <v>176</v>
      </c>
      <c r="Q169" s="66">
        <f>28910</f>
        <v>28910</v>
      </c>
      <c r="R169" s="67" t="s">
        <v>872</v>
      </c>
      <c r="S169" s="68">
        <f>29264.44</f>
        <v>29264.44</v>
      </c>
      <c r="T169" s="65">
        <f>1413</f>
        <v>1413</v>
      </c>
      <c r="U169" s="65" t="str">
        <f>"－"</f>
        <v>－</v>
      </c>
      <c r="V169" s="65">
        <f>41660560</f>
        <v>41660560</v>
      </c>
      <c r="W169" s="65" t="str">
        <f>"－"</f>
        <v>－</v>
      </c>
      <c r="X169" s="69">
        <f>18</f>
        <v>18</v>
      </c>
    </row>
    <row r="170" spans="1:24">
      <c r="A170" s="60" t="s">
        <v>906</v>
      </c>
      <c r="B170" s="60" t="s">
        <v>556</v>
      </c>
      <c r="C170" s="60" t="s">
        <v>557</v>
      </c>
      <c r="D170" s="60" t="s">
        <v>558</v>
      </c>
      <c r="E170" s="61" t="s">
        <v>46</v>
      </c>
      <c r="F170" s="62" t="s">
        <v>46</v>
      </c>
      <c r="G170" s="63" t="s">
        <v>46</v>
      </c>
      <c r="H170" s="64"/>
      <c r="I170" s="64" t="s">
        <v>47</v>
      </c>
      <c r="J170" s="65">
        <v>1</v>
      </c>
      <c r="K170" s="66">
        <f>18540</f>
        <v>18540</v>
      </c>
      <c r="L170" s="67" t="s">
        <v>77</v>
      </c>
      <c r="M170" s="66">
        <f>19110</f>
        <v>19110</v>
      </c>
      <c r="N170" s="67" t="s">
        <v>100</v>
      </c>
      <c r="O170" s="66">
        <f>17470</f>
        <v>17470</v>
      </c>
      <c r="P170" s="67" t="s">
        <v>49</v>
      </c>
      <c r="Q170" s="66">
        <f>17990</f>
        <v>17990</v>
      </c>
      <c r="R170" s="67" t="s">
        <v>73</v>
      </c>
      <c r="S170" s="68">
        <f>18445</f>
        <v>18445</v>
      </c>
      <c r="T170" s="65">
        <f>61</f>
        <v>61</v>
      </c>
      <c r="U170" s="65" t="str">
        <f>"－"</f>
        <v>－</v>
      </c>
      <c r="V170" s="65">
        <f>1128040</f>
        <v>1128040</v>
      </c>
      <c r="W170" s="65" t="str">
        <f>"－"</f>
        <v>－</v>
      </c>
      <c r="X170" s="69">
        <f>10</f>
        <v>10</v>
      </c>
    </row>
    <row r="171" spans="1:24">
      <c r="A171" s="60" t="s">
        <v>906</v>
      </c>
      <c r="B171" s="60" t="s">
        <v>559</v>
      </c>
      <c r="C171" s="60" t="s">
        <v>560</v>
      </c>
      <c r="D171" s="60" t="s">
        <v>561</v>
      </c>
      <c r="E171" s="61" t="s">
        <v>46</v>
      </c>
      <c r="F171" s="62" t="s">
        <v>46</v>
      </c>
      <c r="G171" s="63" t="s">
        <v>46</v>
      </c>
      <c r="H171" s="64"/>
      <c r="I171" s="64" t="s">
        <v>47</v>
      </c>
      <c r="J171" s="65">
        <v>10</v>
      </c>
      <c r="K171" s="66">
        <f>51500</f>
        <v>51500</v>
      </c>
      <c r="L171" s="67" t="s">
        <v>77</v>
      </c>
      <c r="M171" s="66">
        <f>52100</f>
        <v>52100</v>
      </c>
      <c r="N171" s="67" t="s">
        <v>872</v>
      </c>
      <c r="O171" s="66">
        <f>51300</f>
        <v>51300</v>
      </c>
      <c r="P171" s="67" t="s">
        <v>131</v>
      </c>
      <c r="Q171" s="66">
        <f>52000</f>
        <v>52000</v>
      </c>
      <c r="R171" s="67" t="s">
        <v>872</v>
      </c>
      <c r="S171" s="68">
        <f>51550</f>
        <v>51550</v>
      </c>
      <c r="T171" s="65">
        <f>20100</f>
        <v>20100</v>
      </c>
      <c r="U171" s="65">
        <f>15600</f>
        <v>15600</v>
      </c>
      <c r="V171" s="65">
        <f>1035655120</f>
        <v>1035655120</v>
      </c>
      <c r="W171" s="65">
        <f>803518120</f>
        <v>803518120</v>
      </c>
      <c r="X171" s="69">
        <f>18</f>
        <v>18</v>
      </c>
    </row>
    <row r="172" spans="1:24">
      <c r="A172" s="60" t="s">
        <v>906</v>
      </c>
      <c r="B172" s="60" t="s">
        <v>562</v>
      </c>
      <c r="C172" s="60" t="s">
        <v>563</v>
      </c>
      <c r="D172" s="60" t="s">
        <v>564</v>
      </c>
      <c r="E172" s="61" t="s">
        <v>46</v>
      </c>
      <c r="F172" s="62" t="s">
        <v>46</v>
      </c>
      <c r="G172" s="63" t="s">
        <v>46</v>
      </c>
      <c r="H172" s="64"/>
      <c r="I172" s="64" t="s">
        <v>47</v>
      </c>
      <c r="J172" s="65">
        <v>100</v>
      </c>
      <c r="K172" s="66">
        <f>193</f>
        <v>193</v>
      </c>
      <c r="L172" s="67" t="s">
        <v>77</v>
      </c>
      <c r="M172" s="66">
        <f>209</f>
        <v>209</v>
      </c>
      <c r="N172" s="67" t="s">
        <v>872</v>
      </c>
      <c r="O172" s="66">
        <f>191</f>
        <v>191</v>
      </c>
      <c r="P172" s="67" t="s">
        <v>92</v>
      </c>
      <c r="Q172" s="66">
        <f>209</f>
        <v>209</v>
      </c>
      <c r="R172" s="67" t="s">
        <v>872</v>
      </c>
      <c r="S172" s="68">
        <f>199.33</f>
        <v>199.33</v>
      </c>
      <c r="T172" s="65">
        <f>8527000</f>
        <v>8527000</v>
      </c>
      <c r="U172" s="65">
        <f>25900</f>
        <v>25900</v>
      </c>
      <c r="V172" s="65">
        <f>1706273500</f>
        <v>1706273500</v>
      </c>
      <c r="W172" s="65">
        <f>5154000</f>
        <v>5154000</v>
      </c>
      <c r="X172" s="69">
        <f>18</f>
        <v>18</v>
      </c>
    </row>
    <row r="173" spans="1:24">
      <c r="A173" s="60" t="s">
        <v>906</v>
      </c>
      <c r="B173" s="60" t="s">
        <v>565</v>
      </c>
      <c r="C173" s="60" t="s">
        <v>566</v>
      </c>
      <c r="D173" s="60" t="s">
        <v>567</v>
      </c>
      <c r="E173" s="61" t="s">
        <v>46</v>
      </c>
      <c r="F173" s="62" t="s">
        <v>46</v>
      </c>
      <c r="G173" s="63" t="s">
        <v>46</v>
      </c>
      <c r="H173" s="64"/>
      <c r="I173" s="64" t="s">
        <v>47</v>
      </c>
      <c r="J173" s="65">
        <v>10</v>
      </c>
      <c r="K173" s="66">
        <f>32850</f>
        <v>32850</v>
      </c>
      <c r="L173" s="67" t="s">
        <v>77</v>
      </c>
      <c r="M173" s="66">
        <f>33550</f>
        <v>33550</v>
      </c>
      <c r="N173" s="67" t="s">
        <v>88</v>
      </c>
      <c r="O173" s="66">
        <f>32350</f>
        <v>32350</v>
      </c>
      <c r="P173" s="67" t="s">
        <v>92</v>
      </c>
      <c r="Q173" s="66">
        <f>33450</f>
        <v>33450</v>
      </c>
      <c r="R173" s="67" t="s">
        <v>872</v>
      </c>
      <c r="S173" s="68">
        <f>32969.44</f>
        <v>32969.440000000002</v>
      </c>
      <c r="T173" s="65">
        <f>10820</f>
        <v>10820</v>
      </c>
      <c r="U173" s="65">
        <f>40</f>
        <v>40</v>
      </c>
      <c r="V173" s="65">
        <f>356444500</f>
        <v>356444500</v>
      </c>
      <c r="W173" s="65">
        <f>1314000</f>
        <v>1314000</v>
      </c>
      <c r="X173" s="69">
        <f>18</f>
        <v>18</v>
      </c>
    </row>
    <row r="174" spans="1:24">
      <c r="A174" s="60" t="s">
        <v>906</v>
      </c>
      <c r="B174" s="60" t="s">
        <v>568</v>
      </c>
      <c r="C174" s="60" t="s">
        <v>569</v>
      </c>
      <c r="D174" s="60" t="s">
        <v>570</v>
      </c>
      <c r="E174" s="61" t="s">
        <v>46</v>
      </c>
      <c r="F174" s="62" t="s">
        <v>46</v>
      </c>
      <c r="G174" s="63" t="s">
        <v>46</v>
      </c>
      <c r="H174" s="64"/>
      <c r="I174" s="64" t="s">
        <v>47</v>
      </c>
      <c r="J174" s="65">
        <v>10</v>
      </c>
      <c r="K174" s="66">
        <f>3355</f>
        <v>3355</v>
      </c>
      <c r="L174" s="67" t="s">
        <v>77</v>
      </c>
      <c r="M174" s="66">
        <f>3445</f>
        <v>3445</v>
      </c>
      <c r="N174" s="67" t="s">
        <v>88</v>
      </c>
      <c r="O174" s="66">
        <f>3295</f>
        <v>3295</v>
      </c>
      <c r="P174" s="67" t="s">
        <v>92</v>
      </c>
      <c r="Q174" s="66">
        <f>3430</f>
        <v>3430</v>
      </c>
      <c r="R174" s="67" t="s">
        <v>872</v>
      </c>
      <c r="S174" s="68">
        <f>3369.44</f>
        <v>3369.44</v>
      </c>
      <c r="T174" s="65">
        <f>63410</f>
        <v>63410</v>
      </c>
      <c r="U174" s="65">
        <f>40</f>
        <v>40</v>
      </c>
      <c r="V174" s="65">
        <f>213383300</f>
        <v>213383300</v>
      </c>
      <c r="W174" s="65">
        <f>135850</f>
        <v>135850</v>
      </c>
      <c r="X174" s="69">
        <f>18</f>
        <v>18</v>
      </c>
    </row>
    <row r="175" spans="1:24">
      <c r="A175" s="60" t="s">
        <v>906</v>
      </c>
      <c r="B175" s="60" t="s">
        <v>571</v>
      </c>
      <c r="C175" s="60" t="s">
        <v>572</v>
      </c>
      <c r="D175" s="60" t="s">
        <v>573</v>
      </c>
      <c r="E175" s="61" t="s">
        <v>46</v>
      </c>
      <c r="F175" s="62" t="s">
        <v>46</v>
      </c>
      <c r="G175" s="63" t="s">
        <v>46</v>
      </c>
      <c r="H175" s="64"/>
      <c r="I175" s="64" t="s">
        <v>47</v>
      </c>
      <c r="J175" s="65">
        <v>10</v>
      </c>
      <c r="K175" s="66">
        <f>1826</f>
        <v>1826</v>
      </c>
      <c r="L175" s="67" t="s">
        <v>77</v>
      </c>
      <c r="M175" s="66">
        <f>1884</f>
        <v>1884</v>
      </c>
      <c r="N175" s="67" t="s">
        <v>872</v>
      </c>
      <c r="O175" s="66">
        <f>1779</f>
        <v>1779</v>
      </c>
      <c r="P175" s="67" t="s">
        <v>49</v>
      </c>
      <c r="Q175" s="66">
        <f>1881</f>
        <v>1881</v>
      </c>
      <c r="R175" s="67" t="s">
        <v>872</v>
      </c>
      <c r="S175" s="68">
        <f>1827.06</f>
        <v>1827.06</v>
      </c>
      <c r="T175" s="65">
        <f>190120</f>
        <v>190120</v>
      </c>
      <c r="U175" s="65">
        <f>100</f>
        <v>100</v>
      </c>
      <c r="V175" s="65">
        <f>350604100</f>
        <v>350604100</v>
      </c>
      <c r="W175" s="65">
        <f>182740</f>
        <v>182740</v>
      </c>
      <c r="X175" s="69">
        <f>18</f>
        <v>18</v>
      </c>
    </row>
    <row r="176" spans="1:24">
      <c r="A176" s="60" t="s">
        <v>906</v>
      </c>
      <c r="B176" s="60" t="s">
        <v>574</v>
      </c>
      <c r="C176" s="60" t="s">
        <v>575</v>
      </c>
      <c r="D176" s="60" t="s">
        <v>576</v>
      </c>
      <c r="E176" s="61" t="s">
        <v>46</v>
      </c>
      <c r="F176" s="62" t="s">
        <v>46</v>
      </c>
      <c r="G176" s="63" t="s">
        <v>46</v>
      </c>
      <c r="H176" s="64"/>
      <c r="I176" s="64" t="s">
        <v>47</v>
      </c>
      <c r="J176" s="65">
        <v>100</v>
      </c>
      <c r="K176" s="66">
        <f>227</f>
        <v>227</v>
      </c>
      <c r="L176" s="67" t="s">
        <v>77</v>
      </c>
      <c r="M176" s="66">
        <f>237</f>
        <v>237</v>
      </c>
      <c r="N176" s="67" t="s">
        <v>860</v>
      </c>
      <c r="O176" s="66">
        <f>216</f>
        <v>216</v>
      </c>
      <c r="P176" s="67" t="s">
        <v>176</v>
      </c>
      <c r="Q176" s="66">
        <f>222</f>
        <v>222</v>
      </c>
      <c r="R176" s="67" t="s">
        <v>872</v>
      </c>
      <c r="S176" s="68">
        <f>227.33</f>
        <v>227.33</v>
      </c>
      <c r="T176" s="65">
        <f>482500</f>
        <v>482500</v>
      </c>
      <c r="U176" s="65" t="str">
        <f t="shared" ref="U176:U190" si="7">"－"</f>
        <v>－</v>
      </c>
      <c r="V176" s="65">
        <f>109374200</f>
        <v>109374200</v>
      </c>
      <c r="W176" s="65" t="str">
        <f t="shared" ref="W176:W190" si="8">"－"</f>
        <v>－</v>
      </c>
      <c r="X176" s="69">
        <f>18</f>
        <v>18</v>
      </c>
    </row>
    <row r="177" spans="1:24">
      <c r="A177" s="60" t="s">
        <v>906</v>
      </c>
      <c r="B177" s="60" t="s">
        <v>577</v>
      </c>
      <c r="C177" s="60" t="s">
        <v>578</v>
      </c>
      <c r="D177" s="60" t="s">
        <v>579</v>
      </c>
      <c r="E177" s="61" t="s">
        <v>46</v>
      </c>
      <c r="F177" s="62" t="s">
        <v>46</v>
      </c>
      <c r="G177" s="63" t="s">
        <v>46</v>
      </c>
      <c r="H177" s="64"/>
      <c r="I177" s="64" t="s">
        <v>47</v>
      </c>
      <c r="J177" s="65">
        <v>10</v>
      </c>
      <c r="K177" s="66">
        <f>1020</f>
        <v>1020</v>
      </c>
      <c r="L177" s="67" t="s">
        <v>77</v>
      </c>
      <c r="M177" s="66">
        <f>1258</f>
        <v>1258</v>
      </c>
      <c r="N177" s="67" t="s">
        <v>856</v>
      </c>
      <c r="O177" s="66">
        <f>1020</f>
        <v>1020</v>
      </c>
      <c r="P177" s="67" t="s">
        <v>77</v>
      </c>
      <c r="Q177" s="66">
        <f>1069</f>
        <v>1069</v>
      </c>
      <c r="R177" s="67" t="s">
        <v>872</v>
      </c>
      <c r="S177" s="68">
        <f>1045.86</f>
        <v>1045.8599999999999</v>
      </c>
      <c r="T177" s="65">
        <f>2890</f>
        <v>2890</v>
      </c>
      <c r="U177" s="65" t="str">
        <f t="shared" si="7"/>
        <v>－</v>
      </c>
      <c r="V177" s="65">
        <f>3099830</f>
        <v>3099830</v>
      </c>
      <c r="W177" s="65" t="str">
        <f t="shared" si="8"/>
        <v>－</v>
      </c>
      <c r="X177" s="69">
        <f>14</f>
        <v>14</v>
      </c>
    </row>
    <row r="178" spans="1:24">
      <c r="A178" s="60" t="s">
        <v>906</v>
      </c>
      <c r="B178" s="60" t="s">
        <v>580</v>
      </c>
      <c r="C178" s="60" t="s">
        <v>581</v>
      </c>
      <c r="D178" s="60" t="s">
        <v>582</v>
      </c>
      <c r="E178" s="61" t="s">
        <v>46</v>
      </c>
      <c r="F178" s="62" t="s">
        <v>46</v>
      </c>
      <c r="G178" s="63" t="s">
        <v>46</v>
      </c>
      <c r="H178" s="64"/>
      <c r="I178" s="64" t="s">
        <v>47</v>
      </c>
      <c r="J178" s="65">
        <v>10</v>
      </c>
      <c r="K178" s="66">
        <f>301</f>
        <v>301</v>
      </c>
      <c r="L178" s="67" t="s">
        <v>77</v>
      </c>
      <c r="M178" s="66">
        <f>319</f>
        <v>319</v>
      </c>
      <c r="N178" s="67" t="s">
        <v>100</v>
      </c>
      <c r="O178" s="66">
        <f>292</f>
        <v>292</v>
      </c>
      <c r="P178" s="67" t="s">
        <v>875</v>
      </c>
      <c r="Q178" s="66">
        <f>308</f>
        <v>308</v>
      </c>
      <c r="R178" s="67" t="s">
        <v>872</v>
      </c>
      <c r="S178" s="68">
        <f>304.22</f>
        <v>304.22000000000003</v>
      </c>
      <c r="T178" s="65">
        <f>28730</f>
        <v>28730</v>
      </c>
      <c r="U178" s="65" t="str">
        <f t="shared" si="7"/>
        <v>－</v>
      </c>
      <c r="V178" s="65">
        <f>8738620</f>
        <v>8738620</v>
      </c>
      <c r="W178" s="65" t="str">
        <f t="shared" si="8"/>
        <v>－</v>
      </c>
      <c r="X178" s="69">
        <f>18</f>
        <v>18</v>
      </c>
    </row>
    <row r="179" spans="1:24">
      <c r="A179" s="60" t="s">
        <v>906</v>
      </c>
      <c r="B179" s="60" t="s">
        <v>583</v>
      </c>
      <c r="C179" s="60" t="s">
        <v>584</v>
      </c>
      <c r="D179" s="60" t="s">
        <v>585</v>
      </c>
      <c r="E179" s="61" t="s">
        <v>46</v>
      </c>
      <c r="F179" s="62" t="s">
        <v>46</v>
      </c>
      <c r="G179" s="63" t="s">
        <v>46</v>
      </c>
      <c r="H179" s="64"/>
      <c r="I179" s="64" t="s">
        <v>47</v>
      </c>
      <c r="J179" s="65">
        <v>10</v>
      </c>
      <c r="K179" s="66">
        <f>1681</f>
        <v>1681</v>
      </c>
      <c r="L179" s="67" t="s">
        <v>77</v>
      </c>
      <c r="M179" s="66">
        <f>2020</f>
        <v>2020</v>
      </c>
      <c r="N179" s="67" t="s">
        <v>172</v>
      </c>
      <c r="O179" s="66">
        <f>1651</f>
        <v>1651</v>
      </c>
      <c r="P179" s="67" t="s">
        <v>73</v>
      </c>
      <c r="Q179" s="66">
        <f>1725</f>
        <v>1725</v>
      </c>
      <c r="R179" s="67" t="s">
        <v>872</v>
      </c>
      <c r="S179" s="68">
        <f>1723.39</f>
        <v>1723.39</v>
      </c>
      <c r="T179" s="65">
        <f>10600</f>
        <v>10600</v>
      </c>
      <c r="U179" s="65" t="str">
        <f t="shared" si="7"/>
        <v>－</v>
      </c>
      <c r="V179" s="65">
        <f>18595660</f>
        <v>18595660</v>
      </c>
      <c r="W179" s="65" t="str">
        <f t="shared" si="8"/>
        <v>－</v>
      </c>
      <c r="X179" s="69">
        <f>18</f>
        <v>18</v>
      </c>
    </row>
    <row r="180" spans="1:24">
      <c r="A180" s="60" t="s">
        <v>906</v>
      </c>
      <c r="B180" s="60" t="s">
        <v>586</v>
      </c>
      <c r="C180" s="60" t="s">
        <v>587</v>
      </c>
      <c r="D180" s="60" t="s">
        <v>588</v>
      </c>
      <c r="E180" s="61" t="s">
        <v>46</v>
      </c>
      <c r="F180" s="62" t="s">
        <v>46</v>
      </c>
      <c r="G180" s="63" t="s">
        <v>46</v>
      </c>
      <c r="H180" s="64"/>
      <c r="I180" s="64" t="s">
        <v>47</v>
      </c>
      <c r="J180" s="65">
        <v>10</v>
      </c>
      <c r="K180" s="66">
        <f>655</f>
        <v>655</v>
      </c>
      <c r="L180" s="67" t="s">
        <v>77</v>
      </c>
      <c r="M180" s="66">
        <f>669</f>
        <v>669</v>
      </c>
      <c r="N180" s="67" t="s">
        <v>172</v>
      </c>
      <c r="O180" s="66">
        <f>594</f>
        <v>594</v>
      </c>
      <c r="P180" s="67" t="s">
        <v>240</v>
      </c>
      <c r="Q180" s="66">
        <f>630</f>
        <v>630</v>
      </c>
      <c r="R180" s="67" t="s">
        <v>872</v>
      </c>
      <c r="S180" s="68">
        <f>633.56</f>
        <v>633.55999999999995</v>
      </c>
      <c r="T180" s="65">
        <f>127740</f>
        <v>127740</v>
      </c>
      <c r="U180" s="65" t="str">
        <f t="shared" si="7"/>
        <v>－</v>
      </c>
      <c r="V180" s="65">
        <f>81799250</f>
        <v>81799250</v>
      </c>
      <c r="W180" s="65" t="str">
        <f t="shared" si="8"/>
        <v>－</v>
      </c>
      <c r="X180" s="69">
        <f>18</f>
        <v>18</v>
      </c>
    </row>
    <row r="181" spans="1:24">
      <c r="A181" s="60" t="s">
        <v>906</v>
      </c>
      <c r="B181" s="60" t="s">
        <v>589</v>
      </c>
      <c r="C181" s="60" t="s">
        <v>590</v>
      </c>
      <c r="D181" s="60" t="s">
        <v>591</v>
      </c>
      <c r="E181" s="61" t="s">
        <v>46</v>
      </c>
      <c r="F181" s="62" t="s">
        <v>46</v>
      </c>
      <c r="G181" s="63" t="s">
        <v>46</v>
      </c>
      <c r="H181" s="64"/>
      <c r="I181" s="64" t="s">
        <v>47</v>
      </c>
      <c r="J181" s="65">
        <v>10</v>
      </c>
      <c r="K181" s="66">
        <f>497</f>
        <v>497</v>
      </c>
      <c r="L181" s="67" t="s">
        <v>77</v>
      </c>
      <c r="M181" s="66">
        <f>513</f>
        <v>513</v>
      </c>
      <c r="N181" s="67" t="s">
        <v>131</v>
      </c>
      <c r="O181" s="66">
        <f>443</f>
        <v>443</v>
      </c>
      <c r="P181" s="67" t="s">
        <v>73</v>
      </c>
      <c r="Q181" s="66">
        <f>463</f>
        <v>463</v>
      </c>
      <c r="R181" s="67" t="s">
        <v>872</v>
      </c>
      <c r="S181" s="68">
        <f>479</f>
        <v>479</v>
      </c>
      <c r="T181" s="65">
        <f>649760</f>
        <v>649760</v>
      </c>
      <c r="U181" s="65" t="str">
        <f t="shared" si="7"/>
        <v>－</v>
      </c>
      <c r="V181" s="65">
        <f>316023670</f>
        <v>316023670</v>
      </c>
      <c r="W181" s="65" t="str">
        <f t="shared" si="8"/>
        <v>－</v>
      </c>
      <c r="X181" s="69">
        <f>18</f>
        <v>18</v>
      </c>
    </row>
    <row r="182" spans="1:24">
      <c r="A182" s="60" t="s">
        <v>906</v>
      </c>
      <c r="B182" s="60" t="s">
        <v>592</v>
      </c>
      <c r="C182" s="60" t="s">
        <v>593</v>
      </c>
      <c r="D182" s="60" t="s">
        <v>594</v>
      </c>
      <c r="E182" s="61" t="s">
        <v>46</v>
      </c>
      <c r="F182" s="62" t="s">
        <v>46</v>
      </c>
      <c r="G182" s="63" t="s">
        <v>46</v>
      </c>
      <c r="H182" s="64"/>
      <c r="I182" s="64" t="s">
        <v>47</v>
      </c>
      <c r="J182" s="65">
        <v>100</v>
      </c>
      <c r="K182" s="66">
        <f>1</f>
        <v>1</v>
      </c>
      <c r="L182" s="67" t="s">
        <v>77</v>
      </c>
      <c r="M182" s="66">
        <f>2</f>
        <v>2</v>
      </c>
      <c r="N182" s="67" t="s">
        <v>77</v>
      </c>
      <c r="O182" s="66">
        <f>1</f>
        <v>1</v>
      </c>
      <c r="P182" s="67" t="s">
        <v>77</v>
      </c>
      <c r="Q182" s="66">
        <f>1</f>
        <v>1</v>
      </c>
      <c r="R182" s="67" t="s">
        <v>872</v>
      </c>
      <c r="S182" s="68">
        <f>1.39</f>
        <v>1.39</v>
      </c>
      <c r="T182" s="65">
        <f>143264400</f>
        <v>143264400</v>
      </c>
      <c r="U182" s="65" t="str">
        <f t="shared" si="7"/>
        <v>－</v>
      </c>
      <c r="V182" s="65">
        <f>197341600</f>
        <v>197341600</v>
      </c>
      <c r="W182" s="65" t="str">
        <f t="shared" si="8"/>
        <v>－</v>
      </c>
      <c r="X182" s="69">
        <f>18</f>
        <v>18</v>
      </c>
    </row>
    <row r="183" spans="1:24">
      <c r="A183" s="60" t="s">
        <v>906</v>
      </c>
      <c r="B183" s="60" t="s">
        <v>595</v>
      </c>
      <c r="C183" s="60" t="s">
        <v>596</v>
      </c>
      <c r="D183" s="60" t="s">
        <v>597</v>
      </c>
      <c r="E183" s="61" t="s">
        <v>46</v>
      </c>
      <c r="F183" s="62" t="s">
        <v>46</v>
      </c>
      <c r="G183" s="63" t="s">
        <v>46</v>
      </c>
      <c r="H183" s="64"/>
      <c r="I183" s="64" t="s">
        <v>47</v>
      </c>
      <c r="J183" s="65">
        <v>10</v>
      </c>
      <c r="K183" s="66">
        <f>639</f>
        <v>639</v>
      </c>
      <c r="L183" s="67" t="s">
        <v>77</v>
      </c>
      <c r="M183" s="66">
        <f>665</f>
        <v>665</v>
      </c>
      <c r="N183" s="67" t="s">
        <v>88</v>
      </c>
      <c r="O183" s="66">
        <f>607</f>
        <v>607</v>
      </c>
      <c r="P183" s="67" t="s">
        <v>268</v>
      </c>
      <c r="Q183" s="66">
        <f>658</f>
        <v>658</v>
      </c>
      <c r="R183" s="67" t="s">
        <v>872</v>
      </c>
      <c r="S183" s="68">
        <f>640.28</f>
        <v>640.28</v>
      </c>
      <c r="T183" s="65">
        <f>505380</f>
        <v>505380</v>
      </c>
      <c r="U183" s="65" t="str">
        <f t="shared" si="7"/>
        <v>－</v>
      </c>
      <c r="V183" s="65">
        <f>324132050</f>
        <v>324132050</v>
      </c>
      <c r="W183" s="65" t="str">
        <f t="shared" si="8"/>
        <v>－</v>
      </c>
      <c r="X183" s="69">
        <f>18</f>
        <v>18</v>
      </c>
    </row>
    <row r="184" spans="1:24">
      <c r="A184" s="60" t="s">
        <v>906</v>
      </c>
      <c r="B184" s="60" t="s">
        <v>598</v>
      </c>
      <c r="C184" s="60" t="s">
        <v>599</v>
      </c>
      <c r="D184" s="60" t="s">
        <v>600</v>
      </c>
      <c r="E184" s="61" t="s">
        <v>46</v>
      </c>
      <c r="F184" s="62" t="s">
        <v>46</v>
      </c>
      <c r="G184" s="63" t="s">
        <v>46</v>
      </c>
      <c r="H184" s="64"/>
      <c r="I184" s="64" t="s">
        <v>47</v>
      </c>
      <c r="J184" s="65">
        <v>1</v>
      </c>
      <c r="K184" s="66">
        <f>2880</f>
        <v>2880</v>
      </c>
      <c r="L184" s="67" t="s">
        <v>77</v>
      </c>
      <c r="M184" s="66">
        <f>2994</f>
        <v>2994</v>
      </c>
      <c r="N184" s="67" t="s">
        <v>131</v>
      </c>
      <c r="O184" s="66">
        <f>2797</f>
        <v>2797</v>
      </c>
      <c r="P184" s="67" t="s">
        <v>371</v>
      </c>
      <c r="Q184" s="66">
        <f>2969</f>
        <v>2969</v>
      </c>
      <c r="R184" s="67" t="s">
        <v>872</v>
      </c>
      <c r="S184" s="68">
        <f>2886.72</f>
        <v>2886.72</v>
      </c>
      <c r="T184" s="65">
        <f>4017</f>
        <v>4017</v>
      </c>
      <c r="U184" s="65" t="str">
        <f t="shared" si="7"/>
        <v>－</v>
      </c>
      <c r="V184" s="65">
        <f>11625934</f>
        <v>11625934</v>
      </c>
      <c r="W184" s="65" t="str">
        <f t="shared" si="8"/>
        <v>－</v>
      </c>
      <c r="X184" s="69">
        <f>18</f>
        <v>18</v>
      </c>
    </row>
    <row r="185" spans="1:24">
      <c r="A185" s="60" t="s">
        <v>906</v>
      </c>
      <c r="B185" s="60" t="s">
        <v>601</v>
      </c>
      <c r="C185" s="60" t="s">
        <v>602</v>
      </c>
      <c r="D185" s="60" t="s">
        <v>603</v>
      </c>
      <c r="E185" s="61" t="s">
        <v>46</v>
      </c>
      <c r="F185" s="62" t="s">
        <v>46</v>
      </c>
      <c r="G185" s="63" t="s">
        <v>46</v>
      </c>
      <c r="H185" s="64"/>
      <c r="I185" s="64" t="s">
        <v>47</v>
      </c>
      <c r="J185" s="65">
        <v>100</v>
      </c>
      <c r="K185" s="66">
        <f>380</f>
        <v>380</v>
      </c>
      <c r="L185" s="67" t="s">
        <v>77</v>
      </c>
      <c r="M185" s="66">
        <f>415</f>
        <v>415</v>
      </c>
      <c r="N185" s="67" t="s">
        <v>172</v>
      </c>
      <c r="O185" s="66">
        <f>356</f>
        <v>356</v>
      </c>
      <c r="P185" s="67" t="s">
        <v>856</v>
      </c>
      <c r="Q185" s="66">
        <f>381</f>
        <v>381</v>
      </c>
      <c r="R185" s="67" t="s">
        <v>872</v>
      </c>
      <c r="S185" s="68">
        <f>379.33</f>
        <v>379.33</v>
      </c>
      <c r="T185" s="65">
        <f>56300</f>
        <v>56300</v>
      </c>
      <c r="U185" s="65" t="str">
        <f t="shared" si="7"/>
        <v>－</v>
      </c>
      <c r="V185" s="65">
        <f>21608800</f>
        <v>21608800</v>
      </c>
      <c r="W185" s="65" t="str">
        <f t="shared" si="8"/>
        <v>－</v>
      </c>
      <c r="X185" s="69">
        <f>18</f>
        <v>18</v>
      </c>
    </row>
    <row r="186" spans="1:24">
      <c r="A186" s="60" t="s">
        <v>906</v>
      </c>
      <c r="B186" s="60" t="s">
        <v>604</v>
      </c>
      <c r="C186" s="60" t="s">
        <v>605</v>
      </c>
      <c r="D186" s="60" t="s">
        <v>606</v>
      </c>
      <c r="E186" s="61" t="s">
        <v>46</v>
      </c>
      <c r="F186" s="62" t="s">
        <v>46</v>
      </c>
      <c r="G186" s="63" t="s">
        <v>46</v>
      </c>
      <c r="H186" s="64"/>
      <c r="I186" s="64" t="s">
        <v>47</v>
      </c>
      <c r="J186" s="65">
        <v>10</v>
      </c>
      <c r="K186" s="66">
        <f>4420</f>
        <v>4420</v>
      </c>
      <c r="L186" s="67" t="s">
        <v>77</v>
      </c>
      <c r="M186" s="66">
        <f>4840</f>
        <v>4840</v>
      </c>
      <c r="N186" s="67" t="s">
        <v>875</v>
      </c>
      <c r="O186" s="66">
        <f>4305</f>
        <v>4305</v>
      </c>
      <c r="P186" s="67" t="s">
        <v>268</v>
      </c>
      <c r="Q186" s="66">
        <f>4565</f>
        <v>4565</v>
      </c>
      <c r="R186" s="67" t="s">
        <v>872</v>
      </c>
      <c r="S186" s="68">
        <f>4547.5</f>
        <v>4547.5</v>
      </c>
      <c r="T186" s="65">
        <f>102650</f>
        <v>102650</v>
      </c>
      <c r="U186" s="65" t="str">
        <f t="shared" si="7"/>
        <v>－</v>
      </c>
      <c r="V186" s="65">
        <f>469806600</f>
        <v>469806600</v>
      </c>
      <c r="W186" s="65" t="str">
        <f t="shared" si="8"/>
        <v>－</v>
      </c>
      <c r="X186" s="69">
        <f>18</f>
        <v>18</v>
      </c>
    </row>
    <row r="187" spans="1:24">
      <c r="A187" s="60" t="s">
        <v>906</v>
      </c>
      <c r="B187" s="60" t="s">
        <v>607</v>
      </c>
      <c r="C187" s="60" t="s">
        <v>608</v>
      </c>
      <c r="D187" s="60" t="s">
        <v>609</v>
      </c>
      <c r="E187" s="61" t="s">
        <v>46</v>
      </c>
      <c r="F187" s="62" t="s">
        <v>46</v>
      </c>
      <c r="G187" s="63" t="s">
        <v>46</v>
      </c>
      <c r="H187" s="64"/>
      <c r="I187" s="64" t="s">
        <v>47</v>
      </c>
      <c r="J187" s="65">
        <v>10</v>
      </c>
      <c r="K187" s="66">
        <f>1810</f>
        <v>1810</v>
      </c>
      <c r="L187" s="67" t="s">
        <v>77</v>
      </c>
      <c r="M187" s="66">
        <f>1867</f>
        <v>1867</v>
      </c>
      <c r="N187" s="67" t="s">
        <v>872</v>
      </c>
      <c r="O187" s="66">
        <f>1699</f>
        <v>1699</v>
      </c>
      <c r="P187" s="67" t="s">
        <v>856</v>
      </c>
      <c r="Q187" s="66">
        <f>1857</f>
        <v>1857</v>
      </c>
      <c r="R187" s="67" t="s">
        <v>872</v>
      </c>
      <c r="S187" s="68">
        <f>1795.11</f>
        <v>1795.11</v>
      </c>
      <c r="T187" s="65">
        <f>62710</f>
        <v>62710</v>
      </c>
      <c r="U187" s="65" t="str">
        <f t="shared" si="7"/>
        <v>－</v>
      </c>
      <c r="V187" s="65">
        <f>113422470</f>
        <v>113422470</v>
      </c>
      <c r="W187" s="65" t="str">
        <f t="shared" si="8"/>
        <v>－</v>
      </c>
      <c r="X187" s="69">
        <f>18</f>
        <v>18</v>
      </c>
    </row>
    <row r="188" spans="1:24">
      <c r="A188" s="60" t="s">
        <v>906</v>
      </c>
      <c r="B188" s="60" t="s">
        <v>610</v>
      </c>
      <c r="C188" s="60" t="s">
        <v>611</v>
      </c>
      <c r="D188" s="60" t="s">
        <v>612</v>
      </c>
      <c r="E188" s="61" t="s">
        <v>46</v>
      </c>
      <c r="F188" s="62" t="s">
        <v>46</v>
      </c>
      <c r="G188" s="63" t="s">
        <v>46</v>
      </c>
      <c r="H188" s="64"/>
      <c r="I188" s="64" t="s">
        <v>47</v>
      </c>
      <c r="J188" s="65">
        <v>100</v>
      </c>
      <c r="K188" s="66">
        <f>90</f>
        <v>90</v>
      </c>
      <c r="L188" s="67" t="s">
        <v>77</v>
      </c>
      <c r="M188" s="66">
        <f>93</f>
        <v>93</v>
      </c>
      <c r="N188" s="67" t="s">
        <v>172</v>
      </c>
      <c r="O188" s="66">
        <f>78</f>
        <v>78</v>
      </c>
      <c r="P188" s="67" t="s">
        <v>240</v>
      </c>
      <c r="Q188" s="66">
        <f>81</f>
        <v>81</v>
      </c>
      <c r="R188" s="67" t="s">
        <v>872</v>
      </c>
      <c r="S188" s="68">
        <f>84.78</f>
        <v>84.78</v>
      </c>
      <c r="T188" s="65">
        <f>6047700</f>
        <v>6047700</v>
      </c>
      <c r="U188" s="65" t="str">
        <f t="shared" si="7"/>
        <v>－</v>
      </c>
      <c r="V188" s="65">
        <f>516553200</f>
        <v>516553200</v>
      </c>
      <c r="W188" s="65" t="str">
        <f t="shared" si="8"/>
        <v>－</v>
      </c>
      <c r="X188" s="69">
        <f>18</f>
        <v>18</v>
      </c>
    </row>
    <row r="189" spans="1:24">
      <c r="A189" s="60" t="s">
        <v>906</v>
      </c>
      <c r="B189" s="60" t="s">
        <v>614</v>
      </c>
      <c r="C189" s="60" t="s">
        <v>615</v>
      </c>
      <c r="D189" s="60" t="s">
        <v>616</v>
      </c>
      <c r="E189" s="61" t="s">
        <v>46</v>
      </c>
      <c r="F189" s="62" t="s">
        <v>46</v>
      </c>
      <c r="G189" s="63" t="s">
        <v>46</v>
      </c>
      <c r="H189" s="64"/>
      <c r="I189" s="64" t="s">
        <v>47</v>
      </c>
      <c r="J189" s="65">
        <v>100</v>
      </c>
      <c r="K189" s="66">
        <f>138</f>
        <v>138</v>
      </c>
      <c r="L189" s="67" t="s">
        <v>77</v>
      </c>
      <c r="M189" s="66">
        <f>141</f>
        <v>141</v>
      </c>
      <c r="N189" s="67" t="s">
        <v>172</v>
      </c>
      <c r="O189" s="66">
        <f>118</f>
        <v>118</v>
      </c>
      <c r="P189" s="67" t="s">
        <v>240</v>
      </c>
      <c r="Q189" s="66">
        <f>128</f>
        <v>128</v>
      </c>
      <c r="R189" s="67" t="s">
        <v>872</v>
      </c>
      <c r="S189" s="68">
        <f>130.39</f>
        <v>130.38999999999999</v>
      </c>
      <c r="T189" s="65">
        <f>4337800</f>
        <v>4337800</v>
      </c>
      <c r="U189" s="65" t="str">
        <f t="shared" si="7"/>
        <v>－</v>
      </c>
      <c r="V189" s="65">
        <f>570783400</f>
        <v>570783400</v>
      </c>
      <c r="W189" s="65" t="str">
        <f t="shared" si="8"/>
        <v>－</v>
      </c>
      <c r="X189" s="69">
        <f>18</f>
        <v>18</v>
      </c>
    </row>
    <row r="190" spans="1:24">
      <c r="A190" s="60" t="s">
        <v>906</v>
      </c>
      <c r="B190" s="60" t="s">
        <v>617</v>
      </c>
      <c r="C190" s="60" t="s">
        <v>618</v>
      </c>
      <c r="D190" s="60" t="s">
        <v>619</v>
      </c>
      <c r="E190" s="61" t="s">
        <v>46</v>
      </c>
      <c r="F190" s="62" t="s">
        <v>46</v>
      </c>
      <c r="G190" s="63" t="s">
        <v>46</v>
      </c>
      <c r="H190" s="64"/>
      <c r="I190" s="64" t="s">
        <v>47</v>
      </c>
      <c r="J190" s="65">
        <v>10</v>
      </c>
      <c r="K190" s="66">
        <f>2933</f>
        <v>2933</v>
      </c>
      <c r="L190" s="67" t="s">
        <v>77</v>
      </c>
      <c r="M190" s="66">
        <f>3145</f>
        <v>3145</v>
      </c>
      <c r="N190" s="67" t="s">
        <v>92</v>
      </c>
      <c r="O190" s="66">
        <f>2815</f>
        <v>2815</v>
      </c>
      <c r="P190" s="67" t="s">
        <v>240</v>
      </c>
      <c r="Q190" s="66">
        <f>2918</f>
        <v>2918</v>
      </c>
      <c r="R190" s="67" t="s">
        <v>872</v>
      </c>
      <c r="S190" s="68">
        <f>2967.83</f>
        <v>2967.83</v>
      </c>
      <c r="T190" s="65">
        <f>52090</f>
        <v>52090</v>
      </c>
      <c r="U190" s="65" t="str">
        <f t="shared" si="7"/>
        <v>－</v>
      </c>
      <c r="V190" s="65">
        <f>155016540</f>
        <v>155016540</v>
      </c>
      <c r="W190" s="65" t="str">
        <f t="shared" si="8"/>
        <v>－</v>
      </c>
      <c r="X190" s="69">
        <f>18</f>
        <v>18</v>
      </c>
    </row>
    <row r="191" spans="1:24">
      <c r="A191" s="60" t="s">
        <v>906</v>
      </c>
      <c r="B191" s="60" t="s">
        <v>620</v>
      </c>
      <c r="C191" s="60" t="s">
        <v>621</v>
      </c>
      <c r="D191" s="60" t="s">
        <v>622</v>
      </c>
      <c r="E191" s="61" t="s">
        <v>46</v>
      </c>
      <c r="F191" s="62" t="s">
        <v>46</v>
      </c>
      <c r="G191" s="63" t="s">
        <v>46</v>
      </c>
      <c r="H191" s="64"/>
      <c r="I191" s="64" t="s">
        <v>47</v>
      </c>
      <c r="J191" s="65">
        <v>10</v>
      </c>
      <c r="K191" s="66">
        <f>1772</f>
        <v>1772</v>
      </c>
      <c r="L191" s="67" t="s">
        <v>77</v>
      </c>
      <c r="M191" s="66">
        <f>1855</f>
        <v>1855</v>
      </c>
      <c r="N191" s="67" t="s">
        <v>88</v>
      </c>
      <c r="O191" s="66">
        <f>1757</f>
        <v>1757</v>
      </c>
      <c r="P191" s="67" t="s">
        <v>131</v>
      </c>
      <c r="Q191" s="66">
        <f>1835</f>
        <v>1835</v>
      </c>
      <c r="R191" s="67" t="s">
        <v>872</v>
      </c>
      <c r="S191" s="68">
        <f>1808.56</f>
        <v>1808.56</v>
      </c>
      <c r="T191" s="65">
        <f>25620</f>
        <v>25620</v>
      </c>
      <c r="U191" s="65">
        <f>20</f>
        <v>20</v>
      </c>
      <c r="V191" s="65">
        <f>46400240</f>
        <v>46400240</v>
      </c>
      <c r="W191" s="65">
        <f>35360</f>
        <v>35360</v>
      </c>
      <c r="X191" s="69">
        <f>18</f>
        <v>18</v>
      </c>
    </row>
    <row r="192" spans="1:24">
      <c r="A192" s="60" t="s">
        <v>906</v>
      </c>
      <c r="B192" s="60" t="s">
        <v>623</v>
      </c>
      <c r="C192" s="60" t="s">
        <v>624</v>
      </c>
      <c r="D192" s="60" t="s">
        <v>625</v>
      </c>
      <c r="E192" s="61" t="s">
        <v>46</v>
      </c>
      <c r="F192" s="62" t="s">
        <v>46</v>
      </c>
      <c r="G192" s="63" t="s">
        <v>46</v>
      </c>
      <c r="H192" s="64"/>
      <c r="I192" s="64" t="s">
        <v>47</v>
      </c>
      <c r="J192" s="65">
        <v>10</v>
      </c>
      <c r="K192" s="66">
        <f>169</f>
        <v>169</v>
      </c>
      <c r="L192" s="67" t="s">
        <v>77</v>
      </c>
      <c r="M192" s="66">
        <f>176</f>
        <v>176</v>
      </c>
      <c r="N192" s="67" t="s">
        <v>88</v>
      </c>
      <c r="O192" s="66">
        <f>160</f>
        <v>160</v>
      </c>
      <c r="P192" s="67" t="s">
        <v>268</v>
      </c>
      <c r="Q192" s="66">
        <f>174</f>
        <v>174</v>
      </c>
      <c r="R192" s="67" t="s">
        <v>872</v>
      </c>
      <c r="S192" s="68">
        <f>169.22</f>
        <v>169.22</v>
      </c>
      <c r="T192" s="65">
        <f>111417100</f>
        <v>111417100</v>
      </c>
      <c r="U192" s="65">
        <f>203850</f>
        <v>203850</v>
      </c>
      <c r="V192" s="65">
        <f>18939119240</f>
        <v>18939119240</v>
      </c>
      <c r="W192" s="65">
        <f>34616920</f>
        <v>34616920</v>
      </c>
      <c r="X192" s="69">
        <f>18</f>
        <v>18</v>
      </c>
    </row>
    <row r="193" spans="1:24">
      <c r="A193" s="60" t="s">
        <v>906</v>
      </c>
      <c r="B193" s="60" t="s">
        <v>626</v>
      </c>
      <c r="C193" s="60" t="s">
        <v>627</v>
      </c>
      <c r="D193" s="60" t="s">
        <v>628</v>
      </c>
      <c r="E193" s="61" t="s">
        <v>46</v>
      </c>
      <c r="F193" s="62" t="s">
        <v>46</v>
      </c>
      <c r="G193" s="63" t="s">
        <v>46</v>
      </c>
      <c r="H193" s="64"/>
      <c r="I193" s="64" t="s">
        <v>629</v>
      </c>
      <c r="J193" s="65">
        <v>1</v>
      </c>
      <c r="K193" s="66">
        <f>11570</f>
        <v>11570</v>
      </c>
      <c r="L193" s="67" t="s">
        <v>77</v>
      </c>
      <c r="M193" s="66">
        <f>12400</f>
        <v>12400</v>
      </c>
      <c r="N193" s="67" t="s">
        <v>88</v>
      </c>
      <c r="O193" s="66">
        <f>10830</f>
        <v>10830</v>
      </c>
      <c r="P193" s="67" t="s">
        <v>92</v>
      </c>
      <c r="Q193" s="66">
        <f>12100</f>
        <v>12100</v>
      </c>
      <c r="R193" s="67" t="s">
        <v>872</v>
      </c>
      <c r="S193" s="68">
        <f>11608.89</f>
        <v>11608.89</v>
      </c>
      <c r="T193" s="65">
        <f>2701</f>
        <v>2701</v>
      </c>
      <c r="U193" s="65" t="str">
        <f>"－"</f>
        <v>－</v>
      </c>
      <c r="V193" s="65">
        <f>31695980</f>
        <v>31695980</v>
      </c>
      <c r="W193" s="65" t="str">
        <f>"－"</f>
        <v>－</v>
      </c>
      <c r="X193" s="69">
        <f>18</f>
        <v>18</v>
      </c>
    </row>
    <row r="194" spans="1:24">
      <c r="A194" s="60" t="s">
        <v>906</v>
      </c>
      <c r="B194" s="60" t="s">
        <v>630</v>
      </c>
      <c r="C194" s="60" t="s">
        <v>631</v>
      </c>
      <c r="D194" s="60" t="s">
        <v>632</v>
      </c>
      <c r="E194" s="61" t="s">
        <v>46</v>
      </c>
      <c r="F194" s="62" t="s">
        <v>46</v>
      </c>
      <c r="G194" s="63" t="s">
        <v>46</v>
      </c>
      <c r="H194" s="64"/>
      <c r="I194" s="64" t="s">
        <v>629</v>
      </c>
      <c r="J194" s="65">
        <v>1</v>
      </c>
      <c r="K194" s="66">
        <f>5230</f>
        <v>5230</v>
      </c>
      <c r="L194" s="67" t="s">
        <v>77</v>
      </c>
      <c r="M194" s="66">
        <f>5570</f>
        <v>5570</v>
      </c>
      <c r="N194" s="67" t="s">
        <v>92</v>
      </c>
      <c r="O194" s="66">
        <f>5130</f>
        <v>5130</v>
      </c>
      <c r="P194" s="67" t="s">
        <v>240</v>
      </c>
      <c r="Q194" s="66">
        <f>5190</f>
        <v>5190</v>
      </c>
      <c r="R194" s="67" t="s">
        <v>872</v>
      </c>
      <c r="S194" s="68">
        <f>5279.44</f>
        <v>5279.44</v>
      </c>
      <c r="T194" s="65">
        <f>1916</f>
        <v>1916</v>
      </c>
      <c r="U194" s="65" t="str">
        <f>"－"</f>
        <v>－</v>
      </c>
      <c r="V194" s="65">
        <f>10302280</f>
        <v>10302280</v>
      </c>
      <c r="W194" s="65" t="str">
        <f>"－"</f>
        <v>－</v>
      </c>
      <c r="X194" s="69">
        <f>18</f>
        <v>18</v>
      </c>
    </row>
    <row r="195" spans="1:24">
      <c r="A195" s="60" t="s">
        <v>906</v>
      </c>
      <c r="B195" s="60" t="s">
        <v>633</v>
      </c>
      <c r="C195" s="60" t="s">
        <v>634</v>
      </c>
      <c r="D195" s="60" t="s">
        <v>635</v>
      </c>
      <c r="E195" s="61" t="s">
        <v>46</v>
      </c>
      <c r="F195" s="62" t="s">
        <v>46</v>
      </c>
      <c r="G195" s="63" t="s">
        <v>46</v>
      </c>
      <c r="H195" s="64"/>
      <c r="I195" s="64" t="s">
        <v>629</v>
      </c>
      <c r="J195" s="65">
        <v>1</v>
      </c>
      <c r="K195" s="66">
        <f>19550</f>
        <v>19550</v>
      </c>
      <c r="L195" s="67" t="s">
        <v>77</v>
      </c>
      <c r="M195" s="66">
        <f>20430</f>
        <v>20430</v>
      </c>
      <c r="N195" s="67" t="s">
        <v>860</v>
      </c>
      <c r="O195" s="66">
        <f>18590</f>
        <v>18590</v>
      </c>
      <c r="P195" s="67" t="s">
        <v>92</v>
      </c>
      <c r="Q195" s="66">
        <f>19780</f>
        <v>19780</v>
      </c>
      <c r="R195" s="67" t="s">
        <v>88</v>
      </c>
      <c r="S195" s="68">
        <f>19335.38</f>
        <v>19335.38</v>
      </c>
      <c r="T195" s="65">
        <f>583</f>
        <v>583</v>
      </c>
      <c r="U195" s="65" t="str">
        <f>"－"</f>
        <v>－</v>
      </c>
      <c r="V195" s="65">
        <f>11345850</f>
        <v>11345850</v>
      </c>
      <c r="W195" s="65" t="str">
        <f>"－"</f>
        <v>－</v>
      </c>
      <c r="X195" s="69">
        <f>13</f>
        <v>13</v>
      </c>
    </row>
    <row r="196" spans="1:24">
      <c r="A196" s="60" t="s">
        <v>906</v>
      </c>
      <c r="B196" s="60" t="s">
        <v>636</v>
      </c>
      <c r="C196" s="60" t="s">
        <v>637</v>
      </c>
      <c r="D196" s="60" t="s">
        <v>638</v>
      </c>
      <c r="E196" s="61" t="s">
        <v>46</v>
      </c>
      <c r="F196" s="62" t="s">
        <v>46</v>
      </c>
      <c r="G196" s="63" t="s">
        <v>46</v>
      </c>
      <c r="H196" s="64"/>
      <c r="I196" s="64" t="s">
        <v>629</v>
      </c>
      <c r="J196" s="65">
        <v>1</v>
      </c>
      <c r="K196" s="66">
        <f>6050</f>
        <v>6050</v>
      </c>
      <c r="L196" s="67" t="s">
        <v>77</v>
      </c>
      <c r="M196" s="66">
        <f>6090</f>
        <v>6090</v>
      </c>
      <c r="N196" s="67" t="s">
        <v>92</v>
      </c>
      <c r="O196" s="66">
        <f>5820</f>
        <v>5820</v>
      </c>
      <c r="P196" s="67" t="s">
        <v>860</v>
      </c>
      <c r="Q196" s="66">
        <f>5910</f>
        <v>5910</v>
      </c>
      <c r="R196" s="67" t="s">
        <v>872</v>
      </c>
      <c r="S196" s="68">
        <f>5917.22</f>
        <v>5917.22</v>
      </c>
      <c r="T196" s="65">
        <f>7051</f>
        <v>7051</v>
      </c>
      <c r="U196" s="65" t="str">
        <f>"－"</f>
        <v>－</v>
      </c>
      <c r="V196" s="65">
        <f>42012700</f>
        <v>42012700</v>
      </c>
      <c r="W196" s="65" t="str">
        <f>"－"</f>
        <v>－</v>
      </c>
      <c r="X196" s="69">
        <f>18</f>
        <v>18</v>
      </c>
    </row>
    <row r="197" spans="1:24">
      <c r="A197" s="60" t="s">
        <v>906</v>
      </c>
      <c r="B197" s="60" t="s">
        <v>639</v>
      </c>
      <c r="C197" s="60" t="s">
        <v>640</v>
      </c>
      <c r="D197" s="60" t="s">
        <v>641</v>
      </c>
      <c r="E197" s="61" t="s">
        <v>46</v>
      </c>
      <c r="F197" s="62" t="s">
        <v>46</v>
      </c>
      <c r="G197" s="63" t="s">
        <v>46</v>
      </c>
      <c r="H197" s="64"/>
      <c r="I197" s="64" t="s">
        <v>629</v>
      </c>
      <c r="J197" s="65">
        <v>1</v>
      </c>
      <c r="K197" s="66">
        <f>250</f>
        <v>250</v>
      </c>
      <c r="L197" s="67" t="s">
        <v>77</v>
      </c>
      <c r="M197" s="66">
        <f>269</f>
        <v>269</v>
      </c>
      <c r="N197" s="67" t="s">
        <v>92</v>
      </c>
      <c r="O197" s="66">
        <f>221</f>
        <v>221</v>
      </c>
      <c r="P197" s="67" t="s">
        <v>860</v>
      </c>
      <c r="Q197" s="66">
        <f>222</f>
        <v>222</v>
      </c>
      <c r="R197" s="67" t="s">
        <v>872</v>
      </c>
      <c r="S197" s="68">
        <f>236.89</f>
        <v>236.89</v>
      </c>
      <c r="T197" s="65">
        <f>20486435</f>
        <v>20486435</v>
      </c>
      <c r="U197" s="65">
        <f>2328</f>
        <v>2328</v>
      </c>
      <c r="V197" s="65">
        <f>4903270536</f>
        <v>4903270536</v>
      </c>
      <c r="W197" s="65">
        <f>568002</f>
        <v>568002</v>
      </c>
      <c r="X197" s="69">
        <f>18</f>
        <v>18</v>
      </c>
    </row>
    <row r="198" spans="1:24">
      <c r="A198" s="60" t="s">
        <v>906</v>
      </c>
      <c r="B198" s="60" t="s">
        <v>642</v>
      </c>
      <c r="C198" s="60" t="s">
        <v>643</v>
      </c>
      <c r="D198" s="60" t="s">
        <v>644</v>
      </c>
      <c r="E198" s="61" t="s">
        <v>46</v>
      </c>
      <c r="F198" s="62" t="s">
        <v>46</v>
      </c>
      <c r="G198" s="63" t="s">
        <v>46</v>
      </c>
      <c r="H198" s="64"/>
      <c r="I198" s="64" t="s">
        <v>629</v>
      </c>
      <c r="J198" s="65">
        <v>1</v>
      </c>
      <c r="K198" s="66">
        <f>17150</f>
        <v>17150</v>
      </c>
      <c r="L198" s="67" t="s">
        <v>77</v>
      </c>
      <c r="M198" s="66">
        <f>20110</f>
        <v>20110</v>
      </c>
      <c r="N198" s="67" t="s">
        <v>872</v>
      </c>
      <c r="O198" s="66">
        <f>17150</f>
        <v>17150</v>
      </c>
      <c r="P198" s="67" t="s">
        <v>77</v>
      </c>
      <c r="Q198" s="66">
        <f>19990</f>
        <v>19990</v>
      </c>
      <c r="R198" s="67" t="s">
        <v>872</v>
      </c>
      <c r="S198" s="68">
        <f>18722.22</f>
        <v>18722.22</v>
      </c>
      <c r="T198" s="65">
        <f>70438</f>
        <v>70438</v>
      </c>
      <c r="U198" s="65">
        <f>1</f>
        <v>1</v>
      </c>
      <c r="V198" s="65">
        <f>1323180710</f>
        <v>1323180710</v>
      </c>
      <c r="W198" s="65">
        <f>17840</f>
        <v>17840</v>
      </c>
      <c r="X198" s="69">
        <f>18</f>
        <v>18</v>
      </c>
    </row>
    <row r="199" spans="1:24">
      <c r="A199" s="60" t="s">
        <v>906</v>
      </c>
      <c r="B199" s="60" t="s">
        <v>645</v>
      </c>
      <c r="C199" s="60" t="s">
        <v>646</v>
      </c>
      <c r="D199" s="60" t="s">
        <v>647</v>
      </c>
      <c r="E199" s="61" t="s">
        <v>46</v>
      </c>
      <c r="F199" s="62" t="s">
        <v>46</v>
      </c>
      <c r="G199" s="63" t="s">
        <v>46</v>
      </c>
      <c r="H199" s="64"/>
      <c r="I199" s="64" t="s">
        <v>629</v>
      </c>
      <c r="J199" s="65">
        <v>1</v>
      </c>
      <c r="K199" s="66">
        <f>5690</f>
        <v>5690</v>
      </c>
      <c r="L199" s="67" t="s">
        <v>77</v>
      </c>
      <c r="M199" s="66">
        <f>5690</f>
        <v>5690</v>
      </c>
      <c r="N199" s="67" t="s">
        <v>77</v>
      </c>
      <c r="O199" s="66">
        <f>5250</f>
        <v>5250</v>
      </c>
      <c r="P199" s="67" t="s">
        <v>872</v>
      </c>
      <c r="Q199" s="66">
        <f>5250</f>
        <v>5250</v>
      </c>
      <c r="R199" s="67" t="s">
        <v>872</v>
      </c>
      <c r="S199" s="68">
        <f>5422.22</f>
        <v>5422.22</v>
      </c>
      <c r="T199" s="65">
        <f>6805</f>
        <v>6805</v>
      </c>
      <c r="U199" s="65" t="str">
        <f>"－"</f>
        <v>－</v>
      </c>
      <c r="V199" s="65">
        <f>36930410</f>
        <v>36930410</v>
      </c>
      <c r="W199" s="65" t="str">
        <f>"－"</f>
        <v>－</v>
      </c>
      <c r="X199" s="69">
        <f>18</f>
        <v>18</v>
      </c>
    </row>
    <row r="200" spans="1:24">
      <c r="A200" s="60" t="s">
        <v>906</v>
      </c>
      <c r="B200" s="60" t="s">
        <v>648</v>
      </c>
      <c r="C200" s="60" t="s">
        <v>649</v>
      </c>
      <c r="D200" s="60" t="s">
        <v>650</v>
      </c>
      <c r="E200" s="61" t="s">
        <v>46</v>
      </c>
      <c r="F200" s="62" t="s">
        <v>46</v>
      </c>
      <c r="G200" s="63" t="s">
        <v>46</v>
      </c>
      <c r="H200" s="64"/>
      <c r="I200" s="64" t="s">
        <v>629</v>
      </c>
      <c r="J200" s="65">
        <v>1</v>
      </c>
      <c r="K200" s="66">
        <f>513</f>
        <v>513</v>
      </c>
      <c r="L200" s="67" t="s">
        <v>77</v>
      </c>
      <c r="M200" s="66">
        <f>545</f>
        <v>545</v>
      </c>
      <c r="N200" s="67" t="s">
        <v>88</v>
      </c>
      <c r="O200" s="66">
        <f>475</f>
        <v>475</v>
      </c>
      <c r="P200" s="67" t="s">
        <v>268</v>
      </c>
      <c r="Q200" s="66">
        <f>536</f>
        <v>536</v>
      </c>
      <c r="R200" s="67" t="s">
        <v>872</v>
      </c>
      <c r="S200" s="68">
        <f>516.44</f>
        <v>516.44000000000005</v>
      </c>
      <c r="T200" s="65">
        <f>159021836</f>
        <v>159021836</v>
      </c>
      <c r="U200" s="65">
        <f>419607</f>
        <v>419607</v>
      </c>
      <c r="V200" s="65">
        <f>82301972007</f>
        <v>82301972007</v>
      </c>
      <c r="W200" s="65">
        <f>232224161</f>
        <v>232224161</v>
      </c>
      <c r="X200" s="69">
        <f>18</f>
        <v>18</v>
      </c>
    </row>
    <row r="201" spans="1:24">
      <c r="A201" s="60" t="s">
        <v>906</v>
      </c>
      <c r="B201" s="60" t="s">
        <v>651</v>
      </c>
      <c r="C201" s="60" t="s">
        <v>652</v>
      </c>
      <c r="D201" s="60" t="s">
        <v>653</v>
      </c>
      <c r="E201" s="61" t="s">
        <v>46</v>
      </c>
      <c r="F201" s="62" t="s">
        <v>46</v>
      </c>
      <c r="G201" s="63" t="s">
        <v>46</v>
      </c>
      <c r="H201" s="64"/>
      <c r="I201" s="64" t="s">
        <v>629</v>
      </c>
      <c r="J201" s="65">
        <v>1</v>
      </c>
      <c r="K201" s="66">
        <f>3680</f>
        <v>3680</v>
      </c>
      <c r="L201" s="67" t="s">
        <v>77</v>
      </c>
      <c r="M201" s="66">
        <f>3805</f>
        <v>3805</v>
      </c>
      <c r="N201" s="67" t="s">
        <v>268</v>
      </c>
      <c r="O201" s="66">
        <f>3520</f>
        <v>3520</v>
      </c>
      <c r="P201" s="67" t="s">
        <v>88</v>
      </c>
      <c r="Q201" s="66">
        <f>3575</f>
        <v>3575</v>
      </c>
      <c r="R201" s="67" t="s">
        <v>872</v>
      </c>
      <c r="S201" s="68">
        <f>3645.28</f>
        <v>3645.28</v>
      </c>
      <c r="T201" s="65">
        <f>362798</f>
        <v>362798</v>
      </c>
      <c r="U201" s="65">
        <f>9</f>
        <v>9</v>
      </c>
      <c r="V201" s="65">
        <f>1318975560</f>
        <v>1318975560</v>
      </c>
      <c r="W201" s="65">
        <f>32755</f>
        <v>32755</v>
      </c>
      <c r="X201" s="69">
        <f>18</f>
        <v>18</v>
      </c>
    </row>
    <row r="202" spans="1:24">
      <c r="A202" s="60" t="s">
        <v>906</v>
      </c>
      <c r="B202" s="60" t="s">
        <v>654</v>
      </c>
      <c r="C202" s="60" t="s">
        <v>655</v>
      </c>
      <c r="D202" s="60" t="s">
        <v>656</v>
      </c>
      <c r="E202" s="61" t="s">
        <v>46</v>
      </c>
      <c r="F202" s="62" t="s">
        <v>46</v>
      </c>
      <c r="G202" s="63" t="s">
        <v>46</v>
      </c>
      <c r="H202" s="64"/>
      <c r="I202" s="64" t="s">
        <v>629</v>
      </c>
      <c r="J202" s="65">
        <v>1</v>
      </c>
      <c r="K202" s="66">
        <f>30300</f>
        <v>30300</v>
      </c>
      <c r="L202" s="67" t="s">
        <v>77</v>
      </c>
      <c r="M202" s="66">
        <f>31600</f>
        <v>31600</v>
      </c>
      <c r="N202" s="67" t="s">
        <v>860</v>
      </c>
      <c r="O202" s="66">
        <f>29170</f>
        <v>29170</v>
      </c>
      <c r="P202" s="67" t="s">
        <v>92</v>
      </c>
      <c r="Q202" s="66">
        <f>30950</f>
        <v>30950</v>
      </c>
      <c r="R202" s="67" t="s">
        <v>872</v>
      </c>
      <c r="S202" s="68">
        <f>30552.78</f>
        <v>30552.78</v>
      </c>
      <c r="T202" s="65">
        <f>137726</f>
        <v>137726</v>
      </c>
      <c r="U202" s="65">
        <f>111</f>
        <v>111</v>
      </c>
      <c r="V202" s="65">
        <f>4201018740</f>
        <v>4201018740</v>
      </c>
      <c r="W202" s="65">
        <f>3353400</f>
        <v>3353400</v>
      </c>
      <c r="X202" s="69">
        <f>18</f>
        <v>18</v>
      </c>
    </row>
    <row r="203" spans="1:24">
      <c r="A203" s="60" t="s">
        <v>906</v>
      </c>
      <c r="B203" s="60" t="s">
        <v>657</v>
      </c>
      <c r="C203" s="60" t="s">
        <v>658</v>
      </c>
      <c r="D203" s="60" t="s">
        <v>659</v>
      </c>
      <c r="E203" s="61" t="s">
        <v>46</v>
      </c>
      <c r="F203" s="62" t="s">
        <v>46</v>
      </c>
      <c r="G203" s="63" t="s">
        <v>46</v>
      </c>
      <c r="H203" s="64"/>
      <c r="I203" s="64" t="s">
        <v>629</v>
      </c>
      <c r="J203" s="65">
        <v>1</v>
      </c>
      <c r="K203" s="66">
        <f>3030</f>
        <v>3030</v>
      </c>
      <c r="L203" s="67" t="s">
        <v>77</v>
      </c>
      <c r="M203" s="66">
        <f>3095</f>
        <v>3095</v>
      </c>
      <c r="N203" s="67" t="s">
        <v>92</v>
      </c>
      <c r="O203" s="66">
        <f>2980</f>
        <v>2980</v>
      </c>
      <c r="P203" s="67" t="s">
        <v>88</v>
      </c>
      <c r="Q203" s="66">
        <f>2989</f>
        <v>2989</v>
      </c>
      <c r="R203" s="67" t="s">
        <v>872</v>
      </c>
      <c r="S203" s="68">
        <f>3023.5</f>
        <v>3023.5</v>
      </c>
      <c r="T203" s="65">
        <f>293290</f>
        <v>293290</v>
      </c>
      <c r="U203" s="65">
        <f>539</f>
        <v>539</v>
      </c>
      <c r="V203" s="65">
        <f>888453206</f>
        <v>888453206</v>
      </c>
      <c r="W203" s="65">
        <f>1654535</f>
        <v>1654535</v>
      </c>
      <c r="X203" s="69">
        <f>18</f>
        <v>18</v>
      </c>
    </row>
    <row r="204" spans="1:24">
      <c r="A204" s="60" t="s">
        <v>906</v>
      </c>
      <c r="B204" s="60" t="s">
        <v>660</v>
      </c>
      <c r="C204" s="60" t="s">
        <v>661</v>
      </c>
      <c r="D204" s="60" t="s">
        <v>662</v>
      </c>
      <c r="E204" s="61" t="s">
        <v>46</v>
      </c>
      <c r="F204" s="62" t="s">
        <v>46</v>
      </c>
      <c r="G204" s="63" t="s">
        <v>46</v>
      </c>
      <c r="H204" s="64"/>
      <c r="I204" s="64" t="s">
        <v>629</v>
      </c>
      <c r="J204" s="65">
        <v>1</v>
      </c>
      <c r="K204" s="66">
        <f>12950</f>
        <v>12950</v>
      </c>
      <c r="L204" s="67" t="s">
        <v>77</v>
      </c>
      <c r="M204" s="66">
        <f>12950</f>
        <v>12950</v>
      </c>
      <c r="N204" s="67" t="s">
        <v>77</v>
      </c>
      <c r="O204" s="66">
        <f>11070</f>
        <v>11070</v>
      </c>
      <c r="P204" s="67" t="s">
        <v>855</v>
      </c>
      <c r="Q204" s="66">
        <f>12170</f>
        <v>12170</v>
      </c>
      <c r="R204" s="67" t="s">
        <v>872</v>
      </c>
      <c r="S204" s="68">
        <f>12009.44</f>
        <v>12009.44</v>
      </c>
      <c r="T204" s="65">
        <f>79568</f>
        <v>79568</v>
      </c>
      <c r="U204" s="65">
        <f>2813</f>
        <v>2813</v>
      </c>
      <c r="V204" s="65">
        <f>949517140</f>
        <v>949517140</v>
      </c>
      <c r="W204" s="65">
        <f>33397150</f>
        <v>33397150</v>
      </c>
      <c r="X204" s="69">
        <f>18</f>
        <v>18</v>
      </c>
    </row>
    <row r="205" spans="1:24">
      <c r="A205" s="60" t="s">
        <v>906</v>
      </c>
      <c r="B205" s="60" t="s">
        <v>663</v>
      </c>
      <c r="C205" s="60" t="s">
        <v>664</v>
      </c>
      <c r="D205" s="60" t="s">
        <v>665</v>
      </c>
      <c r="E205" s="61" t="s">
        <v>46</v>
      </c>
      <c r="F205" s="62" t="s">
        <v>46</v>
      </c>
      <c r="G205" s="63" t="s">
        <v>46</v>
      </c>
      <c r="H205" s="64"/>
      <c r="I205" s="64" t="s">
        <v>629</v>
      </c>
      <c r="J205" s="65">
        <v>1</v>
      </c>
      <c r="K205" s="66">
        <f>13630</f>
        <v>13630</v>
      </c>
      <c r="L205" s="67" t="s">
        <v>77</v>
      </c>
      <c r="M205" s="66">
        <f>13630</f>
        <v>13630</v>
      </c>
      <c r="N205" s="67" t="s">
        <v>77</v>
      </c>
      <c r="O205" s="66">
        <f>13040</f>
        <v>13040</v>
      </c>
      <c r="P205" s="67" t="s">
        <v>371</v>
      </c>
      <c r="Q205" s="66">
        <f>13410</f>
        <v>13410</v>
      </c>
      <c r="R205" s="67" t="s">
        <v>88</v>
      </c>
      <c r="S205" s="68">
        <f>13216.15</f>
        <v>13216.15</v>
      </c>
      <c r="T205" s="65">
        <f>315</f>
        <v>315</v>
      </c>
      <c r="U205" s="65" t="str">
        <f>"－"</f>
        <v>－</v>
      </c>
      <c r="V205" s="65">
        <f>4178310</f>
        <v>4178310</v>
      </c>
      <c r="W205" s="65" t="str">
        <f>"－"</f>
        <v>－</v>
      </c>
      <c r="X205" s="69">
        <f>13</f>
        <v>13</v>
      </c>
    </row>
    <row r="206" spans="1:24">
      <c r="A206" s="60" t="s">
        <v>906</v>
      </c>
      <c r="B206" s="60" t="s">
        <v>666</v>
      </c>
      <c r="C206" s="60" t="s">
        <v>667</v>
      </c>
      <c r="D206" s="60" t="s">
        <v>668</v>
      </c>
      <c r="E206" s="61" t="s">
        <v>46</v>
      </c>
      <c r="F206" s="62" t="s">
        <v>46</v>
      </c>
      <c r="G206" s="63" t="s">
        <v>46</v>
      </c>
      <c r="H206" s="64"/>
      <c r="I206" s="64" t="s">
        <v>629</v>
      </c>
      <c r="J206" s="65">
        <v>1</v>
      </c>
      <c r="K206" s="66">
        <f>18500</f>
        <v>18500</v>
      </c>
      <c r="L206" s="67" t="s">
        <v>77</v>
      </c>
      <c r="M206" s="66">
        <f>18880</f>
        <v>18880</v>
      </c>
      <c r="N206" s="67" t="s">
        <v>88</v>
      </c>
      <c r="O206" s="66">
        <f>18260</f>
        <v>18260</v>
      </c>
      <c r="P206" s="67" t="s">
        <v>92</v>
      </c>
      <c r="Q206" s="66">
        <f>18750</f>
        <v>18750</v>
      </c>
      <c r="R206" s="67" t="s">
        <v>872</v>
      </c>
      <c r="S206" s="68">
        <f>18607.22</f>
        <v>18607.22</v>
      </c>
      <c r="T206" s="65">
        <f>20986</f>
        <v>20986</v>
      </c>
      <c r="U206" s="65">
        <f>1600</f>
        <v>1600</v>
      </c>
      <c r="V206" s="65">
        <f>390292200</f>
        <v>390292200</v>
      </c>
      <c r="W206" s="65">
        <f>29966800</f>
        <v>29966800</v>
      </c>
      <c r="X206" s="69">
        <f>18</f>
        <v>18</v>
      </c>
    </row>
    <row r="207" spans="1:24">
      <c r="A207" s="60" t="s">
        <v>906</v>
      </c>
      <c r="B207" s="60" t="s">
        <v>669</v>
      </c>
      <c r="C207" s="60" t="s">
        <v>670</v>
      </c>
      <c r="D207" s="60" t="s">
        <v>671</v>
      </c>
      <c r="E207" s="61" t="s">
        <v>46</v>
      </c>
      <c r="F207" s="62" t="s">
        <v>46</v>
      </c>
      <c r="G207" s="63" t="s">
        <v>46</v>
      </c>
      <c r="H207" s="64"/>
      <c r="I207" s="64" t="s">
        <v>629</v>
      </c>
      <c r="J207" s="65">
        <v>1</v>
      </c>
      <c r="K207" s="66">
        <f>13630</f>
        <v>13630</v>
      </c>
      <c r="L207" s="67" t="s">
        <v>77</v>
      </c>
      <c r="M207" s="66">
        <f>13630</f>
        <v>13630</v>
      </c>
      <c r="N207" s="67" t="s">
        <v>77</v>
      </c>
      <c r="O207" s="66">
        <f>12760</f>
        <v>12760</v>
      </c>
      <c r="P207" s="67" t="s">
        <v>855</v>
      </c>
      <c r="Q207" s="66">
        <f>13390</f>
        <v>13390</v>
      </c>
      <c r="R207" s="67" t="s">
        <v>872</v>
      </c>
      <c r="S207" s="68">
        <f>13267.69</f>
        <v>13267.69</v>
      </c>
      <c r="T207" s="65">
        <f>201</f>
        <v>201</v>
      </c>
      <c r="U207" s="65" t="str">
        <f>"－"</f>
        <v>－</v>
      </c>
      <c r="V207" s="65">
        <f>2652790</f>
        <v>2652790</v>
      </c>
      <c r="W207" s="65" t="str">
        <f>"－"</f>
        <v>－</v>
      </c>
      <c r="X207" s="69">
        <f>13</f>
        <v>13</v>
      </c>
    </row>
    <row r="208" spans="1:24">
      <c r="A208" s="60" t="s">
        <v>906</v>
      </c>
      <c r="B208" s="60" t="s">
        <v>672</v>
      </c>
      <c r="C208" s="60" t="s">
        <v>673</v>
      </c>
      <c r="D208" s="60" t="s">
        <v>674</v>
      </c>
      <c r="E208" s="61" t="s">
        <v>46</v>
      </c>
      <c r="F208" s="62" t="s">
        <v>46</v>
      </c>
      <c r="G208" s="63" t="s">
        <v>46</v>
      </c>
      <c r="H208" s="64"/>
      <c r="I208" s="64" t="s">
        <v>629</v>
      </c>
      <c r="J208" s="65">
        <v>1</v>
      </c>
      <c r="K208" s="66">
        <f>12750</f>
        <v>12750</v>
      </c>
      <c r="L208" s="67" t="s">
        <v>77</v>
      </c>
      <c r="M208" s="66">
        <f>14490</f>
        <v>14490</v>
      </c>
      <c r="N208" s="67" t="s">
        <v>872</v>
      </c>
      <c r="O208" s="66">
        <f>12280</f>
        <v>12280</v>
      </c>
      <c r="P208" s="67" t="s">
        <v>92</v>
      </c>
      <c r="Q208" s="66">
        <f>14400</f>
        <v>14400</v>
      </c>
      <c r="R208" s="67" t="s">
        <v>872</v>
      </c>
      <c r="S208" s="68">
        <f>13382.78</f>
        <v>13382.78</v>
      </c>
      <c r="T208" s="65">
        <f>39576</f>
        <v>39576</v>
      </c>
      <c r="U208" s="65">
        <f>8</f>
        <v>8</v>
      </c>
      <c r="V208" s="65">
        <f>535909100</f>
        <v>535909100</v>
      </c>
      <c r="W208" s="65">
        <f>111370</f>
        <v>111370</v>
      </c>
      <c r="X208" s="69">
        <f>18</f>
        <v>18</v>
      </c>
    </row>
    <row r="209" spans="1:24">
      <c r="A209" s="60" t="s">
        <v>906</v>
      </c>
      <c r="B209" s="60" t="s">
        <v>675</v>
      </c>
      <c r="C209" s="60" t="s">
        <v>676</v>
      </c>
      <c r="D209" s="60" t="s">
        <v>677</v>
      </c>
      <c r="E209" s="61" t="s">
        <v>46</v>
      </c>
      <c r="F209" s="62" t="s">
        <v>46</v>
      </c>
      <c r="G209" s="63" t="s">
        <v>46</v>
      </c>
      <c r="H209" s="64"/>
      <c r="I209" s="64" t="s">
        <v>629</v>
      </c>
      <c r="J209" s="65">
        <v>1</v>
      </c>
      <c r="K209" s="66">
        <f>4735</f>
        <v>4735</v>
      </c>
      <c r="L209" s="67" t="s">
        <v>77</v>
      </c>
      <c r="M209" s="66">
        <f>4900</f>
        <v>4900</v>
      </c>
      <c r="N209" s="67" t="s">
        <v>92</v>
      </c>
      <c r="O209" s="66">
        <f>4440</f>
        <v>4440</v>
      </c>
      <c r="P209" s="67" t="s">
        <v>176</v>
      </c>
      <c r="Q209" s="66">
        <f>4525</f>
        <v>4525</v>
      </c>
      <c r="R209" s="67" t="s">
        <v>872</v>
      </c>
      <c r="S209" s="68">
        <f>4586.39</f>
        <v>4586.3900000000003</v>
      </c>
      <c r="T209" s="65">
        <f>8799</f>
        <v>8799</v>
      </c>
      <c r="U209" s="65" t="str">
        <f t="shared" ref="U209:U219" si="9">"－"</f>
        <v>－</v>
      </c>
      <c r="V209" s="65">
        <f>40652330</f>
        <v>40652330</v>
      </c>
      <c r="W209" s="65" t="str">
        <f t="shared" ref="W209:W219" si="10">"－"</f>
        <v>－</v>
      </c>
      <c r="X209" s="69">
        <f>18</f>
        <v>18</v>
      </c>
    </row>
    <row r="210" spans="1:24">
      <c r="A210" s="60" t="s">
        <v>906</v>
      </c>
      <c r="B210" s="60" t="s">
        <v>678</v>
      </c>
      <c r="C210" s="60" t="s">
        <v>679</v>
      </c>
      <c r="D210" s="60" t="s">
        <v>680</v>
      </c>
      <c r="E210" s="61" t="s">
        <v>46</v>
      </c>
      <c r="F210" s="62" t="s">
        <v>46</v>
      </c>
      <c r="G210" s="63" t="s">
        <v>46</v>
      </c>
      <c r="H210" s="64"/>
      <c r="I210" s="64" t="s">
        <v>629</v>
      </c>
      <c r="J210" s="65">
        <v>1</v>
      </c>
      <c r="K210" s="66">
        <f>10870</f>
        <v>10870</v>
      </c>
      <c r="L210" s="67" t="s">
        <v>77</v>
      </c>
      <c r="M210" s="66">
        <f>11160</f>
        <v>11160</v>
      </c>
      <c r="N210" s="67" t="s">
        <v>88</v>
      </c>
      <c r="O210" s="66">
        <f>10860</f>
        <v>10860</v>
      </c>
      <c r="P210" s="67" t="s">
        <v>49</v>
      </c>
      <c r="Q210" s="66">
        <f>11160</f>
        <v>11160</v>
      </c>
      <c r="R210" s="67" t="s">
        <v>88</v>
      </c>
      <c r="S210" s="68">
        <f>11031.25</f>
        <v>11031.25</v>
      </c>
      <c r="T210" s="65">
        <f>1251</f>
        <v>1251</v>
      </c>
      <c r="U210" s="65" t="str">
        <f t="shared" si="9"/>
        <v>－</v>
      </c>
      <c r="V210" s="65">
        <f>13776840</f>
        <v>13776840</v>
      </c>
      <c r="W210" s="65" t="str">
        <f t="shared" si="10"/>
        <v>－</v>
      </c>
      <c r="X210" s="69">
        <f>8</f>
        <v>8</v>
      </c>
    </row>
    <row r="211" spans="1:24">
      <c r="A211" s="60" t="s">
        <v>906</v>
      </c>
      <c r="B211" s="60" t="s">
        <v>681</v>
      </c>
      <c r="C211" s="60" t="s">
        <v>682</v>
      </c>
      <c r="D211" s="60" t="s">
        <v>683</v>
      </c>
      <c r="E211" s="61" t="s">
        <v>46</v>
      </c>
      <c r="F211" s="62" t="s">
        <v>46</v>
      </c>
      <c r="G211" s="63" t="s">
        <v>46</v>
      </c>
      <c r="H211" s="64"/>
      <c r="I211" s="64" t="s">
        <v>629</v>
      </c>
      <c r="J211" s="65">
        <v>1</v>
      </c>
      <c r="K211" s="66">
        <f>12500</f>
        <v>12500</v>
      </c>
      <c r="L211" s="67" t="s">
        <v>77</v>
      </c>
      <c r="M211" s="66">
        <f>12650</f>
        <v>12650</v>
      </c>
      <c r="N211" s="67" t="s">
        <v>860</v>
      </c>
      <c r="O211" s="66">
        <f>12160</f>
        <v>12160</v>
      </c>
      <c r="P211" s="67" t="s">
        <v>371</v>
      </c>
      <c r="Q211" s="66">
        <f>12320</f>
        <v>12320</v>
      </c>
      <c r="R211" s="67" t="s">
        <v>88</v>
      </c>
      <c r="S211" s="68">
        <f>12361.43</f>
        <v>12361.43</v>
      </c>
      <c r="T211" s="65">
        <f>170</f>
        <v>170</v>
      </c>
      <c r="U211" s="65" t="str">
        <f t="shared" si="9"/>
        <v>－</v>
      </c>
      <c r="V211" s="65">
        <f>2083540</f>
        <v>2083540</v>
      </c>
      <c r="W211" s="65" t="str">
        <f t="shared" si="10"/>
        <v>－</v>
      </c>
      <c r="X211" s="69">
        <f>7</f>
        <v>7</v>
      </c>
    </row>
    <row r="212" spans="1:24">
      <c r="A212" s="60" t="s">
        <v>906</v>
      </c>
      <c r="B212" s="60" t="s">
        <v>684</v>
      </c>
      <c r="C212" s="60" t="s">
        <v>685</v>
      </c>
      <c r="D212" s="60" t="s">
        <v>686</v>
      </c>
      <c r="E212" s="61" t="s">
        <v>46</v>
      </c>
      <c r="F212" s="62" t="s">
        <v>46</v>
      </c>
      <c r="G212" s="63" t="s">
        <v>46</v>
      </c>
      <c r="H212" s="64"/>
      <c r="I212" s="64" t="s">
        <v>629</v>
      </c>
      <c r="J212" s="65">
        <v>1</v>
      </c>
      <c r="K212" s="66">
        <f>12810</f>
        <v>12810</v>
      </c>
      <c r="L212" s="67" t="s">
        <v>131</v>
      </c>
      <c r="M212" s="66">
        <f>12810</f>
        <v>12810</v>
      </c>
      <c r="N212" s="67" t="s">
        <v>131</v>
      </c>
      <c r="O212" s="66">
        <f>12810</f>
        <v>12810</v>
      </c>
      <c r="P212" s="67" t="s">
        <v>131</v>
      </c>
      <c r="Q212" s="66">
        <f>12810</f>
        <v>12810</v>
      </c>
      <c r="R212" s="67" t="s">
        <v>131</v>
      </c>
      <c r="S212" s="68">
        <f>12810</f>
        <v>12810</v>
      </c>
      <c r="T212" s="65">
        <f>7</f>
        <v>7</v>
      </c>
      <c r="U212" s="65" t="str">
        <f t="shared" si="9"/>
        <v>－</v>
      </c>
      <c r="V212" s="65">
        <f>89670</f>
        <v>89670</v>
      </c>
      <c r="W212" s="65" t="str">
        <f t="shared" si="10"/>
        <v>－</v>
      </c>
      <c r="X212" s="69">
        <f>1</f>
        <v>1</v>
      </c>
    </row>
    <row r="213" spans="1:24">
      <c r="A213" s="60" t="s">
        <v>906</v>
      </c>
      <c r="B213" s="60" t="s">
        <v>687</v>
      </c>
      <c r="C213" s="60" t="s">
        <v>688</v>
      </c>
      <c r="D213" s="60" t="s">
        <v>689</v>
      </c>
      <c r="E213" s="61" t="s">
        <v>46</v>
      </c>
      <c r="F213" s="62" t="s">
        <v>46</v>
      </c>
      <c r="G213" s="63" t="s">
        <v>46</v>
      </c>
      <c r="H213" s="64"/>
      <c r="I213" s="64" t="s">
        <v>629</v>
      </c>
      <c r="J213" s="65">
        <v>1</v>
      </c>
      <c r="K213" s="66">
        <f>13690</f>
        <v>13690</v>
      </c>
      <c r="L213" s="67" t="s">
        <v>77</v>
      </c>
      <c r="M213" s="66">
        <f>13710</f>
        <v>13710</v>
      </c>
      <c r="N213" s="67" t="s">
        <v>77</v>
      </c>
      <c r="O213" s="66">
        <f>13380</f>
        <v>13380</v>
      </c>
      <c r="P213" s="67" t="s">
        <v>131</v>
      </c>
      <c r="Q213" s="66">
        <f>13650</f>
        <v>13650</v>
      </c>
      <c r="R213" s="67" t="s">
        <v>872</v>
      </c>
      <c r="S213" s="68">
        <f>13520</f>
        <v>13520</v>
      </c>
      <c r="T213" s="65">
        <f>850</f>
        <v>850</v>
      </c>
      <c r="U213" s="65" t="str">
        <f t="shared" si="9"/>
        <v>－</v>
      </c>
      <c r="V213" s="65">
        <f>11607340</f>
        <v>11607340</v>
      </c>
      <c r="W213" s="65" t="str">
        <f t="shared" si="10"/>
        <v>－</v>
      </c>
      <c r="X213" s="69">
        <f>9</f>
        <v>9</v>
      </c>
    </row>
    <row r="214" spans="1:24">
      <c r="A214" s="60" t="s">
        <v>906</v>
      </c>
      <c r="B214" s="60" t="s">
        <v>690</v>
      </c>
      <c r="C214" s="60" t="s">
        <v>691</v>
      </c>
      <c r="D214" s="60" t="s">
        <v>692</v>
      </c>
      <c r="E214" s="61" t="s">
        <v>46</v>
      </c>
      <c r="F214" s="62" t="s">
        <v>46</v>
      </c>
      <c r="G214" s="63" t="s">
        <v>46</v>
      </c>
      <c r="H214" s="64"/>
      <c r="I214" s="64" t="s">
        <v>629</v>
      </c>
      <c r="J214" s="65">
        <v>1</v>
      </c>
      <c r="K214" s="66">
        <f>12630</f>
        <v>12630</v>
      </c>
      <c r="L214" s="67" t="s">
        <v>77</v>
      </c>
      <c r="M214" s="66">
        <f>12940</f>
        <v>12940</v>
      </c>
      <c r="N214" s="67" t="s">
        <v>860</v>
      </c>
      <c r="O214" s="66">
        <f>12180</f>
        <v>12180</v>
      </c>
      <c r="P214" s="67" t="s">
        <v>92</v>
      </c>
      <c r="Q214" s="66">
        <f>12700</f>
        <v>12700</v>
      </c>
      <c r="R214" s="67" t="s">
        <v>872</v>
      </c>
      <c r="S214" s="68">
        <f>12576.47</f>
        <v>12576.47</v>
      </c>
      <c r="T214" s="65">
        <f>5328</f>
        <v>5328</v>
      </c>
      <c r="U214" s="65" t="str">
        <f t="shared" si="9"/>
        <v>－</v>
      </c>
      <c r="V214" s="65">
        <f>66782400</f>
        <v>66782400</v>
      </c>
      <c r="W214" s="65" t="str">
        <f t="shared" si="10"/>
        <v>－</v>
      </c>
      <c r="X214" s="69">
        <f>17</f>
        <v>17</v>
      </c>
    </row>
    <row r="215" spans="1:24">
      <c r="A215" s="60" t="s">
        <v>906</v>
      </c>
      <c r="B215" s="60" t="s">
        <v>693</v>
      </c>
      <c r="C215" s="60" t="s">
        <v>694</v>
      </c>
      <c r="D215" s="60" t="s">
        <v>695</v>
      </c>
      <c r="E215" s="61" t="s">
        <v>46</v>
      </c>
      <c r="F215" s="62" t="s">
        <v>46</v>
      </c>
      <c r="G215" s="63" t="s">
        <v>46</v>
      </c>
      <c r="H215" s="64"/>
      <c r="I215" s="64" t="s">
        <v>629</v>
      </c>
      <c r="J215" s="65">
        <v>1</v>
      </c>
      <c r="K215" s="66">
        <f>13610</f>
        <v>13610</v>
      </c>
      <c r="L215" s="67" t="s">
        <v>860</v>
      </c>
      <c r="M215" s="66">
        <f>13610</f>
        <v>13610</v>
      </c>
      <c r="N215" s="67" t="s">
        <v>860</v>
      </c>
      <c r="O215" s="66">
        <f>12490</f>
        <v>12490</v>
      </c>
      <c r="P215" s="67" t="s">
        <v>92</v>
      </c>
      <c r="Q215" s="66">
        <f>12980</f>
        <v>12980</v>
      </c>
      <c r="R215" s="67" t="s">
        <v>856</v>
      </c>
      <c r="S215" s="68">
        <f>13010</f>
        <v>13010</v>
      </c>
      <c r="T215" s="65">
        <f>317</f>
        <v>317</v>
      </c>
      <c r="U215" s="65" t="str">
        <f t="shared" si="9"/>
        <v>－</v>
      </c>
      <c r="V215" s="65">
        <f>3970080</f>
        <v>3970080</v>
      </c>
      <c r="W215" s="65" t="str">
        <f t="shared" si="10"/>
        <v>－</v>
      </c>
      <c r="X215" s="69">
        <f>4</f>
        <v>4</v>
      </c>
    </row>
    <row r="216" spans="1:24">
      <c r="A216" s="60" t="s">
        <v>906</v>
      </c>
      <c r="B216" s="60" t="s">
        <v>696</v>
      </c>
      <c r="C216" s="60" t="s">
        <v>697</v>
      </c>
      <c r="D216" s="60" t="s">
        <v>698</v>
      </c>
      <c r="E216" s="61" t="s">
        <v>46</v>
      </c>
      <c r="F216" s="62" t="s">
        <v>46</v>
      </c>
      <c r="G216" s="63" t="s">
        <v>46</v>
      </c>
      <c r="H216" s="64"/>
      <c r="I216" s="64" t="s">
        <v>629</v>
      </c>
      <c r="J216" s="65">
        <v>1</v>
      </c>
      <c r="K216" s="66">
        <f>12440</f>
        <v>12440</v>
      </c>
      <c r="L216" s="67" t="s">
        <v>872</v>
      </c>
      <c r="M216" s="66">
        <f>12440</f>
        <v>12440</v>
      </c>
      <c r="N216" s="67" t="s">
        <v>872</v>
      </c>
      <c r="O216" s="66">
        <f>12440</f>
        <v>12440</v>
      </c>
      <c r="P216" s="67" t="s">
        <v>872</v>
      </c>
      <c r="Q216" s="66">
        <f>12440</f>
        <v>12440</v>
      </c>
      <c r="R216" s="67" t="s">
        <v>872</v>
      </c>
      <c r="S216" s="68">
        <f>12440</f>
        <v>12440</v>
      </c>
      <c r="T216" s="65">
        <f>1</f>
        <v>1</v>
      </c>
      <c r="U216" s="65" t="str">
        <f t="shared" si="9"/>
        <v>－</v>
      </c>
      <c r="V216" s="65">
        <f>12440</f>
        <v>12440</v>
      </c>
      <c r="W216" s="65" t="str">
        <f t="shared" si="10"/>
        <v>－</v>
      </c>
      <c r="X216" s="69">
        <f>1</f>
        <v>1</v>
      </c>
    </row>
    <row r="217" spans="1:24">
      <c r="A217" s="60" t="s">
        <v>906</v>
      </c>
      <c r="B217" s="60" t="s">
        <v>699</v>
      </c>
      <c r="C217" s="60" t="s">
        <v>700</v>
      </c>
      <c r="D217" s="60" t="s">
        <v>701</v>
      </c>
      <c r="E217" s="61" t="s">
        <v>46</v>
      </c>
      <c r="F217" s="62" t="s">
        <v>46</v>
      </c>
      <c r="G217" s="63" t="s">
        <v>46</v>
      </c>
      <c r="H217" s="64"/>
      <c r="I217" s="64" t="s">
        <v>629</v>
      </c>
      <c r="J217" s="65">
        <v>1</v>
      </c>
      <c r="K217" s="66">
        <f>10140</f>
        <v>10140</v>
      </c>
      <c r="L217" s="67" t="s">
        <v>77</v>
      </c>
      <c r="M217" s="66">
        <f>10260</f>
        <v>10260</v>
      </c>
      <c r="N217" s="67" t="s">
        <v>860</v>
      </c>
      <c r="O217" s="66">
        <f>9760</f>
        <v>9760</v>
      </c>
      <c r="P217" s="67" t="s">
        <v>92</v>
      </c>
      <c r="Q217" s="66">
        <f>10030</f>
        <v>10030</v>
      </c>
      <c r="R217" s="67" t="s">
        <v>872</v>
      </c>
      <c r="S217" s="68">
        <f>9998.75</f>
        <v>9998.75</v>
      </c>
      <c r="T217" s="65">
        <f>11651</f>
        <v>11651</v>
      </c>
      <c r="U217" s="65" t="str">
        <f t="shared" si="9"/>
        <v>－</v>
      </c>
      <c r="V217" s="65">
        <f>116617620</f>
        <v>116617620</v>
      </c>
      <c r="W217" s="65" t="str">
        <f t="shared" si="10"/>
        <v>－</v>
      </c>
      <c r="X217" s="69">
        <f>16</f>
        <v>16</v>
      </c>
    </row>
    <row r="218" spans="1:24">
      <c r="A218" s="60" t="s">
        <v>906</v>
      </c>
      <c r="B218" s="60" t="s">
        <v>702</v>
      </c>
      <c r="C218" s="60" t="s">
        <v>703</v>
      </c>
      <c r="D218" s="60" t="s">
        <v>704</v>
      </c>
      <c r="E218" s="61" t="s">
        <v>46</v>
      </c>
      <c r="F218" s="62" t="s">
        <v>46</v>
      </c>
      <c r="G218" s="63" t="s">
        <v>46</v>
      </c>
      <c r="H218" s="64"/>
      <c r="I218" s="64" t="s">
        <v>629</v>
      </c>
      <c r="J218" s="65">
        <v>1</v>
      </c>
      <c r="K218" s="66">
        <f>10710</f>
        <v>10710</v>
      </c>
      <c r="L218" s="67" t="s">
        <v>77</v>
      </c>
      <c r="M218" s="66">
        <f>10800</f>
        <v>10800</v>
      </c>
      <c r="N218" s="67" t="s">
        <v>172</v>
      </c>
      <c r="O218" s="66">
        <f>10050</f>
        <v>10050</v>
      </c>
      <c r="P218" s="67" t="s">
        <v>92</v>
      </c>
      <c r="Q218" s="66">
        <f>10470</f>
        <v>10470</v>
      </c>
      <c r="R218" s="67" t="s">
        <v>872</v>
      </c>
      <c r="S218" s="68">
        <f>10447.22</f>
        <v>10447.219999999999</v>
      </c>
      <c r="T218" s="65">
        <f>43892</f>
        <v>43892</v>
      </c>
      <c r="U218" s="65" t="str">
        <f t="shared" si="9"/>
        <v>－</v>
      </c>
      <c r="V218" s="65">
        <f>460143050</f>
        <v>460143050</v>
      </c>
      <c r="W218" s="65" t="str">
        <f t="shared" si="10"/>
        <v>－</v>
      </c>
      <c r="X218" s="69">
        <f>18</f>
        <v>18</v>
      </c>
    </row>
    <row r="219" spans="1:24">
      <c r="A219" s="60" t="s">
        <v>906</v>
      </c>
      <c r="B219" s="60" t="s">
        <v>705</v>
      </c>
      <c r="C219" s="60" t="s">
        <v>706</v>
      </c>
      <c r="D219" s="60" t="s">
        <v>707</v>
      </c>
      <c r="E219" s="61" t="s">
        <v>46</v>
      </c>
      <c r="F219" s="62" t="s">
        <v>46</v>
      </c>
      <c r="G219" s="63" t="s">
        <v>46</v>
      </c>
      <c r="H219" s="64"/>
      <c r="I219" s="64" t="s">
        <v>629</v>
      </c>
      <c r="J219" s="65">
        <v>1</v>
      </c>
      <c r="K219" s="66">
        <f>10690</f>
        <v>10690</v>
      </c>
      <c r="L219" s="67" t="s">
        <v>77</v>
      </c>
      <c r="M219" s="66">
        <f>10740</f>
        <v>10740</v>
      </c>
      <c r="N219" s="67" t="s">
        <v>88</v>
      </c>
      <c r="O219" s="66">
        <f>10370</f>
        <v>10370</v>
      </c>
      <c r="P219" s="67" t="s">
        <v>131</v>
      </c>
      <c r="Q219" s="66">
        <f>10600</f>
        <v>10600</v>
      </c>
      <c r="R219" s="67" t="s">
        <v>872</v>
      </c>
      <c r="S219" s="68">
        <f>10555</f>
        <v>10555</v>
      </c>
      <c r="T219" s="65">
        <f>19695</f>
        <v>19695</v>
      </c>
      <c r="U219" s="65" t="str">
        <f t="shared" si="9"/>
        <v>－</v>
      </c>
      <c r="V219" s="65">
        <f>208274150</f>
        <v>208274150</v>
      </c>
      <c r="W219" s="65" t="str">
        <f t="shared" si="10"/>
        <v>－</v>
      </c>
      <c r="X219" s="69">
        <f>14</f>
        <v>14</v>
      </c>
    </row>
    <row r="220" spans="1:24">
      <c r="A220" s="60" t="s">
        <v>906</v>
      </c>
      <c r="B220" s="60" t="s">
        <v>708</v>
      </c>
      <c r="C220" s="60" t="s">
        <v>709</v>
      </c>
      <c r="D220" s="60" t="s">
        <v>710</v>
      </c>
      <c r="E220" s="61" t="s">
        <v>46</v>
      </c>
      <c r="F220" s="62" t="s">
        <v>46</v>
      </c>
      <c r="G220" s="63" t="s">
        <v>46</v>
      </c>
      <c r="H220" s="64"/>
      <c r="I220" s="64" t="s">
        <v>47</v>
      </c>
      <c r="J220" s="65">
        <v>10</v>
      </c>
      <c r="K220" s="66">
        <f>995</f>
        <v>995</v>
      </c>
      <c r="L220" s="67" t="s">
        <v>77</v>
      </c>
      <c r="M220" s="66">
        <f>996</f>
        <v>996</v>
      </c>
      <c r="N220" s="67" t="s">
        <v>875</v>
      </c>
      <c r="O220" s="66">
        <f>993</f>
        <v>993</v>
      </c>
      <c r="P220" s="67" t="s">
        <v>77</v>
      </c>
      <c r="Q220" s="66">
        <f>995</f>
        <v>995</v>
      </c>
      <c r="R220" s="67" t="s">
        <v>872</v>
      </c>
      <c r="S220" s="68">
        <f>994.78</f>
        <v>994.78</v>
      </c>
      <c r="T220" s="65">
        <f>2643650</f>
        <v>2643650</v>
      </c>
      <c r="U220" s="65">
        <f>2274770</f>
        <v>2274770</v>
      </c>
      <c r="V220" s="65">
        <f>2631897606</f>
        <v>2631897606</v>
      </c>
      <c r="W220" s="65">
        <f>2264874596</f>
        <v>2264874596</v>
      </c>
      <c r="X220" s="69">
        <f>18</f>
        <v>18</v>
      </c>
    </row>
    <row r="221" spans="1:24">
      <c r="A221" s="60" t="s">
        <v>906</v>
      </c>
      <c r="B221" s="60" t="s">
        <v>711</v>
      </c>
      <c r="C221" s="60" t="s">
        <v>712</v>
      </c>
      <c r="D221" s="60" t="s">
        <v>713</v>
      </c>
      <c r="E221" s="61" t="s">
        <v>46</v>
      </c>
      <c r="F221" s="62" t="s">
        <v>46</v>
      </c>
      <c r="G221" s="63" t="s">
        <v>46</v>
      </c>
      <c r="H221" s="64"/>
      <c r="I221" s="64" t="s">
        <v>47</v>
      </c>
      <c r="J221" s="65">
        <v>10</v>
      </c>
      <c r="K221" s="66">
        <f>1011</f>
        <v>1011</v>
      </c>
      <c r="L221" s="67" t="s">
        <v>77</v>
      </c>
      <c r="M221" s="66">
        <f>1027</f>
        <v>1027</v>
      </c>
      <c r="N221" s="67" t="s">
        <v>872</v>
      </c>
      <c r="O221" s="66">
        <f>1006</f>
        <v>1006</v>
      </c>
      <c r="P221" s="67" t="s">
        <v>131</v>
      </c>
      <c r="Q221" s="66">
        <f>1019</f>
        <v>1019</v>
      </c>
      <c r="R221" s="67" t="s">
        <v>872</v>
      </c>
      <c r="S221" s="68">
        <f>1011</f>
        <v>1011</v>
      </c>
      <c r="T221" s="65">
        <f>1196720</f>
        <v>1196720</v>
      </c>
      <c r="U221" s="65">
        <f>98940</f>
        <v>98940</v>
      </c>
      <c r="V221" s="65">
        <f>1209698738</f>
        <v>1209698738</v>
      </c>
      <c r="W221" s="65">
        <f>100146698</f>
        <v>100146698</v>
      </c>
      <c r="X221" s="69">
        <f>18</f>
        <v>18</v>
      </c>
    </row>
    <row r="222" spans="1:24">
      <c r="A222" s="60" t="s">
        <v>906</v>
      </c>
      <c r="B222" s="60" t="s">
        <v>714</v>
      </c>
      <c r="C222" s="60" t="s">
        <v>715</v>
      </c>
      <c r="D222" s="60" t="s">
        <v>716</v>
      </c>
      <c r="E222" s="61" t="s">
        <v>46</v>
      </c>
      <c r="F222" s="62" t="s">
        <v>46</v>
      </c>
      <c r="G222" s="63" t="s">
        <v>46</v>
      </c>
      <c r="H222" s="64"/>
      <c r="I222" s="64" t="s">
        <v>47</v>
      </c>
      <c r="J222" s="65">
        <v>10</v>
      </c>
      <c r="K222" s="66">
        <f>1018</f>
        <v>1018</v>
      </c>
      <c r="L222" s="67" t="s">
        <v>77</v>
      </c>
      <c r="M222" s="66">
        <f>1018</f>
        <v>1018</v>
      </c>
      <c r="N222" s="67" t="s">
        <v>77</v>
      </c>
      <c r="O222" s="66">
        <f>1004</f>
        <v>1004</v>
      </c>
      <c r="P222" s="67" t="s">
        <v>371</v>
      </c>
      <c r="Q222" s="66">
        <f>1014</f>
        <v>1014</v>
      </c>
      <c r="R222" s="67" t="s">
        <v>872</v>
      </c>
      <c r="S222" s="68">
        <f>1011</f>
        <v>1011</v>
      </c>
      <c r="T222" s="65">
        <f>4871990</f>
        <v>4871990</v>
      </c>
      <c r="U222" s="65">
        <f>4682310</f>
        <v>4682310</v>
      </c>
      <c r="V222" s="65">
        <f>4921581835</f>
        <v>4921581835</v>
      </c>
      <c r="W222" s="65">
        <f>4730521175</f>
        <v>4730521175</v>
      </c>
      <c r="X222" s="69">
        <f>18</f>
        <v>18</v>
      </c>
    </row>
    <row r="223" spans="1:24">
      <c r="A223" s="60" t="s">
        <v>906</v>
      </c>
      <c r="B223" s="60" t="s">
        <v>717</v>
      </c>
      <c r="C223" s="60" t="s">
        <v>718</v>
      </c>
      <c r="D223" s="60" t="s">
        <v>719</v>
      </c>
      <c r="E223" s="61" t="s">
        <v>46</v>
      </c>
      <c r="F223" s="62" t="s">
        <v>46</v>
      </c>
      <c r="G223" s="63" t="s">
        <v>46</v>
      </c>
      <c r="H223" s="64"/>
      <c r="I223" s="64" t="s">
        <v>47</v>
      </c>
      <c r="J223" s="65">
        <v>10</v>
      </c>
      <c r="K223" s="66">
        <f>1444</f>
        <v>1444</v>
      </c>
      <c r="L223" s="67" t="s">
        <v>77</v>
      </c>
      <c r="M223" s="66">
        <f>1482</f>
        <v>1482</v>
      </c>
      <c r="N223" s="67" t="s">
        <v>88</v>
      </c>
      <c r="O223" s="66">
        <f>1418</f>
        <v>1418</v>
      </c>
      <c r="P223" s="67" t="s">
        <v>92</v>
      </c>
      <c r="Q223" s="66">
        <f>1473</f>
        <v>1473</v>
      </c>
      <c r="R223" s="67" t="s">
        <v>872</v>
      </c>
      <c r="S223" s="68">
        <f>1448.78</f>
        <v>1448.78</v>
      </c>
      <c r="T223" s="65">
        <f>2029120</f>
        <v>2029120</v>
      </c>
      <c r="U223" s="65">
        <f>1703280</f>
        <v>1703280</v>
      </c>
      <c r="V223" s="65">
        <f>2956402589</f>
        <v>2956402589</v>
      </c>
      <c r="W223" s="65">
        <f>2480949209</f>
        <v>2480949209</v>
      </c>
      <c r="X223" s="69">
        <f>18</f>
        <v>18</v>
      </c>
    </row>
    <row r="224" spans="1:24">
      <c r="A224" s="60" t="s">
        <v>906</v>
      </c>
      <c r="B224" s="60" t="s">
        <v>720</v>
      </c>
      <c r="C224" s="60" t="s">
        <v>721</v>
      </c>
      <c r="D224" s="60" t="s">
        <v>722</v>
      </c>
      <c r="E224" s="61" t="s">
        <v>46</v>
      </c>
      <c r="F224" s="62" t="s">
        <v>46</v>
      </c>
      <c r="G224" s="63" t="s">
        <v>46</v>
      </c>
      <c r="H224" s="64"/>
      <c r="I224" s="64" t="s">
        <v>47</v>
      </c>
      <c r="J224" s="65">
        <v>10</v>
      </c>
      <c r="K224" s="66">
        <f>1434</f>
        <v>1434</v>
      </c>
      <c r="L224" s="67" t="s">
        <v>77</v>
      </c>
      <c r="M224" s="66">
        <f>1455</f>
        <v>1455</v>
      </c>
      <c r="N224" s="67" t="s">
        <v>860</v>
      </c>
      <c r="O224" s="66">
        <f>1395</f>
        <v>1395</v>
      </c>
      <c r="P224" s="67" t="s">
        <v>92</v>
      </c>
      <c r="Q224" s="66">
        <f>1447</f>
        <v>1447</v>
      </c>
      <c r="R224" s="67" t="s">
        <v>872</v>
      </c>
      <c r="S224" s="68">
        <f>1432</f>
        <v>1432</v>
      </c>
      <c r="T224" s="65">
        <f>946520</f>
        <v>946520</v>
      </c>
      <c r="U224" s="65">
        <f>800020</f>
        <v>800020</v>
      </c>
      <c r="V224" s="65">
        <f>1367601950</f>
        <v>1367601950</v>
      </c>
      <c r="W224" s="65">
        <f>1155708950</f>
        <v>1155708950</v>
      </c>
      <c r="X224" s="69">
        <f>18</f>
        <v>18</v>
      </c>
    </row>
    <row r="225" spans="1:24">
      <c r="A225" s="60" t="s">
        <v>906</v>
      </c>
      <c r="B225" s="60" t="s">
        <v>723</v>
      </c>
      <c r="C225" s="60" t="s">
        <v>724</v>
      </c>
      <c r="D225" s="60" t="s">
        <v>725</v>
      </c>
      <c r="E225" s="61" t="s">
        <v>46</v>
      </c>
      <c r="F225" s="62" t="s">
        <v>46</v>
      </c>
      <c r="G225" s="63" t="s">
        <v>46</v>
      </c>
      <c r="H225" s="64"/>
      <c r="I225" s="64" t="s">
        <v>47</v>
      </c>
      <c r="J225" s="65">
        <v>10</v>
      </c>
      <c r="K225" s="66">
        <f>1069</f>
        <v>1069</v>
      </c>
      <c r="L225" s="67" t="s">
        <v>77</v>
      </c>
      <c r="M225" s="66">
        <f>1121</f>
        <v>1121</v>
      </c>
      <c r="N225" s="67" t="s">
        <v>872</v>
      </c>
      <c r="O225" s="66">
        <f>1054</f>
        <v>1054</v>
      </c>
      <c r="P225" s="67" t="s">
        <v>92</v>
      </c>
      <c r="Q225" s="66">
        <f>1104</f>
        <v>1104</v>
      </c>
      <c r="R225" s="67" t="s">
        <v>872</v>
      </c>
      <c r="S225" s="68">
        <f>1080.61</f>
        <v>1080.6099999999999</v>
      </c>
      <c r="T225" s="65">
        <f>843200</f>
        <v>843200</v>
      </c>
      <c r="U225" s="65">
        <f>397360</f>
        <v>397360</v>
      </c>
      <c r="V225" s="65">
        <f>911136849</f>
        <v>911136849</v>
      </c>
      <c r="W225" s="65">
        <f>428389959</f>
        <v>428389959</v>
      </c>
      <c r="X225" s="69">
        <f>18</f>
        <v>18</v>
      </c>
    </row>
    <row r="226" spans="1:24">
      <c r="A226" s="60" t="s">
        <v>906</v>
      </c>
      <c r="B226" s="60" t="s">
        <v>726</v>
      </c>
      <c r="C226" s="60" t="s">
        <v>727</v>
      </c>
      <c r="D226" s="60" t="s">
        <v>728</v>
      </c>
      <c r="E226" s="61" t="s">
        <v>46</v>
      </c>
      <c r="F226" s="62" t="s">
        <v>46</v>
      </c>
      <c r="G226" s="63" t="s">
        <v>46</v>
      </c>
      <c r="H226" s="64"/>
      <c r="I226" s="64" t="s">
        <v>47</v>
      </c>
      <c r="J226" s="65">
        <v>10</v>
      </c>
      <c r="K226" s="66">
        <f>915</f>
        <v>915</v>
      </c>
      <c r="L226" s="67" t="s">
        <v>77</v>
      </c>
      <c r="M226" s="66">
        <f>921</f>
        <v>921</v>
      </c>
      <c r="N226" s="67" t="s">
        <v>77</v>
      </c>
      <c r="O226" s="66">
        <f>801</f>
        <v>801</v>
      </c>
      <c r="P226" s="67" t="s">
        <v>855</v>
      </c>
      <c r="Q226" s="66">
        <f>875</f>
        <v>875</v>
      </c>
      <c r="R226" s="67" t="s">
        <v>872</v>
      </c>
      <c r="S226" s="68">
        <f>862.28</f>
        <v>862.28</v>
      </c>
      <c r="T226" s="65">
        <f>22603660</f>
        <v>22603660</v>
      </c>
      <c r="U226" s="65">
        <f>58710</f>
        <v>58710</v>
      </c>
      <c r="V226" s="65">
        <f>19404672155</f>
        <v>19404672155</v>
      </c>
      <c r="W226" s="65">
        <f>53143045</f>
        <v>53143045</v>
      </c>
      <c r="X226" s="69">
        <f>18</f>
        <v>18</v>
      </c>
    </row>
    <row r="227" spans="1:24">
      <c r="A227" s="60" t="s">
        <v>906</v>
      </c>
      <c r="B227" s="60" t="s">
        <v>729</v>
      </c>
      <c r="C227" s="60" t="s">
        <v>730</v>
      </c>
      <c r="D227" s="60" t="s">
        <v>731</v>
      </c>
      <c r="E227" s="61" t="s">
        <v>46</v>
      </c>
      <c r="F227" s="62" t="s">
        <v>46</v>
      </c>
      <c r="G227" s="63" t="s">
        <v>46</v>
      </c>
      <c r="H227" s="64"/>
      <c r="I227" s="64" t="s">
        <v>47</v>
      </c>
      <c r="J227" s="65">
        <v>10</v>
      </c>
      <c r="K227" s="66">
        <f>1236</f>
        <v>1236</v>
      </c>
      <c r="L227" s="67" t="s">
        <v>77</v>
      </c>
      <c r="M227" s="66">
        <f>1238</f>
        <v>1238</v>
      </c>
      <c r="N227" s="67" t="s">
        <v>77</v>
      </c>
      <c r="O227" s="66">
        <f>1181</f>
        <v>1181</v>
      </c>
      <c r="P227" s="67" t="s">
        <v>49</v>
      </c>
      <c r="Q227" s="66">
        <f>1220</f>
        <v>1220</v>
      </c>
      <c r="R227" s="67" t="s">
        <v>872</v>
      </c>
      <c r="S227" s="68">
        <f>1211.67</f>
        <v>1211.67</v>
      </c>
      <c r="T227" s="65">
        <f>2144570</f>
        <v>2144570</v>
      </c>
      <c r="U227" s="65">
        <f>184090</f>
        <v>184090</v>
      </c>
      <c r="V227" s="65">
        <f>2598328400</f>
        <v>2598328400</v>
      </c>
      <c r="W227" s="65">
        <f>219680230</f>
        <v>219680230</v>
      </c>
      <c r="X227" s="69">
        <f>18</f>
        <v>18</v>
      </c>
    </row>
    <row r="228" spans="1:24">
      <c r="A228" s="60" t="s">
        <v>906</v>
      </c>
      <c r="B228" s="60" t="s">
        <v>732</v>
      </c>
      <c r="C228" s="60" t="s">
        <v>733</v>
      </c>
      <c r="D228" s="60" t="s">
        <v>734</v>
      </c>
      <c r="E228" s="61" t="s">
        <v>46</v>
      </c>
      <c r="F228" s="62" t="s">
        <v>46</v>
      </c>
      <c r="G228" s="63" t="s">
        <v>46</v>
      </c>
      <c r="H228" s="64"/>
      <c r="I228" s="64" t="s">
        <v>47</v>
      </c>
      <c r="J228" s="65">
        <v>1</v>
      </c>
      <c r="K228" s="66">
        <f>1100</f>
        <v>1100</v>
      </c>
      <c r="L228" s="67" t="s">
        <v>77</v>
      </c>
      <c r="M228" s="66">
        <f>1117</f>
        <v>1117</v>
      </c>
      <c r="N228" s="67" t="s">
        <v>860</v>
      </c>
      <c r="O228" s="66">
        <f>1050</f>
        <v>1050</v>
      </c>
      <c r="P228" s="67" t="s">
        <v>92</v>
      </c>
      <c r="Q228" s="66">
        <f>1099</f>
        <v>1099</v>
      </c>
      <c r="R228" s="67" t="s">
        <v>872</v>
      </c>
      <c r="S228" s="68">
        <f>1087.72</f>
        <v>1087.72</v>
      </c>
      <c r="T228" s="65">
        <f>6342</f>
        <v>6342</v>
      </c>
      <c r="U228" s="65" t="str">
        <f>"－"</f>
        <v>－</v>
      </c>
      <c r="V228" s="65">
        <f>6878578</f>
        <v>6878578</v>
      </c>
      <c r="W228" s="65" t="str">
        <f>"－"</f>
        <v>－</v>
      </c>
      <c r="X228" s="69">
        <f>18</f>
        <v>18</v>
      </c>
    </row>
    <row r="229" spans="1:24">
      <c r="A229" s="60" t="s">
        <v>906</v>
      </c>
      <c r="B229" s="60" t="s">
        <v>735</v>
      </c>
      <c r="C229" s="60" t="s">
        <v>736</v>
      </c>
      <c r="D229" s="60" t="s">
        <v>737</v>
      </c>
      <c r="E229" s="61" t="s">
        <v>46</v>
      </c>
      <c r="F229" s="62" t="s">
        <v>46</v>
      </c>
      <c r="G229" s="63" t="s">
        <v>46</v>
      </c>
      <c r="H229" s="64"/>
      <c r="I229" s="64" t="s">
        <v>47</v>
      </c>
      <c r="J229" s="65">
        <v>10</v>
      </c>
      <c r="K229" s="66">
        <f>1014</f>
        <v>1014</v>
      </c>
      <c r="L229" s="67" t="s">
        <v>77</v>
      </c>
      <c r="M229" s="66">
        <f>1036</f>
        <v>1036</v>
      </c>
      <c r="N229" s="67" t="s">
        <v>872</v>
      </c>
      <c r="O229" s="66">
        <f>1010</f>
        <v>1010</v>
      </c>
      <c r="P229" s="67" t="s">
        <v>77</v>
      </c>
      <c r="Q229" s="66">
        <f>1034</f>
        <v>1034</v>
      </c>
      <c r="R229" s="67" t="s">
        <v>872</v>
      </c>
      <c r="S229" s="68">
        <f>1020.89</f>
        <v>1020.89</v>
      </c>
      <c r="T229" s="65">
        <f>154300</f>
        <v>154300</v>
      </c>
      <c r="U229" s="65">
        <f>116840</f>
        <v>116840</v>
      </c>
      <c r="V229" s="65">
        <f>157526588</f>
        <v>157526588</v>
      </c>
      <c r="W229" s="65">
        <f>119275058</f>
        <v>119275058</v>
      </c>
      <c r="X229" s="69">
        <f>18</f>
        <v>18</v>
      </c>
    </row>
    <row r="230" spans="1:24">
      <c r="A230" s="60" t="s">
        <v>906</v>
      </c>
      <c r="B230" s="60" t="s">
        <v>738</v>
      </c>
      <c r="C230" s="60" t="s">
        <v>739</v>
      </c>
      <c r="D230" s="60" t="s">
        <v>740</v>
      </c>
      <c r="E230" s="61" t="s">
        <v>46</v>
      </c>
      <c r="F230" s="62" t="s">
        <v>46</v>
      </c>
      <c r="G230" s="63" t="s">
        <v>46</v>
      </c>
      <c r="H230" s="64"/>
      <c r="I230" s="64" t="s">
        <v>47</v>
      </c>
      <c r="J230" s="65">
        <v>10</v>
      </c>
      <c r="K230" s="66">
        <f>1256</f>
        <v>1256</v>
      </c>
      <c r="L230" s="67" t="s">
        <v>77</v>
      </c>
      <c r="M230" s="66">
        <f>1295</f>
        <v>1295</v>
      </c>
      <c r="N230" s="67" t="s">
        <v>872</v>
      </c>
      <c r="O230" s="66">
        <f>1218</f>
        <v>1218</v>
      </c>
      <c r="P230" s="67" t="s">
        <v>92</v>
      </c>
      <c r="Q230" s="66">
        <f>1295</f>
        <v>1295</v>
      </c>
      <c r="R230" s="67" t="s">
        <v>872</v>
      </c>
      <c r="S230" s="68">
        <f>1253.39</f>
        <v>1253.3900000000001</v>
      </c>
      <c r="T230" s="65">
        <f>163280</f>
        <v>163280</v>
      </c>
      <c r="U230" s="65">
        <f>84850</f>
        <v>84850</v>
      </c>
      <c r="V230" s="65">
        <f>204263838</f>
        <v>204263838</v>
      </c>
      <c r="W230" s="65">
        <f>106190238</f>
        <v>106190238</v>
      </c>
      <c r="X230" s="69">
        <f>18</f>
        <v>18</v>
      </c>
    </row>
    <row r="231" spans="1:24">
      <c r="A231" s="60" t="s">
        <v>906</v>
      </c>
      <c r="B231" s="60" t="s">
        <v>741</v>
      </c>
      <c r="C231" s="60" t="s">
        <v>742</v>
      </c>
      <c r="D231" s="60" t="s">
        <v>743</v>
      </c>
      <c r="E231" s="61" t="s">
        <v>46</v>
      </c>
      <c r="F231" s="62" t="s">
        <v>46</v>
      </c>
      <c r="G231" s="63" t="s">
        <v>46</v>
      </c>
      <c r="H231" s="64"/>
      <c r="I231" s="64" t="s">
        <v>47</v>
      </c>
      <c r="J231" s="65">
        <v>10</v>
      </c>
      <c r="K231" s="66">
        <f>1453</f>
        <v>1453</v>
      </c>
      <c r="L231" s="67" t="s">
        <v>77</v>
      </c>
      <c r="M231" s="66">
        <f>1479</f>
        <v>1479</v>
      </c>
      <c r="N231" s="67" t="s">
        <v>860</v>
      </c>
      <c r="O231" s="66">
        <f>1415</f>
        <v>1415</v>
      </c>
      <c r="P231" s="67" t="s">
        <v>92</v>
      </c>
      <c r="Q231" s="66">
        <f>1466</f>
        <v>1466</v>
      </c>
      <c r="R231" s="67" t="s">
        <v>872</v>
      </c>
      <c r="S231" s="68">
        <f>1453.39</f>
        <v>1453.39</v>
      </c>
      <c r="T231" s="65">
        <f>11965820</f>
        <v>11965820</v>
      </c>
      <c r="U231" s="65">
        <f>3025220</f>
        <v>3025220</v>
      </c>
      <c r="V231" s="65">
        <f>17385230390</f>
        <v>17385230390</v>
      </c>
      <c r="W231" s="65">
        <f>4401155520</f>
        <v>4401155520</v>
      </c>
      <c r="X231" s="69">
        <f>18</f>
        <v>18</v>
      </c>
    </row>
    <row r="232" spans="1:24">
      <c r="A232" s="60" t="s">
        <v>906</v>
      </c>
      <c r="B232" s="60" t="s">
        <v>744</v>
      </c>
      <c r="C232" s="60" t="s">
        <v>745</v>
      </c>
      <c r="D232" s="60" t="s">
        <v>746</v>
      </c>
      <c r="E232" s="61" t="s">
        <v>46</v>
      </c>
      <c r="F232" s="62" t="s">
        <v>46</v>
      </c>
      <c r="G232" s="63" t="s">
        <v>46</v>
      </c>
      <c r="H232" s="64"/>
      <c r="I232" s="64" t="s">
        <v>47</v>
      </c>
      <c r="J232" s="65">
        <v>1</v>
      </c>
      <c r="K232" s="66">
        <f>3550</f>
        <v>3550</v>
      </c>
      <c r="L232" s="67" t="s">
        <v>77</v>
      </c>
      <c r="M232" s="66">
        <f>3670</f>
        <v>3670</v>
      </c>
      <c r="N232" s="67" t="s">
        <v>872</v>
      </c>
      <c r="O232" s="66">
        <f>3370</f>
        <v>3370</v>
      </c>
      <c r="P232" s="67" t="s">
        <v>49</v>
      </c>
      <c r="Q232" s="66">
        <f>3650</f>
        <v>3650</v>
      </c>
      <c r="R232" s="67" t="s">
        <v>872</v>
      </c>
      <c r="S232" s="68">
        <f>3514.44</f>
        <v>3514.44</v>
      </c>
      <c r="T232" s="65">
        <f>94719</f>
        <v>94719</v>
      </c>
      <c r="U232" s="65">
        <f>20</f>
        <v>20</v>
      </c>
      <c r="V232" s="65">
        <f>331174855</f>
        <v>331174855</v>
      </c>
      <c r="W232" s="65">
        <f>70350</f>
        <v>70350</v>
      </c>
      <c r="X232" s="69">
        <f>18</f>
        <v>18</v>
      </c>
    </row>
    <row r="233" spans="1:24">
      <c r="A233" s="60" t="s">
        <v>906</v>
      </c>
      <c r="B233" s="60" t="s">
        <v>747</v>
      </c>
      <c r="C233" s="60" t="s">
        <v>748</v>
      </c>
      <c r="D233" s="60" t="s">
        <v>749</v>
      </c>
      <c r="E233" s="61" t="s">
        <v>46</v>
      </c>
      <c r="F233" s="62" t="s">
        <v>46</v>
      </c>
      <c r="G233" s="63" t="s">
        <v>46</v>
      </c>
      <c r="H233" s="64"/>
      <c r="I233" s="64" t="s">
        <v>47</v>
      </c>
      <c r="J233" s="65">
        <v>10</v>
      </c>
      <c r="K233" s="66">
        <f>1706</f>
        <v>1706</v>
      </c>
      <c r="L233" s="67" t="s">
        <v>77</v>
      </c>
      <c r="M233" s="66">
        <f>1730</f>
        <v>1730</v>
      </c>
      <c r="N233" s="67" t="s">
        <v>872</v>
      </c>
      <c r="O233" s="66">
        <f>1629</f>
        <v>1629</v>
      </c>
      <c r="P233" s="67" t="s">
        <v>92</v>
      </c>
      <c r="Q233" s="66">
        <f>1730</f>
        <v>1730</v>
      </c>
      <c r="R233" s="67" t="s">
        <v>872</v>
      </c>
      <c r="S233" s="68">
        <f>1688.77</f>
        <v>1688.77</v>
      </c>
      <c r="T233" s="65">
        <f>2550</f>
        <v>2550</v>
      </c>
      <c r="U233" s="65" t="str">
        <f>"－"</f>
        <v>－</v>
      </c>
      <c r="V233" s="65">
        <f>4301010</f>
        <v>4301010</v>
      </c>
      <c r="W233" s="65" t="str">
        <f>"－"</f>
        <v>－</v>
      </c>
      <c r="X233" s="69">
        <f>13</f>
        <v>13</v>
      </c>
    </row>
    <row r="234" spans="1:24">
      <c r="A234" s="60" t="s">
        <v>906</v>
      </c>
      <c r="B234" s="60" t="s">
        <v>750</v>
      </c>
      <c r="C234" s="60" t="s">
        <v>751</v>
      </c>
      <c r="D234" s="60" t="s">
        <v>752</v>
      </c>
      <c r="E234" s="61" t="s">
        <v>46</v>
      </c>
      <c r="F234" s="62" t="s">
        <v>46</v>
      </c>
      <c r="G234" s="63" t="s">
        <v>46</v>
      </c>
      <c r="H234" s="64"/>
      <c r="I234" s="64" t="s">
        <v>47</v>
      </c>
      <c r="J234" s="65">
        <v>10</v>
      </c>
      <c r="K234" s="66">
        <f>1925</f>
        <v>1925</v>
      </c>
      <c r="L234" s="67" t="s">
        <v>131</v>
      </c>
      <c r="M234" s="66">
        <f>1926</f>
        <v>1926</v>
      </c>
      <c r="N234" s="67" t="s">
        <v>131</v>
      </c>
      <c r="O234" s="66">
        <f>1901</f>
        <v>1901</v>
      </c>
      <c r="P234" s="67" t="s">
        <v>92</v>
      </c>
      <c r="Q234" s="66">
        <f>1901</f>
        <v>1901</v>
      </c>
      <c r="R234" s="67" t="s">
        <v>92</v>
      </c>
      <c r="S234" s="68">
        <f>1909</f>
        <v>1909</v>
      </c>
      <c r="T234" s="65">
        <f>377540</f>
        <v>377540</v>
      </c>
      <c r="U234" s="65">
        <f>203000</f>
        <v>203000</v>
      </c>
      <c r="V234" s="65">
        <f>727741290</f>
        <v>727741290</v>
      </c>
      <c r="W234" s="65">
        <f>394345280</f>
        <v>394345280</v>
      </c>
      <c r="X234" s="69">
        <f>2</f>
        <v>2</v>
      </c>
    </row>
    <row r="235" spans="1:24">
      <c r="A235" s="60" t="s">
        <v>906</v>
      </c>
      <c r="B235" s="60" t="s">
        <v>753</v>
      </c>
      <c r="C235" s="60" t="s">
        <v>754</v>
      </c>
      <c r="D235" s="60" t="s">
        <v>755</v>
      </c>
      <c r="E235" s="61" t="s">
        <v>46</v>
      </c>
      <c r="F235" s="62" t="s">
        <v>46</v>
      </c>
      <c r="G235" s="63" t="s">
        <v>46</v>
      </c>
      <c r="H235" s="64"/>
      <c r="I235" s="64" t="s">
        <v>47</v>
      </c>
      <c r="J235" s="65">
        <v>1</v>
      </c>
      <c r="K235" s="66">
        <f>29370</f>
        <v>29370</v>
      </c>
      <c r="L235" s="67" t="s">
        <v>77</v>
      </c>
      <c r="M235" s="66">
        <f>29780</f>
        <v>29780</v>
      </c>
      <c r="N235" s="67" t="s">
        <v>77</v>
      </c>
      <c r="O235" s="66">
        <f>27800</f>
        <v>27800</v>
      </c>
      <c r="P235" s="67" t="s">
        <v>92</v>
      </c>
      <c r="Q235" s="66">
        <f>29400</f>
        <v>29400</v>
      </c>
      <c r="R235" s="67" t="s">
        <v>88</v>
      </c>
      <c r="S235" s="68">
        <f>28850</f>
        <v>28850</v>
      </c>
      <c r="T235" s="65">
        <f>102122</f>
        <v>102122</v>
      </c>
      <c r="U235" s="65">
        <f>100000</f>
        <v>100000</v>
      </c>
      <c r="V235" s="65">
        <f>2893086370</f>
        <v>2893086370</v>
      </c>
      <c r="W235" s="65">
        <f>2830076000</f>
        <v>2830076000</v>
      </c>
      <c r="X235" s="69">
        <f>11</f>
        <v>11</v>
      </c>
    </row>
    <row r="236" spans="1:24">
      <c r="A236" s="60" t="s">
        <v>906</v>
      </c>
      <c r="B236" s="60" t="s">
        <v>756</v>
      </c>
      <c r="C236" s="60" t="s">
        <v>757</v>
      </c>
      <c r="D236" s="60" t="s">
        <v>758</v>
      </c>
      <c r="E236" s="61" t="s">
        <v>46</v>
      </c>
      <c r="F236" s="62" t="s">
        <v>46</v>
      </c>
      <c r="G236" s="63" t="s">
        <v>46</v>
      </c>
      <c r="H236" s="64"/>
      <c r="I236" s="64" t="s">
        <v>47</v>
      </c>
      <c r="J236" s="65">
        <v>1</v>
      </c>
      <c r="K236" s="66">
        <f>17750</f>
        <v>17750</v>
      </c>
      <c r="L236" s="67" t="s">
        <v>77</v>
      </c>
      <c r="M236" s="66">
        <f>17890</f>
        <v>17890</v>
      </c>
      <c r="N236" s="67" t="s">
        <v>872</v>
      </c>
      <c r="O236" s="66">
        <f>17100</f>
        <v>17100</v>
      </c>
      <c r="P236" s="67" t="s">
        <v>92</v>
      </c>
      <c r="Q236" s="66">
        <f>17890</f>
        <v>17890</v>
      </c>
      <c r="R236" s="67" t="s">
        <v>872</v>
      </c>
      <c r="S236" s="68">
        <f>17512.22</f>
        <v>17512.22</v>
      </c>
      <c r="T236" s="65">
        <f>32230</f>
        <v>32230</v>
      </c>
      <c r="U236" s="65" t="str">
        <f>"－"</f>
        <v>－</v>
      </c>
      <c r="V236" s="65">
        <f>565480610</f>
        <v>565480610</v>
      </c>
      <c r="W236" s="65" t="str">
        <f>"－"</f>
        <v>－</v>
      </c>
      <c r="X236" s="69">
        <f>9</f>
        <v>9</v>
      </c>
    </row>
    <row r="237" spans="1:24">
      <c r="A237" s="60" t="s">
        <v>906</v>
      </c>
      <c r="B237" s="60" t="s">
        <v>759</v>
      </c>
      <c r="C237" s="60" t="s">
        <v>760</v>
      </c>
      <c r="D237" s="60" t="s">
        <v>761</v>
      </c>
      <c r="E237" s="61" t="s">
        <v>46</v>
      </c>
      <c r="F237" s="62" t="s">
        <v>46</v>
      </c>
      <c r="G237" s="63" t="s">
        <v>46</v>
      </c>
      <c r="H237" s="64"/>
      <c r="I237" s="64" t="s">
        <v>47</v>
      </c>
      <c r="J237" s="65">
        <v>10</v>
      </c>
      <c r="K237" s="66">
        <f>1231</f>
        <v>1231</v>
      </c>
      <c r="L237" s="67" t="s">
        <v>77</v>
      </c>
      <c r="M237" s="66">
        <f>1238</f>
        <v>1238</v>
      </c>
      <c r="N237" s="67" t="s">
        <v>872</v>
      </c>
      <c r="O237" s="66">
        <f>1215</f>
        <v>1215</v>
      </c>
      <c r="P237" s="67" t="s">
        <v>100</v>
      </c>
      <c r="Q237" s="66">
        <f>1238</f>
        <v>1238</v>
      </c>
      <c r="R237" s="67" t="s">
        <v>872</v>
      </c>
      <c r="S237" s="68">
        <f>1227.33</f>
        <v>1227.33</v>
      </c>
      <c r="T237" s="65">
        <f>430</f>
        <v>430</v>
      </c>
      <c r="U237" s="65" t="str">
        <f>"－"</f>
        <v>－</v>
      </c>
      <c r="V237" s="65">
        <f>528310</f>
        <v>528310</v>
      </c>
      <c r="W237" s="65" t="str">
        <f>"－"</f>
        <v>－</v>
      </c>
      <c r="X237" s="69">
        <f>9</f>
        <v>9</v>
      </c>
    </row>
    <row r="238" spans="1:24">
      <c r="A238" s="60" t="s">
        <v>906</v>
      </c>
      <c r="B238" s="60" t="s">
        <v>762</v>
      </c>
      <c r="C238" s="60" t="s">
        <v>763</v>
      </c>
      <c r="D238" s="60" t="s">
        <v>764</v>
      </c>
      <c r="E238" s="61" t="s">
        <v>46</v>
      </c>
      <c r="F238" s="62" t="s">
        <v>46</v>
      </c>
      <c r="G238" s="63" t="s">
        <v>46</v>
      </c>
      <c r="H238" s="64"/>
      <c r="I238" s="64" t="s">
        <v>47</v>
      </c>
      <c r="J238" s="65">
        <v>10</v>
      </c>
      <c r="K238" s="66">
        <f>1233</f>
        <v>1233</v>
      </c>
      <c r="L238" s="67" t="s">
        <v>77</v>
      </c>
      <c r="M238" s="66">
        <f>1233</f>
        <v>1233</v>
      </c>
      <c r="N238" s="67" t="s">
        <v>77</v>
      </c>
      <c r="O238" s="66">
        <f>1193</f>
        <v>1193</v>
      </c>
      <c r="P238" s="67" t="s">
        <v>49</v>
      </c>
      <c r="Q238" s="66">
        <f>1226</f>
        <v>1226</v>
      </c>
      <c r="R238" s="67" t="s">
        <v>872</v>
      </c>
      <c r="S238" s="68">
        <f>1214.11</f>
        <v>1214.1099999999999</v>
      </c>
      <c r="T238" s="65">
        <f>5290</f>
        <v>5290</v>
      </c>
      <c r="U238" s="65" t="str">
        <f>"－"</f>
        <v>－</v>
      </c>
      <c r="V238" s="65">
        <f>6421780</f>
        <v>6421780</v>
      </c>
      <c r="W238" s="65" t="str">
        <f>"－"</f>
        <v>－</v>
      </c>
      <c r="X238" s="69">
        <f>18</f>
        <v>18</v>
      </c>
    </row>
    <row r="239" spans="1:24">
      <c r="A239" s="60" t="s">
        <v>906</v>
      </c>
      <c r="B239" s="60" t="s">
        <v>765</v>
      </c>
      <c r="C239" s="60" t="s">
        <v>766</v>
      </c>
      <c r="D239" s="60" t="s">
        <v>767</v>
      </c>
      <c r="E239" s="61" t="s">
        <v>46</v>
      </c>
      <c r="F239" s="62" t="s">
        <v>46</v>
      </c>
      <c r="G239" s="63" t="s">
        <v>46</v>
      </c>
      <c r="H239" s="64"/>
      <c r="I239" s="64" t="s">
        <v>47</v>
      </c>
      <c r="J239" s="65">
        <v>1</v>
      </c>
      <c r="K239" s="66">
        <f>1087</f>
        <v>1087</v>
      </c>
      <c r="L239" s="67" t="s">
        <v>77</v>
      </c>
      <c r="M239" s="66">
        <f>1118</f>
        <v>1118</v>
      </c>
      <c r="N239" s="67" t="s">
        <v>872</v>
      </c>
      <c r="O239" s="66">
        <f>1058</f>
        <v>1058</v>
      </c>
      <c r="P239" s="67" t="s">
        <v>92</v>
      </c>
      <c r="Q239" s="66">
        <f>1091</f>
        <v>1091</v>
      </c>
      <c r="R239" s="67" t="s">
        <v>872</v>
      </c>
      <c r="S239" s="68">
        <f>1086.89</f>
        <v>1086.8900000000001</v>
      </c>
      <c r="T239" s="65">
        <f>38710</f>
        <v>38710</v>
      </c>
      <c r="U239" s="65">
        <f>4</f>
        <v>4</v>
      </c>
      <c r="V239" s="65">
        <f>42271482</f>
        <v>42271482</v>
      </c>
      <c r="W239" s="65">
        <f>4392</f>
        <v>4392</v>
      </c>
      <c r="X239" s="69">
        <f>18</f>
        <v>18</v>
      </c>
    </row>
    <row r="240" spans="1:24">
      <c r="A240" s="60" t="s">
        <v>906</v>
      </c>
      <c r="B240" s="60" t="s">
        <v>768</v>
      </c>
      <c r="C240" s="60" t="s">
        <v>769</v>
      </c>
      <c r="D240" s="60" t="s">
        <v>770</v>
      </c>
      <c r="E240" s="61" t="s">
        <v>46</v>
      </c>
      <c r="F240" s="62" t="s">
        <v>46</v>
      </c>
      <c r="G240" s="63" t="s">
        <v>46</v>
      </c>
      <c r="H240" s="64"/>
      <c r="I240" s="64" t="s">
        <v>47</v>
      </c>
      <c r="J240" s="65">
        <v>1</v>
      </c>
      <c r="K240" s="66">
        <f>13600</f>
        <v>13600</v>
      </c>
      <c r="L240" s="67" t="s">
        <v>77</v>
      </c>
      <c r="M240" s="66">
        <f>14080</f>
        <v>14080</v>
      </c>
      <c r="N240" s="67" t="s">
        <v>872</v>
      </c>
      <c r="O240" s="66">
        <f>12950</f>
        <v>12950</v>
      </c>
      <c r="P240" s="67" t="s">
        <v>875</v>
      </c>
      <c r="Q240" s="66">
        <f>14060</f>
        <v>14060</v>
      </c>
      <c r="R240" s="67" t="s">
        <v>872</v>
      </c>
      <c r="S240" s="68">
        <f>13490.56</f>
        <v>13490.56</v>
      </c>
      <c r="T240" s="65">
        <f>3460</f>
        <v>3460</v>
      </c>
      <c r="U240" s="65" t="str">
        <f>"－"</f>
        <v>－</v>
      </c>
      <c r="V240" s="65">
        <f>47241180</f>
        <v>47241180</v>
      </c>
      <c r="W240" s="65" t="str">
        <f>"－"</f>
        <v>－</v>
      </c>
      <c r="X240" s="69">
        <f>18</f>
        <v>18</v>
      </c>
    </row>
    <row r="241" spans="1:24">
      <c r="A241" s="60" t="s">
        <v>906</v>
      </c>
      <c r="B241" s="60" t="s">
        <v>771</v>
      </c>
      <c r="C241" s="60" t="s">
        <v>772</v>
      </c>
      <c r="D241" s="60" t="s">
        <v>773</v>
      </c>
      <c r="E241" s="61" t="s">
        <v>46</v>
      </c>
      <c r="F241" s="62" t="s">
        <v>46</v>
      </c>
      <c r="G241" s="63" t="s">
        <v>46</v>
      </c>
      <c r="H241" s="64"/>
      <c r="I241" s="64" t="s">
        <v>47</v>
      </c>
      <c r="J241" s="65">
        <v>1</v>
      </c>
      <c r="K241" s="66">
        <f>2226</f>
        <v>2226</v>
      </c>
      <c r="L241" s="67" t="s">
        <v>77</v>
      </c>
      <c r="M241" s="66">
        <f>2230</f>
        <v>2230</v>
      </c>
      <c r="N241" s="67" t="s">
        <v>77</v>
      </c>
      <c r="O241" s="66">
        <f>2141</f>
        <v>2141</v>
      </c>
      <c r="P241" s="67" t="s">
        <v>49</v>
      </c>
      <c r="Q241" s="66">
        <f>2211</f>
        <v>2211</v>
      </c>
      <c r="R241" s="67" t="s">
        <v>872</v>
      </c>
      <c r="S241" s="68">
        <f>2188.33</f>
        <v>2188.33</v>
      </c>
      <c r="T241" s="65">
        <f>22650</f>
        <v>22650</v>
      </c>
      <c r="U241" s="65" t="str">
        <f>"－"</f>
        <v>－</v>
      </c>
      <c r="V241" s="65">
        <f>49448180</f>
        <v>49448180</v>
      </c>
      <c r="W241" s="65" t="str">
        <f>"－"</f>
        <v>－</v>
      </c>
      <c r="X241" s="69">
        <f>18</f>
        <v>18</v>
      </c>
    </row>
    <row r="242" spans="1:24">
      <c r="A242" s="60" t="s">
        <v>906</v>
      </c>
      <c r="B242" s="60" t="s">
        <v>774</v>
      </c>
      <c r="C242" s="60" t="s">
        <v>775</v>
      </c>
      <c r="D242" s="60" t="s">
        <v>776</v>
      </c>
      <c r="E242" s="61" t="s">
        <v>46</v>
      </c>
      <c r="F242" s="62" t="s">
        <v>46</v>
      </c>
      <c r="G242" s="63" t="s">
        <v>46</v>
      </c>
      <c r="H242" s="64"/>
      <c r="I242" s="64" t="s">
        <v>47</v>
      </c>
      <c r="J242" s="65">
        <v>10</v>
      </c>
      <c r="K242" s="66">
        <f>1386</f>
        <v>1386</v>
      </c>
      <c r="L242" s="67" t="s">
        <v>77</v>
      </c>
      <c r="M242" s="66">
        <f>1490</f>
        <v>1490</v>
      </c>
      <c r="N242" s="67" t="s">
        <v>872</v>
      </c>
      <c r="O242" s="66">
        <f>1381</f>
        <v>1381</v>
      </c>
      <c r="P242" s="67" t="s">
        <v>92</v>
      </c>
      <c r="Q242" s="66">
        <f>1490</f>
        <v>1490</v>
      </c>
      <c r="R242" s="67" t="s">
        <v>872</v>
      </c>
      <c r="S242" s="68">
        <f>1424.75</f>
        <v>1424.75</v>
      </c>
      <c r="T242" s="65">
        <f>4830</f>
        <v>4830</v>
      </c>
      <c r="U242" s="65" t="str">
        <f>"－"</f>
        <v>－</v>
      </c>
      <c r="V242" s="65">
        <f>6890890</f>
        <v>6890890</v>
      </c>
      <c r="W242" s="65" t="str">
        <f>"－"</f>
        <v>－</v>
      </c>
      <c r="X242" s="69">
        <f>16</f>
        <v>16</v>
      </c>
    </row>
    <row r="243" spans="1:24">
      <c r="A243" s="60" t="s">
        <v>906</v>
      </c>
      <c r="B243" s="60" t="s">
        <v>777</v>
      </c>
      <c r="C243" s="60" t="s">
        <v>778</v>
      </c>
      <c r="D243" s="60" t="s">
        <v>779</v>
      </c>
      <c r="E243" s="61" t="s">
        <v>46</v>
      </c>
      <c r="F243" s="62" t="s">
        <v>46</v>
      </c>
      <c r="G243" s="63" t="s">
        <v>46</v>
      </c>
      <c r="H243" s="64"/>
      <c r="I243" s="64" t="s">
        <v>47</v>
      </c>
      <c r="J243" s="65">
        <v>10</v>
      </c>
      <c r="K243" s="66">
        <f>1010</f>
        <v>1010</v>
      </c>
      <c r="L243" s="67" t="s">
        <v>77</v>
      </c>
      <c r="M243" s="66">
        <f>1020</f>
        <v>1020</v>
      </c>
      <c r="N243" s="67" t="s">
        <v>872</v>
      </c>
      <c r="O243" s="66">
        <f>1008</f>
        <v>1008</v>
      </c>
      <c r="P243" s="67" t="s">
        <v>92</v>
      </c>
      <c r="Q243" s="66">
        <f>1014</f>
        <v>1014</v>
      </c>
      <c r="R243" s="67" t="s">
        <v>872</v>
      </c>
      <c r="S243" s="68">
        <f>1011.83</f>
        <v>1011.83</v>
      </c>
      <c r="T243" s="65">
        <f>940660</f>
        <v>940660</v>
      </c>
      <c r="U243" s="65">
        <f>852930</f>
        <v>852930</v>
      </c>
      <c r="V243" s="65">
        <f>952759638</f>
        <v>952759638</v>
      </c>
      <c r="W243" s="65">
        <f>863965048</f>
        <v>863965048</v>
      </c>
      <c r="X243" s="69">
        <f>18</f>
        <v>18</v>
      </c>
    </row>
    <row r="244" spans="1:24">
      <c r="A244" s="60" t="s">
        <v>906</v>
      </c>
      <c r="B244" s="60" t="s">
        <v>780</v>
      </c>
      <c r="C244" s="60" t="s">
        <v>781</v>
      </c>
      <c r="D244" s="60" t="s">
        <v>782</v>
      </c>
      <c r="E244" s="61" t="s">
        <v>46</v>
      </c>
      <c r="F244" s="62" t="s">
        <v>46</v>
      </c>
      <c r="G244" s="63" t="s">
        <v>46</v>
      </c>
      <c r="H244" s="64"/>
      <c r="I244" s="64" t="s">
        <v>47</v>
      </c>
      <c r="J244" s="65">
        <v>10</v>
      </c>
      <c r="K244" s="66">
        <f>2126</f>
        <v>2126</v>
      </c>
      <c r="L244" s="67" t="s">
        <v>77</v>
      </c>
      <c r="M244" s="66">
        <f>2126</f>
        <v>2126</v>
      </c>
      <c r="N244" s="67" t="s">
        <v>77</v>
      </c>
      <c r="O244" s="66">
        <f>2048</f>
        <v>2048</v>
      </c>
      <c r="P244" s="67" t="s">
        <v>92</v>
      </c>
      <c r="Q244" s="66">
        <f>2104</f>
        <v>2104</v>
      </c>
      <c r="R244" s="67" t="s">
        <v>872</v>
      </c>
      <c r="S244" s="68">
        <f>2089.39</f>
        <v>2089.39</v>
      </c>
      <c r="T244" s="65">
        <f>44430</f>
        <v>44430</v>
      </c>
      <c r="U244" s="65">
        <f>30000</f>
        <v>30000</v>
      </c>
      <c r="V244" s="65">
        <f>91374350</f>
        <v>91374350</v>
      </c>
      <c r="W244" s="65">
        <f>61230300</f>
        <v>61230300</v>
      </c>
      <c r="X244" s="69">
        <f>18</f>
        <v>18</v>
      </c>
    </row>
    <row r="245" spans="1:24">
      <c r="A245" s="60" t="s">
        <v>906</v>
      </c>
      <c r="B245" s="60" t="s">
        <v>783</v>
      </c>
      <c r="C245" s="60" t="s">
        <v>784</v>
      </c>
      <c r="D245" s="60" t="s">
        <v>785</v>
      </c>
      <c r="E245" s="61" t="s">
        <v>46</v>
      </c>
      <c r="F245" s="62" t="s">
        <v>46</v>
      </c>
      <c r="G245" s="63" t="s">
        <v>46</v>
      </c>
      <c r="H245" s="64"/>
      <c r="I245" s="64" t="s">
        <v>47</v>
      </c>
      <c r="J245" s="65">
        <v>10</v>
      </c>
      <c r="K245" s="66">
        <f>2135</f>
        <v>2135</v>
      </c>
      <c r="L245" s="67" t="s">
        <v>77</v>
      </c>
      <c r="M245" s="66">
        <f>2135</f>
        <v>2135</v>
      </c>
      <c r="N245" s="67" t="s">
        <v>77</v>
      </c>
      <c r="O245" s="66">
        <f>2046</f>
        <v>2046</v>
      </c>
      <c r="P245" s="67" t="s">
        <v>49</v>
      </c>
      <c r="Q245" s="66">
        <f>2115</f>
        <v>2115</v>
      </c>
      <c r="R245" s="67" t="s">
        <v>872</v>
      </c>
      <c r="S245" s="68">
        <f>2094.72</f>
        <v>2094.7199999999998</v>
      </c>
      <c r="T245" s="65">
        <f>280220</f>
        <v>280220</v>
      </c>
      <c r="U245" s="65">
        <f>30120</f>
        <v>30120</v>
      </c>
      <c r="V245" s="65">
        <f>582350430</f>
        <v>582350430</v>
      </c>
      <c r="W245" s="65">
        <f>61464280</f>
        <v>61464280</v>
      </c>
      <c r="X245" s="69">
        <f>18</f>
        <v>18</v>
      </c>
    </row>
    <row r="246" spans="1:24">
      <c r="A246" s="60" t="s">
        <v>906</v>
      </c>
      <c r="B246" s="60" t="s">
        <v>786</v>
      </c>
      <c r="C246" s="60" t="s">
        <v>787</v>
      </c>
      <c r="D246" s="60" t="s">
        <v>788</v>
      </c>
      <c r="E246" s="61" t="s">
        <v>46</v>
      </c>
      <c r="F246" s="62" t="s">
        <v>46</v>
      </c>
      <c r="G246" s="63" t="s">
        <v>46</v>
      </c>
      <c r="H246" s="64"/>
      <c r="I246" s="64" t="s">
        <v>47</v>
      </c>
      <c r="J246" s="65">
        <v>10</v>
      </c>
      <c r="K246" s="66">
        <f>1941</f>
        <v>1941</v>
      </c>
      <c r="L246" s="67" t="s">
        <v>860</v>
      </c>
      <c r="M246" s="66">
        <f>1961</f>
        <v>1961</v>
      </c>
      <c r="N246" s="67" t="s">
        <v>860</v>
      </c>
      <c r="O246" s="66">
        <f>1941</f>
        <v>1941</v>
      </c>
      <c r="P246" s="67" t="s">
        <v>860</v>
      </c>
      <c r="Q246" s="66">
        <f>1961</f>
        <v>1961</v>
      </c>
      <c r="R246" s="67" t="s">
        <v>860</v>
      </c>
      <c r="S246" s="68">
        <f>1961</f>
        <v>1961</v>
      </c>
      <c r="T246" s="65">
        <f>30</f>
        <v>30</v>
      </c>
      <c r="U246" s="65" t="str">
        <f>"－"</f>
        <v>－</v>
      </c>
      <c r="V246" s="65">
        <f>58630</f>
        <v>58630</v>
      </c>
      <c r="W246" s="65" t="str">
        <f>"－"</f>
        <v>－</v>
      </c>
      <c r="X246" s="69">
        <f>1</f>
        <v>1</v>
      </c>
    </row>
    <row r="247" spans="1:24">
      <c r="A247" s="60" t="s">
        <v>906</v>
      </c>
      <c r="B247" s="60" t="s">
        <v>789</v>
      </c>
      <c r="C247" s="60" t="s">
        <v>790</v>
      </c>
      <c r="D247" s="60" t="s">
        <v>791</v>
      </c>
      <c r="E247" s="61" t="s">
        <v>46</v>
      </c>
      <c r="F247" s="62" t="s">
        <v>46</v>
      </c>
      <c r="G247" s="63" t="s">
        <v>46</v>
      </c>
      <c r="H247" s="64"/>
      <c r="I247" s="64" t="s">
        <v>47</v>
      </c>
      <c r="J247" s="65">
        <v>1</v>
      </c>
      <c r="K247" s="66">
        <f>13060</f>
        <v>13060</v>
      </c>
      <c r="L247" s="67" t="s">
        <v>77</v>
      </c>
      <c r="M247" s="66">
        <f>13310</f>
        <v>13310</v>
      </c>
      <c r="N247" s="67" t="s">
        <v>88</v>
      </c>
      <c r="O247" s="66">
        <f>12780</f>
        <v>12780</v>
      </c>
      <c r="P247" s="67" t="s">
        <v>92</v>
      </c>
      <c r="Q247" s="66">
        <f>13260</f>
        <v>13260</v>
      </c>
      <c r="R247" s="67" t="s">
        <v>872</v>
      </c>
      <c r="S247" s="68">
        <f>13056.67</f>
        <v>13056.67</v>
      </c>
      <c r="T247" s="65">
        <f>328170</f>
        <v>328170</v>
      </c>
      <c r="U247" s="65">
        <f>7</f>
        <v>7</v>
      </c>
      <c r="V247" s="65">
        <f>4275423340</f>
        <v>4275423340</v>
      </c>
      <c r="W247" s="65">
        <f>91380</f>
        <v>91380</v>
      </c>
      <c r="X247" s="69">
        <f>18</f>
        <v>18</v>
      </c>
    </row>
    <row r="248" spans="1:24">
      <c r="A248" s="60" t="s">
        <v>906</v>
      </c>
      <c r="B248" s="60" t="s">
        <v>792</v>
      </c>
      <c r="C248" s="60" t="s">
        <v>793</v>
      </c>
      <c r="D248" s="60" t="s">
        <v>794</v>
      </c>
      <c r="E248" s="61" t="s">
        <v>46</v>
      </c>
      <c r="F248" s="62" t="s">
        <v>46</v>
      </c>
      <c r="G248" s="63" t="s">
        <v>46</v>
      </c>
      <c r="H248" s="64"/>
      <c r="I248" s="64" t="s">
        <v>47</v>
      </c>
      <c r="J248" s="65">
        <v>1</v>
      </c>
      <c r="K248" s="66">
        <f>12610</f>
        <v>12610</v>
      </c>
      <c r="L248" s="67" t="s">
        <v>77</v>
      </c>
      <c r="M248" s="66">
        <f>12920</f>
        <v>12920</v>
      </c>
      <c r="N248" s="67" t="s">
        <v>872</v>
      </c>
      <c r="O248" s="66">
        <f>12310</f>
        <v>12310</v>
      </c>
      <c r="P248" s="67" t="s">
        <v>92</v>
      </c>
      <c r="Q248" s="66">
        <f>12880</f>
        <v>12880</v>
      </c>
      <c r="R248" s="67" t="s">
        <v>872</v>
      </c>
      <c r="S248" s="68">
        <f>12625.56</f>
        <v>12625.56</v>
      </c>
      <c r="T248" s="65">
        <f>158518</f>
        <v>158518</v>
      </c>
      <c r="U248" s="65">
        <f>40074</f>
        <v>40074</v>
      </c>
      <c r="V248" s="65">
        <f>2000038762</f>
        <v>2000038762</v>
      </c>
      <c r="W248" s="65">
        <f>504407842</f>
        <v>504407842</v>
      </c>
      <c r="X248" s="69">
        <f>18</f>
        <v>18</v>
      </c>
    </row>
    <row r="249" spans="1:24">
      <c r="A249" s="60" t="s">
        <v>906</v>
      </c>
      <c r="B249" s="60" t="s">
        <v>795</v>
      </c>
      <c r="C249" s="60" t="s">
        <v>796</v>
      </c>
      <c r="D249" s="60" t="s">
        <v>797</v>
      </c>
      <c r="E249" s="61" t="s">
        <v>46</v>
      </c>
      <c r="F249" s="62" t="s">
        <v>46</v>
      </c>
      <c r="G249" s="63" t="s">
        <v>46</v>
      </c>
      <c r="H249" s="64"/>
      <c r="I249" s="64" t="s">
        <v>47</v>
      </c>
      <c r="J249" s="65">
        <v>1</v>
      </c>
      <c r="K249" s="66">
        <f>25650</f>
        <v>25650</v>
      </c>
      <c r="L249" s="67" t="s">
        <v>77</v>
      </c>
      <c r="M249" s="66">
        <f>25900</f>
        <v>25900</v>
      </c>
      <c r="N249" s="67" t="s">
        <v>77</v>
      </c>
      <c r="O249" s="66">
        <f>24790</f>
        <v>24790</v>
      </c>
      <c r="P249" s="67" t="s">
        <v>131</v>
      </c>
      <c r="Q249" s="66">
        <f>25780</f>
        <v>25780</v>
      </c>
      <c r="R249" s="67" t="s">
        <v>872</v>
      </c>
      <c r="S249" s="68">
        <f>25393.08</f>
        <v>25393.08</v>
      </c>
      <c r="T249" s="65">
        <f>635</f>
        <v>635</v>
      </c>
      <c r="U249" s="65" t="str">
        <f>"－"</f>
        <v>－</v>
      </c>
      <c r="V249" s="65">
        <f>16054900</f>
        <v>16054900</v>
      </c>
      <c r="W249" s="65" t="str">
        <f>"－"</f>
        <v>－</v>
      </c>
      <c r="X249" s="69">
        <f>13</f>
        <v>13</v>
      </c>
    </row>
    <row r="250" spans="1:24">
      <c r="A250" s="60" t="s">
        <v>906</v>
      </c>
      <c r="B250" s="60" t="s">
        <v>798</v>
      </c>
      <c r="C250" s="60" t="s">
        <v>799</v>
      </c>
      <c r="D250" s="60" t="s">
        <v>800</v>
      </c>
      <c r="E250" s="61" t="s">
        <v>46</v>
      </c>
      <c r="F250" s="62" t="s">
        <v>46</v>
      </c>
      <c r="G250" s="63" t="s">
        <v>46</v>
      </c>
      <c r="H250" s="64"/>
      <c r="I250" s="64" t="s">
        <v>47</v>
      </c>
      <c r="J250" s="65">
        <v>1</v>
      </c>
      <c r="K250" s="66">
        <f>2716</f>
        <v>2716</v>
      </c>
      <c r="L250" s="67" t="s">
        <v>77</v>
      </c>
      <c r="M250" s="66">
        <f>2720</f>
        <v>2720</v>
      </c>
      <c r="N250" s="67" t="s">
        <v>131</v>
      </c>
      <c r="O250" s="66">
        <f>2710</f>
        <v>2710</v>
      </c>
      <c r="P250" s="67" t="s">
        <v>172</v>
      </c>
      <c r="Q250" s="66">
        <f>2714</f>
        <v>2714</v>
      </c>
      <c r="R250" s="67" t="s">
        <v>872</v>
      </c>
      <c r="S250" s="68">
        <f>2715.89</f>
        <v>2715.89</v>
      </c>
      <c r="T250" s="65">
        <f>2067670</f>
        <v>2067670</v>
      </c>
      <c r="U250" s="65">
        <f>1352700</f>
        <v>1352700</v>
      </c>
      <c r="V250" s="65">
        <f>5616474714</f>
        <v>5616474714</v>
      </c>
      <c r="W250" s="65">
        <f>3673840820</f>
        <v>3673840820</v>
      </c>
      <c r="X250" s="69">
        <f>18</f>
        <v>18</v>
      </c>
    </row>
    <row r="251" spans="1:24">
      <c r="A251" s="60" t="s">
        <v>906</v>
      </c>
      <c r="B251" s="60" t="s">
        <v>801</v>
      </c>
      <c r="C251" s="60" t="s">
        <v>802</v>
      </c>
      <c r="D251" s="60" t="s">
        <v>803</v>
      </c>
      <c r="E251" s="61" t="s">
        <v>46</v>
      </c>
      <c r="F251" s="62" t="s">
        <v>46</v>
      </c>
      <c r="G251" s="63" t="s">
        <v>46</v>
      </c>
      <c r="H251" s="64"/>
      <c r="I251" s="64" t="s">
        <v>47</v>
      </c>
      <c r="J251" s="65">
        <v>10</v>
      </c>
      <c r="K251" s="66">
        <f>2959</f>
        <v>2959</v>
      </c>
      <c r="L251" s="67" t="s">
        <v>77</v>
      </c>
      <c r="M251" s="66">
        <f>3020</f>
        <v>3020</v>
      </c>
      <c r="N251" s="67" t="s">
        <v>860</v>
      </c>
      <c r="O251" s="66">
        <f>2903</f>
        <v>2903</v>
      </c>
      <c r="P251" s="67" t="s">
        <v>92</v>
      </c>
      <c r="Q251" s="66">
        <f>2992</f>
        <v>2992</v>
      </c>
      <c r="R251" s="67" t="s">
        <v>872</v>
      </c>
      <c r="S251" s="68">
        <f>2971.06</f>
        <v>2971.06</v>
      </c>
      <c r="T251" s="65">
        <f>3275040</f>
        <v>3275040</v>
      </c>
      <c r="U251" s="65">
        <f>1566710</f>
        <v>1566710</v>
      </c>
      <c r="V251" s="65">
        <f>9740795532</f>
        <v>9740795532</v>
      </c>
      <c r="W251" s="65">
        <f>4667270142</f>
        <v>4667270142</v>
      </c>
      <c r="X251" s="69">
        <f>18</f>
        <v>18</v>
      </c>
    </row>
    <row r="252" spans="1:24">
      <c r="A252" s="60" t="s">
        <v>906</v>
      </c>
      <c r="B252" s="60" t="s">
        <v>804</v>
      </c>
      <c r="C252" s="60" t="s">
        <v>805</v>
      </c>
      <c r="D252" s="60" t="s">
        <v>806</v>
      </c>
      <c r="E252" s="61" t="s">
        <v>46</v>
      </c>
      <c r="F252" s="62" t="s">
        <v>46</v>
      </c>
      <c r="G252" s="63" t="s">
        <v>46</v>
      </c>
      <c r="H252" s="64"/>
      <c r="I252" s="64" t="s">
        <v>47</v>
      </c>
      <c r="J252" s="65">
        <v>1</v>
      </c>
      <c r="K252" s="66">
        <f>2707</f>
        <v>2707</v>
      </c>
      <c r="L252" s="67" t="s">
        <v>77</v>
      </c>
      <c r="M252" s="66">
        <f>2757</f>
        <v>2757</v>
      </c>
      <c r="N252" s="67" t="s">
        <v>860</v>
      </c>
      <c r="O252" s="66">
        <f>2639</f>
        <v>2639</v>
      </c>
      <c r="P252" s="67" t="s">
        <v>92</v>
      </c>
      <c r="Q252" s="66">
        <f>2736</f>
        <v>2736</v>
      </c>
      <c r="R252" s="67" t="s">
        <v>872</v>
      </c>
      <c r="S252" s="68">
        <f>2708.72</f>
        <v>2708.72</v>
      </c>
      <c r="T252" s="65">
        <f>3396979</f>
        <v>3396979</v>
      </c>
      <c r="U252" s="65">
        <f>1026008</f>
        <v>1026008</v>
      </c>
      <c r="V252" s="65">
        <f>9193184652</f>
        <v>9193184652</v>
      </c>
      <c r="W252" s="65">
        <f>2776197728</f>
        <v>2776197728</v>
      </c>
      <c r="X252" s="69">
        <f>18</f>
        <v>18</v>
      </c>
    </row>
    <row r="253" spans="1:24">
      <c r="A253" s="60" t="s">
        <v>906</v>
      </c>
      <c r="B253" s="60" t="s">
        <v>807</v>
      </c>
      <c r="C253" s="60" t="s">
        <v>808</v>
      </c>
      <c r="D253" s="60" t="s">
        <v>809</v>
      </c>
      <c r="E253" s="61" t="s">
        <v>46</v>
      </c>
      <c r="F253" s="62" t="s">
        <v>46</v>
      </c>
      <c r="G253" s="63" t="s">
        <v>46</v>
      </c>
      <c r="H253" s="64"/>
      <c r="I253" s="64" t="s">
        <v>47</v>
      </c>
      <c r="J253" s="65">
        <v>1</v>
      </c>
      <c r="K253" s="66">
        <f>1858</f>
        <v>1858</v>
      </c>
      <c r="L253" s="67" t="s">
        <v>77</v>
      </c>
      <c r="M253" s="66">
        <f>1906</f>
        <v>1906</v>
      </c>
      <c r="N253" s="67" t="s">
        <v>856</v>
      </c>
      <c r="O253" s="66">
        <f>1826</f>
        <v>1826</v>
      </c>
      <c r="P253" s="67" t="s">
        <v>92</v>
      </c>
      <c r="Q253" s="66">
        <f>1844</f>
        <v>1844</v>
      </c>
      <c r="R253" s="67" t="s">
        <v>872</v>
      </c>
      <c r="S253" s="68">
        <f>1874.61</f>
        <v>1874.61</v>
      </c>
      <c r="T253" s="65">
        <f>61758</f>
        <v>61758</v>
      </c>
      <c r="U253" s="65">
        <f>6</f>
        <v>6</v>
      </c>
      <c r="V253" s="65">
        <f>115930756</f>
        <v>115930756</v>
      </c>
      <c r="W253" s="65">
        <f>11317</f>
        <v>11317</v>
      </c>
      <c r="X253" s="69">
        <f>18</f>
        <v>18</v>
      </c>
    </row>
    <row r="254" spans="1:24">
      <c r="A254" s="60" t="s">
        <v>906</v>
      </c>
      <c r="B254" s="60" t="s">
        <v>810</v>
      </c>
      <c r="C254" s="60" t="s">
        <v>811</v>
      </c>
      <c r="D254" s="60" t="s">
        <v>812</v>
      </c>
      <c r="E254" s="61" t="s">
        <v>46</v>
      </c>
      <c r="F254" s="62" t="s">
        <v>46</v>
      </c>
      <c r="G254" s="63" t="s">
        <v>46</v>
      </c>
      <c r="H254" s="64"/>
      <c r="I254" s="64" t="s">
        <v>47</v>
      </c>
      <c r="J254" s="65">
        <v>1</v>
      </c>
      <c r="K254" s="66">
        <f>1155</f>
        <v>1155</v>
      </c>
      <c r="L254" s="67" t="s">
        <v>77</v>
      </c>
      <c r="M254" s="66">
        <f>1155</f>
        <v>1155</v>
      </c>
      <c r="N254" s="67" t="s">
        <v>77</v>
      </c>
      <c r="O254" s="66">
        <f>1108</f>
        <v>1108</v>
      </c>
      <c r="P254" s="67" t="s">
        <v>49</v>
      </c>
      <c r="Q254" s="66">
        <f>1136</f>
        <v>1136</v>
      </c>
      <c r="R254" s="67" t="s">
        <v>872</v>
      </c>
      <c r="S254" s="68">
        <f>1127.11</f>
        <v>1127.1099999999999</v>
      </c>
      <c r="T254" s="65">
        <f>205067</f>
        <v>205067</v>
      </c>
      <c r="U254" s="65">
        <f>7</f>
        <v>7</v>
      </c>
      <c r="V254" s="65">
        <f>230770112</f>
        <v>230770112</v>
      </c>
      <c r="W254" s="65">
        <f>7910</f>
        <v>7910</v>
      </c>
      <c r="X254" s="69">
        <f>18</f>
        <v>18</v>
      </c>
    </row>
    <row r="255" spans="1:24">
      <c r="A255" s="60" t="s">
        <v>906</v>
      </c>
      <c r="B255" s="60" t="s">
        <v>813</v>
      </c>
      <c r="C255" s="60" t="s">
        <v>814</v>
      </c>
      <c r="D255" s="60" t="s">
        <v>815</v>
      </c>
      <c r="E255" s="61" t="s">
        <v>46</v>
      </c>
      <c r="F255" s="62" t="s">
        <v>46</v>
      </c>
      <c r="G255" s="63" t="s">
        <v>46</v>
      </c>
      <c r="H255" s="64"/>
      <c r="I255" s="64" t="s">
        <v>47</v>
      </c>
      <c r="J255" s="65">
        <v>10</v>
      </c>
      <c r="K255" s="66">
        <f>1181</f>
        <v>1181</v>
      </c>
      <c r="L255" s="67" t="s">
        <v>77</v>
      </c>
      <c r="M255" s="66">
        <f>1181</f>
        <v>1181</v>
      </c>
      <c r="N255" s="67" t="s">
        <v>77</v>
      </c>
      <c r="O255" s="66">
        <f>1131</f>
        <v>1131</v>
      </c>
      <c r="P255" s="67" t="s">
        <v>49</v>
      </c>
      <c r="Q255" s="66">
        <f>1165</f>
        <v>1165</v>
      </c>
      <c r="R255" s="67" t="s">
        <v>872</v>
      </c>
      <c r="S255" s="68">
        <f>1154.78</f>
        <v>1154.78</v>
      </c>
      <c r="T255" s="65">
        <f>22500</f>
        <v>22500</v>
      </c>
      <c r="U255" s="65" t="str">
        <f>"－"</f>
        <v>－</v>
      </c>
      <c r="V255" s="65">
        <f>25880920</f>
        <v>25880920</v>
      </c>
      <c r="W255" s="65" t="str">
        <f>"－"</f>
        <v>－</v>
      </c>
      <c r="X255" s="69">
        <f>18</f>
        <v>18</v>
      </c>
    </row>
    <row r="256" spans="1:24">
      <c r="A256" s="60" t="s">
        <v>906</v>
      </c>
      <c r="B256" s="60" t="s">
        <v>816</v>
      </c>
      <c r="C256" s="60" t="s">
        <v>817</v>
      </c>
      <c r="D256" s="60" t="s">
        <v>818</v>
      </c>
      <c r="E256" s="61" t="s">
        <v>46</v>
      </c>
      <c r="F256" s="62" t="s">
        <v>46</v>
      </c>
      <c r="G256" s="63" t="s">
        <v>46</v>
      </c>
      <c r="H256" s="64"/>
      <c r="I256" s="64" t="s">
        <v>47</v>
      </c>
      <c r="J256" s="65">
        <v>10</v>
      </c>
      <c r="K256" s="66">
        <f>258</f>
        <v>258</v>
      </c>
      <c r="L256" s="67" t="s">
        <v>77</v>
      </c>
      <c r="M256" s="66">
        <f>261</f>
        <v>261</v>
      </c>
      <c r="N256" s="67" t="s">
        <v>855</v>
      </c>
      <c r="O256" s="66">
        <f>250</f>
        <v>250</v>
      </c>
      <c r="P256" s="67" t="s">
        <v>856</v>
      </c>
      <c r="Q256" s="66">
        <f>258</f>
        <v>258</v>
      </c>
      <c r="R256" s="67" t="s">
        <v>872</v>
      </c>
      <c r="S256" s="68">
        <f>256.56</f>
        <v>256.56</v>
      </c>
      <c r="T256" s="65">
        <f>19620</f>
        <v>19620</v>
      </c>
      <c r="U256" s="65" t="str">
        <f>"－"</f>
        <v>－</v>
      </c>
      <c r="V256" s="65">
        <f>5009730</f>
        <v>5009730</v>
      </c>
      <c r="W256" s="65" t="str">
        <f>"－"</f>
        <v>－</v>
      </c>
      <c r="X256" s="69">
        <f>18</f>
        <v>18</v>
      </c>
    </row>
    <row r="257" spans="1:24">
      <c r="A257" s="60" t="s">
        <v>906</v>
      </c>
      <c r="B257" s="60" t="s">
        <v>819</v>
      </c>
      <c r="C257" s="60" t="s">
        <v>820</v>
      </c>
      <c r="D257" s="60" t="s">
        <v>821</v>
      </c>
      <c r="E257" s="61" t="s">
        <v>46</v>
      </c>
      <c r="F257" s="62" t="s">
        <v>46</v>
      </c>
      <c r="G257" s="63" t="s">
        <v>46</v>
      </c>
      <c r="H257" s="64"/>
      <c r="I257" s="64" t="s">
        <v>47</v>
      </c>
      <c r="J257" s="65">
        <v>10</v>
      </c>
      <c r="K257" s="66">
        <f>2544</f>
        <v>2544</v>
      </c>
      <c r="L257" s="67" t="s">
        <v>77</v>
      </c>
      <c r="M257" s="66">
        <f>2599</f>
        <v>2599</v>
      </c>
      <c r="N257" s="67" t="s">
        <v>872</v>
      </c>
      <c r="O257" s="66">
        <f>2458</f>
        <v>2458</v>
      </c>
      <c r="P257" s="67" t="s">
        <v>92</v>
      </c>
      <c r="Q257" s="66">
        <f>2592</f>
        <v>2592</v>
      </c>
      <c r="R257" s="67" t="s">
        <v>872</v>
      </c>
      <c r="S257" s="68">
        <f>2530.61</f>
        <v>2530.61</v>
      </c>
      <c r="T257" s="65">
        <f>1713690</f>
        <v>1713690</v>
      </c>
      <c r="U257" s="65">
        <f>100</f>
        <v>100</v>
      </c>
      <c r="V257" s="65">
        <f>4318836280</f>
        <v>4318836280</v>
      </c>
      <c r="W257" s="65">
        <f>253280</f>
        <v>253280</v>
      </c>
      <c r="X257" s="69">
        <f>18</f>
        <v>18</v>
      </c>
    </row>
    <row r="258" spans="1:24">
      <c r="A258" s="60" t="s">
        <v>906</v>
      </c>
      <c r="B258" s="60" t="s">
        <v>822</v>
      </c>
      <c r="C258" s="60" t="s">
        <v>823</v>
      </c>
      <c r="D258" s="60" t="s">
        <v>824</v>
      </c>
      <c r="E258" s="61" t="s">
        <v>46</v>
      </c>
      <c r="F258" s="62" t="s">
        <v>46</v>
      </c>
      <c r="G258" s="63" t="s">
        <v>46</v>
      </c>
      <c r="H258" s="64"/>
      <c r="I258" s="64" t="s">
        <v>47</v>
      </c>
      <c r="J258" s="65">
        <v>10</v>
      </c>
      <c r="K258" s="66">
        <f>2430</f>
        <v>2430</v>
      </c>
      <c r="L258" s="67" t="s">
        <v>77</v>
      </c>
      <c r="M258" s="66">
        <f>2474</f>
        <v>2474</v>
      </c>
      <c r="N258" s="67" t="s">
        <v>860</v>
      </c>
      <c r="O258" s="66">
        <f>2338</f>
        <v>2338</v>
      </c>
      <c r="P258" s="67" t="s">
        <v>92</v>
      </c>
      <c r="Q258" s="66">
        <f>2464</f>
        <v>2464</v>
      </c>
      <c r="R258" s="67" t="s">
        <v>872</v>
      </c>
      <c r="S258" s="68">
        <f>2419.94</f>
        <v>2419.94</v>
      </c>
      <c r="T258" s="65">
        <f>4490120</f>
        <v>4490120</v>
      </c>
      <c r="U258" s="65">
        <f>912000</f>
        <v>912000</v>
      </c>
      <c r="V258" s="65">
        <f>10904475656</f>
        <v>10904475656</v>
      </c>
      <c r="W258" s="65">
        <f>2208398356</f>
        <v>2208398356</v>
      </c>
      <c r="X258" s="69">
        <f>18</f>
        <v>18</v>
      </c>
    </row>
    <row r="259" spans="1:24">
      <c r="A259" s="60" t="s">
        <v>906</v>
      </c>
      <c r="B259" s="60" t="s">
        <v>825</v>
      </c>
      <c r="C259" s="60" t="s">
        <v>826</v>
      </c>
      <c r="D259" s="60" t="s">
        <v>827</v>
      </c>
      <c r="E259" s="61" t="s">
        <v>46</v>
      </c>
      <c r="F259" s="62" t="s">
        <v>46</v>
      </c>
      <c r="G259" s="63" t="s">
        <v>46</v>
      </c>
      <c r="H259" s="64"/>
      <c r="I259" s="64" t="s">
        <v>47</v>
      </c>
      <c r="J259" s="65">
        <v>1</v>
      </c>
      <c r="K259" s="66">
        <f>2586</f>
        <v>2586</v>
      </c>
      <c r="L259" s="67" t="s">
        <v>77</v>
      </c>
      <c r="M259" s="66">
        <f>2602</f>
        <v>2602</v>
      </c>
      <c r="N259" s="67" t="s">
        <v>88</v>
      </c>
      <c r="O259" s="66">
        <f>2570</f>
        <v>2570</v>
      </c>
      <c r="P259" s="67" t="s">
        <v>860</v>
      </c>
      <c r="Q259" s="66">
        <f>2598</f>
        <v>2598</v>
      </c>
      <c r="R259" s="67" t="s">
        <v>872</v>
      </c>
      <c r="S259" s="68">
        <f>2582.44</f>
        <v>2582.44</v>
      </c>
      <c r="T259" s="65">
        <f>528220</f>
        <v>528220</v>
      </c>
      <c r="U259" s="65">
        <f>400000</f>
        <v>400000</v>
      </c>
      <c r="V259" s="65">
        <f>1368169692</f>
        <v>1368169692</v>
      </c>
      <c r="W259" s="65">
        <f>1036980000</f>
        <v>1036980000</v>
      </c>
      <c r="X259" s="69">
        <f>18</f>
        <v>18</v>
      </c>
    </row>
    <row r="260" spans="1:24">
      <c r="A260" s="60" t="s">
        <v>906</v>
      </c>
      <c r="B260" s="60" t="s">
        <v>828</v>
      </c>
      <c r="C260" s="60" t="s">
        <v>829</v>
      </c>
      <c r="D260" s="60" t="s">
        <v>830</v>
      </c>
      <c r="E260" s="61" t="s">
        <v>46</v>
      </c>
      <c r="F260" s="62" t="s">
        <v>46</v>
      </c>
      <c r="G260" s="63" t="s">
        <v>46</v>
      </c>
      <c r="H260" s="64"/>
      <c r="I260" s="64" t="s">
        <v>47</v>
      </c>
      <c r="J260" s="65">
        <v>1</v>
      </c>
      <c r="K260" s="66">
        <f>2149</f>
        <v>2149</v>
      </c>
      <c r="L260" s="67" t="s">
        <v>77</v>
      </c>
      <c r="M260" s="66">
        <f>2155</f>
        <v>2155</v>
      </c>
      <c r="N260" s="67" t="s">
        <v>172</v>
      </c>
      <c r="O260" s="66">
        <f>2080</f>
        <v>2080</v>
      </c>
      <c r="P260" s="67" t="s">
        <v>92</v>
      </c>
      <c r="Q260" s="66">
        <f>2133</f>
        <v>2133</v>
      </c>
      <c r="R260" s="67" t="s">
        <v>872</v>
      </c>
      <c r="S260" s="68">
        <f>2117.5</f>
        <v>2117.5</v>
      </c>
      <c r="T260" s="65">
        <f>639682</f>
        <v>639682</v>
      </c>
      <c r="U260" s="65">
        <f>14</f>
        <v>14</v>
      </c>
      <c r="V260" s="65">
        <f>1354558239</f>
        <v>1354558239</v>
      </c>
      <c r="W260" s="65">
        <f>29562</f>
        <v>29562</v>
      </c>
      <c r="X260" s="69">
        <f>18</f>
        <v>18</v>
      </c>
    </row>
    <row r="261" spans="1:24">
      <c r="A261" s="60" t="s">
        <v>906</v>
      </c>
      <c r="B261" s="60" t="s">
        <v>831</v>
      </c>
      <c r="C261" s="60" t="s">
        <v>832</v>
      </c>
      <c r="D261" s="60" t="s">
        <v>833</v>
      </c>
      <c r="E261" s="61" t="s">
        <v>46</v>
      </c>
      <c r="F261" s="62" t="s">
        <v>46</v>
      </c>
      <c r="G261" s="63" t="s">
        <v>46</v>
      </c>
      <c r="H261" s="64"/>
      <c r="I261" s="64" t="s">
        <v>47</v>
      </c>
      <c r="J261" s="65">
        <v>1</v>
      </c>
      <c r="K261" s="66">
        <f>2500</f>
        <v>2500</v>
      </c>
      <c r="L261" s="67" t="s">
        <v>77</v>
      </c>
      <c r="M261" s="66">
        <f>2540</f>
        <v>2540</v>
      </c>
      <c r="N261" s="67" t="s">
        <v>240</v>
      </c>
      <c r="O261" s="66">
        <f>2474</f>
        <v>2474</v>
      </c>
      <c r="P261" s="67" t="s">
        <v>92</v>
      </c>
      <c r="Q261" s="66">
        <f>2501</f>
        <v>2501</v>
      </c>
      <c r="R261" s="67" t="s">
        <v>872</v>
      </c>
      <c r="S261" s="68">
        <f>2501.72</f>
        <v>2501.7199999999998</v>
      </c>
      <c r="T261" s="65">
        <f>55119</f>
        <v>55119</v>
      </c>
      <c r="U261" s="65">
        <f>53130</f>
        <v>53130</v>
      </c>
      <c r="V261" s="65">
        <f>138204469</f>
        <v>138204469</v>
      </c>
      <c r="W261" s="65">
        <f>133229319</f>
        <v>133229319</v>
      </c>
      <c r="X261" s="69">
        <f>18</f>
        <v>18</v>
      </c>
    </row>
    <row r="262" spans="1:24">
      <c r="A262" s="60" t="s">
        <v>906</v>
      </c>
      <c r="B262" s="60" t="s">
        <v>834</v>
      </c>
      <c r="C262" s="60" t="s">
        <v>835</v>
      </c>
      <c r="D262" s="60" t="s">
        <v>836</v>
      </c>
      <c r="E262" s="61" t="s">
        <v>46</v>
      </c>
      <c r="F262" s="62" t="s">
        <v>46</v>
      </c>
      <c r="G262" s="63" t="s">
        <v>46</v>
      </c>
      <c r="H262" s="64"/>
      <c r="I262" s="64" t="s">
        <v>47</v>
      </c>
      <c r="J262" s="65">
        <v>1</v>
      </c>
      <c r="K262" s="66">
        <f>2507</f>
        <v>2507</v>
      </c>
      <c r="L262" s="67" t="s">
        <v>77</v>
      </c>
      <c r="M262" s="66">
        <f>2547</f>
        <v>2547</v>
      </c>
      <c r="N262" s="67" t="s">
        <v>92</v>
      </c>
      <c r="O262" s="66">
        <f>2492</f>
        <v>2492</v>
      </c>
      <c r="P262" s="67" t="s">
        <v>92</v>
      </c>
      <c r="Q262" s="66">
        <f>2500</f>
        <v>2500</v>
      </c>
      <c r="R262" s="67" t="s">
        <v>872</v>
      </c>
      <c r="S262" s="68">
        <f>2503.06</f>
        <v>2503.06</v>
      </c>
      <c r="T262" s="65">
        <f>994</f>
        <v>994</v>
      </c>
      <c r="U262" s="65" t="str">
        <f>"－"</f>
        <v>－</v>
      </c>
      <c r="V262" s="65">
        <f>2492289</f>
        <v>2492289</v>
      </c>
      <c r="W262" s="65" t="str">
        <f>"－"</f>
        <v>－</v>
      </c>
      <c r="X262" s="69">
        <f>18</f>
        <v>18</v>
      </c>
    </row>
    <row r="263" spans="1:24">
      <c r="A263" s="60" t="s">
        <v>906</v>
      </c>
      <c r="B263" s="60" t="s">
        <v>837</v>
      </c>
      <c r="C263" s="60" t="s">
        <v>838</v>
      </c>
      <c r="D263" s="60" t="s">
        <v>839</v>
      </c>
      <c r="E263" s="61" t="s">
        <v>46</v>
      </c>
      <c r="F263" s="62" t="s">
        <v>46</v>
      </c>
      <c r="G263" s="63" t="s">
        <v>46</v>
      </c>
      <c r="H263" s="64"/>
      <c r="I263" s="64" t="s">
        <v>47</v>
      </c>
      <c r="J263" s="65">
        <v>1</v>
      </c>
      <c r="K263" s="66">
        <f>2912</f>
        <v>2912</v>
      </c>
      <c r="L263" s="67" t="s">
        <v>77</v>
      </c>
      <c r="M263" s="66">
        <f>2970</f>
        <v>2970</v>
      </c>
      <c r="N263" s="67" t="s">
        <v>860</v>
      </c>
      <c r="O263" s="66">
        <f>2747</f>
        <v>2747</v>
      </c>
      <c r="P263" s="67" t="s">
        <v>92</v>
      </c>
      <c r="Q263" s="66">
        <f>2896</f>
        <v>2896</v>
      </c>
      <c r="R263" s="67" t="s">
        <v>872</v>
      </c>
      <c r="S263" s="68">
        <f>2856.78</f>
        <v>2856.78</v>
      </c>
      <c r="T263" s="65">
        <f>71156</f>
        <v>71156</v>
      </c>
      <c r="U263" s="65">
        <f>30000</f>
        <v>30000</v>
      </c>
      <c r="V263" s="65">
        <f>200176950</f>
        <v>200176950</v>
      </c>
      <c r="W263" s="65">
        <f>83778800</f>
        <v>83778800</v>
      </c>
      <c r="X263" s="69">
        <f>18</f>
        <v>18</v>
      </c>
    </row>
    <row r="264" spans="1:24">
      <c r="A264" s="60" t="s">
        <v>906</v>
      </c>
      <c r="B264" s="60" t="s">
        <v>840</v>
      </c>
      <c r="C264" s="60" t="s">
        <v>841</v>
      </c>
      <c r="D264" s="60" t="s">
        <v>842</v>
      </c>
      <c r="E264" s="61" t="s">
        <v>46</v>
      </c>
      <c r="F264" s="62" t="s">
        <v>46</v>
      </c>
      <c r="G264" s="63" t="s">
        <v>46</v>
      </c>
      <c r="H264" s="64"/>
      <c r="I264" s="64" t="s">
        <v>47</v>
      </c>
      <c r="J264" s="65">
        <v>1</v>
      </c>
      <c r="K264" s="66">
        <f>1923</f>
        <v>1923</v>
      </c>
      <c r="L264" s="67" t="s">
        <v>77</v>
      </c>
      <c r="M264" s="66">
        <f>1956</f>
        <v>1956</v>
      </c>
      <c r="N264" s="67" t="s">
        <v>860</v>
      </c>
      <c r="O264" s="66">
        <f>1848</f>
        <v>1848</v>
      </c>
      <c r="P264" s="67" t="s">
        <v>92</v>
      </c>
      <c r="Q264" s="66">
        <f>1925</f>
        <v>1925</v>
      </c>
      <c r="R264" s="67" t="s">
        <v>872</v>
      </c>
      <c r="S264" s="68">
        <f>1910.56</f>
        <v>1910.56</v>
      </c>
      <c r="T264" s="65">
        <f>59498</f>
        <v>59498</v>
      </c>
      <c r="U264" s="65">
        <f>20000</f>
        <v>20000</v>
      </c>
      <c r="V264" s="65">
        <f>112720175</f>
        <v>112720175</v>
      </c>
      <c r="W264" s="65">
        <f>38112000</f>
        <v>38112000</v>
      </c>
      <c r="X264" s="69">
        <f>18</f>
        <v>18</v>
      </c>
    </row>
    <row r="265" spans="1:24">
      <c r="A265" s="60" t="s">
        <v>906</v>
      </c>
      <c r="B265" s="60" t="s">
        <v>843</v>
      </c>
      <c r="C265" s="60" t="s">
        <v>844</v>
      </c>
      <c r="D265" s="60" t="s">
        <v>845</v>
      </c>
      <c r="E265" s="61" t="s">
        <v>46</v>
      </c>
      <c r="F265" s="62" t="s">
        <v>46</v>
      </c>
      <c r="G265" s="63" t="s">
        <v>46</v>
      </c>
      <c r="H265" s="64"/>
      <c r="I265" s="64" t="s">
        <v>47</v>
      </c>
      <c r="J265" s="65">
        <v>1</v>
      </c>
      <c r="K265" s="66">
        <f>2120</f>
        <v>2120</v>
      </c>
      <c r="L265" s="67" t="s">
        <v>77</v>
      </c>
      <c r="M265" s="66">
        <f>2124</f>
        <v>2124</v>
      </c>
      <c r="N265" s="67" t="s">
        <v>77</v>
      </c>
      <c r="O265" s="66">
        <f>1960</f>
        <v>1960</v>
      </c>
      <c r="P265" s="67" t="s">
        <v>92</v>
      </c>
      <c r="Q265" s="66">
        <f>2072</f>
        <v>2072</v>
      </c>
      <c r="R265" s="67" t="s">
        <v>872</v>
      </c>
      <c r="S265" s="68">
        <f>2047.56</f>
        <v>2047.56</v>
      </c>
      <c r="T265" s="65">
        <f>199384</f>
        <v>199384</v>
      </c>
      <c r="U265" s="65">
        <f>18</f>
        <v>18</v>
      </c>
      <c r="V265" s="65">
        <f>402880074</f>
        <v>402880074</v>
      </c>
      <c r="W265" s="65">
        <f>36679</f>
        <v>36679</v>
      </c>
      <c r="X265" s="69">
        <f>18</f>
        <v>18</v>
      </c>
    </row>
    <row r="266" spans="1:24">
      <c r="A266" s="60" t="s">
        <v>906</v>
      </c>
      <c r="B266" s="60" t="s">
        <v>849</v>
      </c>
      <c r="C266" s="60" t="s">
        <v>850</v>
      </c>
      <c r="D266" s="60" t="s">
        <v>851</v>
      </c>
      <c r="E266" s="61" t="s">
        <v>46</v>
      </c>
      <c r="F266" s="62" t="s">
        <v>46</v>
      </c>
      <c r="G266" s="63" t="s">
        <v>46</v>
      </c>
      <c r="H266" s="64"/>
      <c r="I266" s="64" t="s">
        <v>47</v>
      </c>
      <c r="J266" s="65">
        <v>1</v>
      </c>
      <c r="K266" s="66">
        <f>2185</f>
        <v>2185</v>
      </c>
      <c r="L266" s="67" t="s">
        <v>77</v>
      </c>
      <c r="M266" s="66">
        <f>2206</f>
        <v>2206</v>
      </c>
      <c r="N266" s="67" t="s">
        <v>77</v>
      </c>
      <c r="O266" s="66">
        <f>1995</f>
        <v>1995</v>
      </c>
      <c r="P266" s="67" t="s">
        <v>92</v>
      </c>
      <c r="Q266" s="66">
        <f>2171</f>
        <v>2171</v>
      </c>
      <c r="R266" s="67" t="s">
        <v>872</v>
      </c>
      <c r="S266" s="68">
        <f>2111.28</f>
        <v>2111.2800000000002</v>
      </c>
      <c r="T266" s="65">
        <f>316606</f>
        <v>316606</v>
      </c>
      <c r="U266" s="65" t="str">
        <f>"－"</f>
        <v>－</v>
      </c>
      <c r="V266" s="65">
        <f>667124673</f>
        <v>667124673</v>
      </c>
      <c r="W266" s="65" t="str">
        <f>"－"</f>
        <v>－</v>
      </c>
      <c r="X266" s="69">
        <f>18</f>
        <v>18</v>
      </c>
    </row>
    <row r="267" spans="1:24">
      <c r="A267" s="60" t="s">
        <v>906</v>
      </c>
      <c r="B267" s="60" t="s">
        <v>899</v>
      </c>
      <c r="C267" s="60" t="s">
        <v>900</v>
      </c>
      <c r="D267" s="60" t="s">
        <v>901</v>
      </c>
      <c r="E267" s="61" t="s">
        <v>46</v>
      </c>
      <c r="F267" s="62" t="s">
        <v>46</v>
      </c>
      <c r="G267" s="63" t="s">
        <v>46</v>
      </c>
      <c r="H267" s="64"/>
      <c r="I267" s="64" t="s">
        <v>47</v>
      </c>
      <c r="J267" s="65">
        <v>1</v>
      </c>
      <c r="K267" s="66">
        <f>2272</f>
        <v>2272</v>
      </c>
      <c r="L267" s="67" t="s">
        <v>77</v>
      </c>
      <c r="M267" s="66">
        <f>2499</f>
        <v>2499</v>
      </c>
      <c r="N267" s="67" t="s">
        <v>872</v>
      </c>
      <c r="O267" s="66">
        <f>2151</f>
        <v>2151</v>
      </c>
      <c r="P267" s="67" t="s">
        <v>875</v>
      </c>
      <c r="Q267" s="66">
        <f>2498</f>
        <v>2498</v>
      </c>
      <c r="R267" s="67" t="s">
        <v>872</v>
      </c>
      <c r="S267" s="68">
        <f>2287.56</f>
        <v>2287.56</v>
      </c>
      <c r="T267" s="65">
        <f>31820</f>
        <v>31820</v>
      </c>
      <c r="U267" s="65" t="str">
        <f>"－"</f>
        <v>－</v>
      </c>
      <c r="V267" s="65">
        <f>73192139</f>
        <v>73192139</v>
      </c>
      <c r="W267" s="65" t="str">
        <f>"－"</f>
        <v>－</v>
      </c>
      <c r="X267" s="69">
        <f>18</f>
        <v>18</v>
      </c>
    </row>
    <row r="268" spans="1:24">
      <c r="A268" s="60" t="s">
        <v>906</v>
      </c>
      <c r="B268" s="60" t="s">
        <v>903</v>
      </c>
      <c r="C268" s="60" t="s">
        <v>904</v>
      </c>
      <c r="D268" s="60" t="s">
        <v>905</v>
      </c>
      <c r="E268" s="61" t="s">
        <v>46</v>
      </c>
      <c r="F268" s="62" t="s">
        <v>46</v>
      </c>
      <c r="G268" s="63" t="s">
        <v>46</v>
      </c>
      <c r="H268" s="64"/>
      <c r="I268" s="64" t="s">
        <v>47</v>
      </c>
      <c r="J268" s="65">
        <v>1</v>
      </c>
      <c r="K268" s="66">
        <f>2859</f>
        <v>2859</v>
      </c>
      <c r="L268" s="67" t="s">
        <v>77</v>
      </c>
      <c r="M268" s="66">
        <f>3025</f>
        <v>3025</v>
      </c>
      <c r="N268" s="67" t="s">
        <v>872</v>
      </c>
      <c r="O268" s="66">
        <f>2760</f>
        <v>2760</v>
      </c>
      <c r="P268" s="67" t="s">
        <v>92</v>
      </c>
      <c r="Q268" s="66">
        <f>2981</f>
        <v>2981</v>
      </c>
      <c r="R268" s="67" t="s">
        <v>872</v>
      </c>
      <c r="S268" s="68">
        <f>2870.83</f>
        <v>2870.83</v>
      </c>
      <c r="T268" s="65">
        <f>17209</f>
        <v>17209</v>
      </c>
      <c r="U268" s="65" t="str">
        <f>"－"</f>
        <v>－</v>
      </c>
      <c r="V268" s="65">
        <f>49448695</f>
        <v>49448695</v>
      </c>
      <c r="W268" s="65" t="str">
        <f>"－"</f>
        <v>－</v>
      </c>
      <c r="X268" s="69">
        <f>18</f>
        <v>18</v>
      </c>
    </row>
    <row r="269" spans="1:24">
      <c r="A269" s="60" t="s">
        <v>906</v>
      </c>
      <c r="B269" s="60" t="s">
        <v>861</v>
      </c>
      <c r="C269" s="60" t="s">
        <v>862</v>
      </c>
      <c r="D269" s="60" t="s">
        <v>863</v>
      </c>
      <c r="E269" s="61" t="s">
        <v>46</v>
      </c>
      <c r="F269" s="62" t="s">
        <v>46</v>
      </c>
      <c r="G269" s="63" t="s">
        <v>46</v>
      </c>
      <c r="H269" s="64"/>
      <c r="I269" s="64" t="s">
        <v>47</v>
      </c>
      <c r="J269" s="65">
        <v>1</v>
      </c>
      <c r="K269" s="66">
        <f>10770</f>
        <v>10770</v>
      </c>
      <c r="L269" s="67" t="s">
        <v>77</v>
      </c>
      <c r="M269" s="66">
        <f>10970</f>
        <v>10970</v>
      </c>
      <c r="N269" s="67" t="s">
        <v>860</v>
      </c>
      <c r="O269" s="66">
        <f>10500</f>
        <v>10500</v>
      </c>
      <c r="P269" s="67" t="s">
        <v>92</v>
      </c>
      <c r="Q269" s="66">
        <f>10890</f>
        <v>10890</v>
      </c>
      <c r="R269" s="67" t="s">
        <v>872</v>
      </c>
      <c r="S269" s="68">
        <f>10772.78</f>
        <v>10772.78</v>
      </c>
      <c r="T269" s="65">
        <f>55057</f>
        <v>55057</v>
      </c>
      <c r="U269" s="65" t="str">
        <f>"－"</f>
        <v>－</v>
      </c>
      <c r="V269" s="65">
        <f>586979810</f>
        <v>586979810</v>
      </c>
      <c r="W269" s="65" t="str">
        <f>"－"</f>
        <v>－</v>
      </c>
      <c r="X269" s="69">
        <f>18</f>
        <v>18</v>
      </c>
    </row>
    <row r="270" spans="1:24">
      <c r="A270" s="60" t="s">
        <v>906</v>
      </c>
      <c r="B270" s="60" t="s">
        <v>865</v>
      </c>
      <c r="C270" s="60" t="s">
        <v>866</v>
      </c>
      <c r="D270" s="60" t="s">
        <v>867</v>
      </c>
      <c r="E270" s="61" t="s">
        <v>46</v>
      </c>
      <c r="F270" s="62" t="s">
        <v>46</v>
      </c>
      <c r="G270" s="63" t="s">
        <v>46</v>
      </c>
      <c r="H270" s="64"/>
      <c r="I270" s="64" t="s">
        <v>47</v>
      </c>
      <c r="J270" s="65">
        <v>1</v>
      </c>
      <c r="K270" s="66">
        <f>10620</f>
        <v>10620</v>
      </c>
      <c r="L270" s="67" t="s">
        <v>77</v>
      </c>
      <c r="M270" s="66">
        <f>10850</f>
        <v>10850</v>
      </c>
      <c r="N270" s="67" t="s">
        <v>872</v>
      </c>
      <c r="O270" s="66">
        <f>10260</f>
        <v>10260</v>
      </c>
      <c r="P270" s="67" t="s">
        <v>92</v>
      </c>
      <c r="Q270" s="66">
        <f>10810</f>
        <v>10810</v>
      </c>
      <c r="R270" s="67" t="s">
        <v>872</v>
      </c>
      <c r="S270" s="68">
        <f>10562.78</f>
        <v>10562.78</v>
      </c>
      <c r="T270" s="65">
        <f>170425</f>
        <v>170425</v>
      </c>
      <c r="U270" s="65">
        <f>86</f>
        <v>86</v>
      </c>
      <c r="V270" s="65">
        <f>1794668690</f>
        <v>1794668690</v>
      </c>
      <c r="W270" s="65">
        <f>887340</f>
        <v>887340</v>
      </c>
      <c r="X270" s="69">
        <f>18</f>
        <v>18</v>
      </c>
    </row>
    <row r="271" spans="1:24">
      <c r="A271" s="60" t="s">
        <v>906</v>
      </c>
      <c r="B271" s="60" t="s">
        <v>868</v>
      </c>
      <c r="C271" s="60" t="s">
        <v>869</v>
      </c>
      <c r="D271" s="60" t="s">
        <v>870</v>
      </c>
      <c r="E271" s="61" t="s">
        <v>46</v>
      </c>
      <c r="F271" s="62" t="s">
        <v>46</v>
      </c>
      <c r="G271" s="63" t="s">
        <v>46</v>
      </c>
      <c r="H271" s="64"/>
      <c r="I271" s="64" t="s">
        <v>47</v>
      </c>
      <c r="J271" s="65">
        <v>1</v>
      </c>
      <c r="K271" s="66">
        <f>10230</f>
        <v>10230</v>
      </c>
      <c r="L271" s="67" t="s">
        <v>77</v>
      </c>
      <c r="M271" s="66">
        <f>10420</f>
        <v>10420</v>
      </c>
      <c r="N271" s="67" t="s">
        <v>860</v>
      </c>
      <c r="O271" s="66">
        <f>9850</f>
        <v>9850</v>
      </c>
      <c r="P271" s="67" t="s">
        <v>92</v>
      </c>
      <c r="Q271" s="66">
        <f>10380</f>
        <v>10380</v>
      </c>
      <c r="R271" s="67" t="s">
        <v>872</v>
      </c>
      <c r="S271" s="68">
        <f>10191.11</f>
        <v>10191.11</v>
      </c>
      <c r="T271" s="65">
        <f>208370</f>
        <v>208370</v>
      </c>
      <c r="U271" s="65">
        <f>48000</f>
        <v>48000</v>
      </c>
      <c r="V271" s="65">
        <f>2134672160</f>
        <v>2134672160</v>
      </c>
      <c r="W271" s="65">
        <f>498144000</f>
        <v>498144000</v>
      </c>
      <c r="X271" s="69">
        <f>18</f>
        <v>18</v>
      </c>
    </row>
    <row r="272" spans="1:24">
      <c r="A272" s="60" t="s">
        <v>906</v>
      </c>
      <c r="B272" s="60" t="s">
        <v>879</v>
      </c>
      <c r="C272" s="60" t="s">
        <v>880</v>
      </c>
      <c r="D272" s="60" t="s">
        <v>881</v>
      </c>
      <c r="E272" s="61" t="s">
        <v>46</v>
      </c>
      <c r="F272" s="62" t="s">
        <v>46</v>
      </c>
      <c r="G272" s="63" t="s">
        <v>46</v>
      </c>
      <c r="H272" s="64"/>
      <c r="I272" s="64" t="s">
        <v>47</v>
      </c>
      <c r="J272" s="65">
        <v>10</v>
      </c>
      <c r="K272" s="66">
        <f>2100</f>
        <v>2100</v>
      </c>
      <c r="L272" s="67" t="s">
        <v>77</v>
      </c>
      <c r="M272" s="66">
        <f>2142</f>
        <v>2142</v>
      </c>
      <c r="N272" s="67" t="s">
        <v>88</v>
      </c>
      <c r="O272" s="66">
        <f>2057</f>
        <v>2057</v>
      </c>
      <c r="P272" s="67" t="s">
        <v>92</v>
      </c>
      <c r="Q272" s="66">
        <f>2131</f>
        <v>2131</v>
      </c>
      <c r="R272" s="67" t="s">
        <v>872</v>
      </c>
      <c r="S272" s="68">
        <f>2100.17</f>
        <v>2100.17</v>
      </c>
      <c r="T272" s="65">
        <f>689680</f>
        <v>689680</v>
      </c>
      <c r="U272" s="65">
        <f>500</f>
        <v>500</v>
      </c>
      <c r="V272" s="65">
        <f>1440398460</f>
        <v>1440398460</v>
      </c>
      <c r="W272" s="65">
        <f>1037500</f>
        <v>1037500</v>
      </c>
      <c r="X272" s="69">
        <f>18</f>
        <v>18</v>
      </c>
    </row>
    <row r="273" spans="1:24">
      <c r="A273" s="60" t="s">
        <v>906</v>
      </c>
      <c r="B273" s="60" t="s">
        <v>883</v>
      </c>
      <c r="C273" s="60" t="s">
        <v>884</v>
      </c>
      <c r="D273" s="60" t="s">
        <v>885</v>
      </c>
      <c r="E273" s="61" t="s">
        <v>46</v>
      </c>
      <c r="F273" s="62" t="s">
        <v>46</v>
      </c>
      <c r="G273" s="63" t="s">
        <v>46</v>
      </c>
      <c r="H273" s="64"/>
      <c r="I273" s="64" t="s">
        <v>47</v>
      </c>
      <c r="J273" s="65">
        <v>10</v>
      </c>
      <c r="K273" s="66">
        <f>2104</f>
        <v>2104</v>
      </c>
      <c r="L273" s="67" t="s">
        <v>77</v>
      </c>
      <c r="M273" s="66">
        <f>2141</f>
        <v>2141</v>
      </c>
      <c r="N273" s="67" t="s">
        <v>860</v>
      </c>
      <c r="O273" s="66">
        <f>2051</f>
        <v>2051</v>
      </c>
      <c r="P273" s="67" t="s">
        <v>92</v>
      </c>
      <c r="Q273" s="66">
        <f>2128</f>
        <v>2128</v>
      </c>
      <c r="R273" s="67" t="s">
        <v>872</v>
      </c>
      <c r="S273" s="68">
        <f>2104.94</f>
        <v>2104.94</v>
      </c>
      <c r="T273" s="65">
        <f>567370</f>
        <v>567370</v>
      </c>
      <c r="U273" s="65">
        <f>324000</f>
        <v>324000</v>
      </c>
      <c r="V273" s="65">
        <f>1185053144</f>
        <v>1185053144</v>
      </c>
      <c r="W273" s="65">
        <f>674892384</f>
        <v>674892384</v>
      </c>
      <c r="X273" s="69">
        <f>18</f>
        <v>18</v>
      </c>
    </row>
    <row r="274" spans="1:24">
      <c r="A274" s="60" t="s">
        <v>906</v>
      </c>
      <c r="B274" s="60" t="s">
        <v>886</v>
      </c>
      <c r="C274" s="60" t="s">
        <v>887</v>
      </c>
      <c r="D274" s="60" t="s">
        <v>888</v>
      </c>
      <c r="E274" s="61" t="s">
        <v>46</v>
      </c>
      <c r="F274" s="62" t="s">
        <v>46</v>
      </c>
      <c r="G274" s="63" t="s">
        <v>46</v>
      </c>
      <c r="H274" s="64"/>
      <c r="I274" s="64" t="s">
        <v>47</v>
      </c>
      <c r="J274" s="65">
        <v>10</v>
      </c>
      <c r="K274" s="66">
        <f>2104</f>
        <v>2104</v>
      </c>
      <c r="L274" s="67" t="s">
        <v>77</v>
      </c>
      <c r="M274" s="66">
        <f>2138</f>
        <v>2138</v>
      </c>
      <c r="N274" s="67" t="s">
        <v>88</v>
      </c>
      <c r="O274" s="66">
        <f>2060</f>
        <v>2060</v>
      </c>
      <c r="P274" s="67" t="s">
        <v>92</v>
      </c>
      <c r="Q274" s="66">
        <f>2132</f>
        <v>2132</v>
      </c>
      <c r="R274" s="67" t="s">
        <v>872</v>
      </c>
      <c r="S274" s="68">
        <f>2101.89</f>
        <v>2101.89</v>
      </c>
      <c r="T274" s="65">
        <f>277500</f>
        <v>277500</v>
      </c>
      <c r="U274" s="65" t="str">
        <f>"－"</f>
        <v>－</v>
      </c>
      <c r="V274" s="65">
        <f>582453800</f>
        <v>582453800</v>
      </c>
      <c r="W274" s="65" t="str">
        <f>"－"</f>
        <v>－</v>
      </c>
      <c r="X274" s="69">
        <f>18</f>
        <v>18</v>
      </c>
    </row>
    <row r="275" spans="1:24">
      <c r="A275" s="60" t="s">
        <v>906</v>
      </c>
      <c r="B275" s="60" t="s">
        <v>889</v>
      </c>
      <c r="C275" s="60" t="s">
        <v>890</v>
      </c>
      <c r="D275" s="60" t="s">
        <v>891</v>
      </c>
      <c r="E275" s="61" t="s">
        <v>46</v>
      </c>
      <c r="F275" s="62" t="s">
        <v>46</v>
      </c>
      <c r="G275" s="63" t="s">
        <v>46</v>
      </c>
      <c r="H275" s="64"/>
      <c r="I275" s="64" t="s">
        <v>47</v>
      </c>
      <c r="J275" s="65">
        <v>1</v>
      </c>
      <c r="K275" s="66">
        <f>2623</f>
        <v>2623</v>
      </c>
      <c r="L275" s="67" t="s">
        <v>77</v>
      </c>
      <c r="M275" s="66">
        <f>2655</f>
        <v>2655</v>
      </c>
      <c r="N275" s="67" t="s">
        <v>872</v>
      </c>
      <c r="O275" s="66">
        <f>2495</f>
        <v>2495</v>
      </c>
      <c r="P275" s="67" t="s">
        <v>92</v>
      </c>
      <c r="Q275" s="66">
        <f>2624</f>
        <v>2624</v>
      </c>
      <c r="R275" s="67" t="s">
        <v>872</v>
      </c>
      <c r="S275" s="68">
        <f>2579.61</f>
        <v>2579.61</v>
      </c>
      <c r="T275" s="65">
        <f>19321</f>
        <v>19321</v>
      </c>
      <c r="U275" s="65" t="str">
        <f>"－"</f>
        <v>－</v>
      </c>
      <c r="V275" s="65">
        <f>49886060</f>
        <v>49886060</v>
      </c>
      <c r="W275" s="65" t="str">
        <f>"－"</f>
        <v>－</v>
      </c>
      <c r="X275" s="69">
        <f>18</f>
        <v>18</v>
      </c>
    </row>
    <row r="276" spans="1:24">
      <c r="A276" s="60" t="s">
        <v>906</v>
      </c>
      <c r="B276" s="60" t="s">
        <v>892</v>
      </c>
      <c r="C276" s="60" t="s">
        <v>893</v>
      </c>
      <c r="D276" s="60" t="s">
        <v>894</v>
      </c>
      <c r="E276" s="61" t="s">
        <v>46</v>
      </c>
      <c r="F276" s="62" t="s">
        <v>46</v>
      </c>
      <c r="G276" s="63" t="s">
        <v>46</v>
      </c>
      <c r="H276" s="64"/>
      <c r="I276" s="64" t="s">
        <v>47</v>
      </c>
      <c r="J276" s="65">
        <v>1</v>
      </c>
      <c r="K276" s="66">
        <f>1729</f>
        <v>1729</v>
      </c>
      <c r="L276" s="67" t="s">
        <v>77</v>
      </c>
      <c r="M276" s="66">
        <f>1729</f>
        <v>1729</v>
      </c>
      <c r="N276" s="67" t="s">
        <v>77</v>
      </c>
      <c r="O276" s="66">
        <f>1591</f>
        <v>1591</v>
      </c>
      <c r="P276" s="67" t="s">
        <v>92</v>
      </c>
      <c r="Q276" s="66">
        <f>1676</f>
        <v>1676</v>
      </c>
      <c r="R276" s="67" t="s">
        <v>872</v>
      </c>
      <c r="S276" s="68">
        <f>1655.5</f>
        <v>1655.5</v>
      </c>
      <c r="T276" s="65">
        <f>50349</f>
        <v>50349</v>
      </c>
      <c r="U276" s="65">
        <f>5</f>
        <v>5</v>
      </c>
      <c r="V276" s="65">
        <f>82923462</f>
        <v>82923462</v>
      </c>
      <c r="W276" s="65">
        <f>8150</f>
        <v>8150</v>
      </c>
      <c r="X276" s="69">
        <f>18</f>
        <v>18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75937-91A9-4B03-9269-AFCCF134F843}">
  <sheetPr>
    <pageSetUpPr fitToPage="1"/>
  </sheetPr>
  <dimension ref="A1:X278"/>
  <sheetViews>
    <sheetView showGridLines="0" view="pageBreakPreview" zoomScaleNormal="70" zoomScaleSheetLayoutView="100" workbookViewId="0">
      <pane ySplit="6" topLeftCell="A7" activePane="bottomLeft" state="frozen"/>
      <selection pane="bottomLeft"/>
    </sheetView>
  </sheetViews>
  <sheetFormatPr defaultColWidth="9" defaultRowHeight="13.2"/>
  <cols>
    <col min="1" max="1" width="13.109375" style="1" bestFit="1" customWidth="1"/>
    <col min="2" max="2" width="10.77734375" style="1" bestFit="1" customWidth="1"/>
    <col min="3" max="4" width="27.6640625" style="1" customWidth="1"/>
    <col min="5" max="5" width="13.77734375" style="1" bestFit="1" customWidth="1"/>
    <col min="6" max="6" width="20.77734375" style="1" bestFit="1" customWidth="1"/>
    <col min="7" max="7" width="11.21875" style="1" customWidth="1"/>
    <col min="8" max="8" width="8.77734375" style="1" bestFit="1" customWidth="1"/>
    <col min="9" max="9" width="11.77734375" style="1" bestFit="1" customWidth="1"/>
    <col min="10" max="10" width="12.6640625" style="1" bestFit="1" customWidth="1"/>
    <col min="11" max="11" width="16.21875" style="1" customWidth="1"/>
    <col min="12" max="12" width="5.6640625" style="1" bestFit="1" customWidth="1"/>
    <col min="13" max="13" width="16.21875" style="1" customWidth="1"/>
    <col min="14" max="14" width="5.6640625" style="1" bestFit="1" customWidth="1"/>
    <col min="15" max="15" width="16.21875" style="1" customWidth="1"/>
    <col min="16" max="16" width="5.6640625" style="1" bestFit="1" customWidth="1"/>
    <col min="17" max="17" width="16.21875" style="1" customWidth="1"/>
    <col min="18" max="18" width="5.6640625" style="1" bestFit="1" customWidth="1"/>
    <col min="19" max="19" width="23.88671875" style="1" bestFit="1" customWidth="1"/>
    <col min="20" max="20" width="16.21875" style="1" customWidth="1"/>
    <col min="21" max="21" width="24.109375" style="1" customWidth="1"/>
    <col min="22" max="22" width="19.88671875" style="1" bestFit="1" customWidth="1"/>
    <col min="23" max="23" width="25" style="1" bestFit="1" customWidth="1"/>
    <col min="24" max="24" width="13.109375" style="1" bestFit="1" customWidth="1"/>
    <col min="25" max="16384" width="9" style="1"/>
  </cols>
  <sheetData>
    <row r="1" spans="1:24" ht="13.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70" t="s">
        <v>22</v>
      </c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4" ht="99" customHeight="1">
      <c r="A2" s="76" t="s">
        <v>23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2"/>
      <c r="O2" s="72"/>
      <c r="P2" s="72"/>
      <c r="Q2" s="72"/>
      <c r="R2" s="72"/>
      <c r="S2" s="72"/>
      <c r="T2" s="72"/>
      <c r="U2" s="72"/>
      <c r="V2" s="72"/>
      <c r="W2" s="72"/>
      <c r="X2" s="73"/>
    </row>
    <row r="3" spans="1:24" ht="39" customHeight="1">
      <c r="A3" s="78" t="s">
        <v>24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</row>
    <row r="4" spans="1:24" s="2" customFormat="1" ht="13.5" customHeight="1">
      <c r="A4" s="40" t="s">
        <v>25</v>
      </c>
      <c r="B4" s="40" t="s">
        <v>0</v>
      </c>
      <c r="C4" s="40"/>
      <c r="D4" s="40"/>
      <c r="E4" s="41"/>
      <c r="F4" s="42"/>
      <c r="G4" s="43" t="s">
        <v>2</v>
      </c>
      <c r="H4" s="40" t="s">
        <v>26</v>
      </c>
      <c r="I4" s="40" t="s">
        <v>3</v>
      </c>
      <c r="J4" s="40" t="s">
        <v>4</v>
      </c>
      <c r="K4" s="44" t="s">
        <v>5</v>
      </c>
      <c r="L4" s="43" t="s">
        <v>2</v>
      </c>
      <c r="M4" s="44" t="s">
        <v>6</v>
      </c>
      <c r="N4" s="43" t="s">
        <v>2</v>
      </c>
      <c r="O4" s="44" t="s">
        <v>7</v>
      </c>
      <c r="P4" s="43" t="s">
        <v>2</v>
      </c>
      <c r="Q4" s="44" t="s">
        <v>8</v>
      </c>
      <c r="R4" s="43" t="s">
        <v>2</v>
      </c>
      <c r="S4" s="40" t="s">
        <v>9</v>
      </c>
      <c r="T4" s="40" t="s">
        <v>10</v>
      </c>
      <c r="U4" s="45" t="s">
        <v>11</v>
      </c>
      <c r="V4" s="40" t="s">
        <v>12</v>
      </c>
      <c r="W4" s="40" t="s">
        <v>13</v>
      </c>
      <c r="X4" s="40" t="s">
        <v>14</v>
      </c>
    </row>
    <row r="5" spans="1:24">
      <c r="A5" s="46" t="s">
        <v>27</v>
      </c>
      <c r="B5" s="46" t="s">
        <v>28</v>
      </c>
      <c r="C5" s="46" t="s">
        <v>29</v>
      </c>
      <c r="D5" s="46" t="s">
        <v>1</v>
      </c>
      <c r="E5" s="47" t="s">
        <v>30</v>
      </c>
      <c r="F5" s="48" t="s">
        <v>31</v>
      </c>
      <c r="G5" s="49" t="s">
        <v>32</v>
      </c>
      <c r="H5" s="50" t="s">
        <v>33</v>
      </c>
      <c r="I5" s="50" t="s">
        <v>15</v>
      </c>
      <c r="J5" s="50" t="s">
        <v>34</v>
      </c>
      <c r="K5" s="51" t="s">
        <v>16</v>
      </c>
      <c r="L5" s="49" t="s">
        <v>32</v>
      </c>
      <c r="M5" s="51" t="s">
        <v>35</v>
      </c>
      <c r="N5" s="49" t="s">
        <v>32</v>
      </c>
      <c r="O5" s="51" t="s">
        <v>17</v>
      </c>
      <c r="P5" s="49" t="s">
        <v>32</v>
      </c>
      <c r="Q5" s="51" t="s">
        <v>18</v>
      </c>
      <c r="R5" s="49" t="s">
        <v>32</v>
      </c>
      <c r="S5" s="52" t="s">
        <v>36</v>
      </c>
      <c r="T5" s="52" t="s">
        <v>19</v>
      </c>
      <c r="U5" s="46" t="s">
        <v>37</v>
      </c>
      <c r="V5" s="52" t="s">
        <v>20</v>
      </c>
      <c r="W5" s="52" t="s">
        <v>38</v>
      </c>
      <c r="X5" s="52" t="s">
        <v>39</v>
      </c>
    </row>
    <row r="6" spans="1:24">
      <c r="A6" s="53"/>
      <c r="B6" s="53"/>
      <c r="C6" s="53"/>
      <c r="D6" s="53"/>
      <c r="E6" s="54"/>
      <c r="F6" s="55"/>
      <c r="G6" s="56"/>
      <c r="H6" s="57"/>
      <c r="I6" s="57"/>
      <c r="J6" s="57" t="s">
        <v>40</v>
      </c>
      <c r="K6" s="58" t="s">
        <v>41</v>
      </c>
      <c r="L6" s="59"/>
      <c r="M6" s="58" t="s">
        <v>41</v>
      </c>
      <c r="N6" s="59"/>
      <c r="O6" s="58" t="s">
        <v>41</v>
      </c>
      <c r="P6" s="59"/>
      <c r="Q6" s="58" t="s">
        <v>41</v>
      </c>
      <c r="R6" s="59"/>
      <c r="S6" s="58" t="s">
        <v>41</v>
      </c>
      <c r="T6" s="57" t="s">
        <v>21</v>
      </c>
      <c r="U6" s="57" t="s">
        <v>21</v>
      </c>
      <c r="V6" s="58" t="s">
        <v>41</v>
      </c>
      <c r="W6" s="58" t="s">
        <v>41</v>
      </c>
      <c r="X6" s="57"/>
    </row>
    <row r="7" spans="1:24" s="28" customFormat="1" ht="13.5" customHeight="1">
      <c r="A7" s="60" t="s">
        <v>895</v>
      </c>
      <c r="B7" s="60" t="s">
        <v>43</v>
      </c>
      <c r="C7" s="60" t="s">
        <v>44</v>
      </c>
      <c r="D7" s="60" t="s">
        <v>45</v>
      </c>
      <c r="E7" s="61" t="s">
        <v>46</v>
      </c>
      <c r="F7" s="62" t="s">
        <v>46</v>
      </c>
      <c r="G7" s="63" t="s">
        <v>46</v>
      </c>
      <c r="H7" s="64"/>
      <c r="I7" s="64" t="s">
        <v>47</v>
      </c>
      <c r="J7" s="65">
        <v>10</v>
      </c>
      <c r="K7" s="66">
        <f>2092</f>
        <v>2092</v>
      </c>
      <c r="L7" s="67" t="s">
        <v>853</v>
      </c>
      <c r="M7" s="66">
        <f>2110</f>
        <v>2110</v>
      </c>
      <c r="N7" s="67" t="s">
        <v>77</v>
      </c>
      <c r="O7" s="66">
        <f>1995</f>
        <v>1995</v>
      </c>
      <c r="P7" s="67" t="s">
        <v>268</v>
      </c>
      <c r="Q7" s="66">
        <f>2018</f>
        <v>2018</v>
      </c>
      <c r="R7" s="67" t="s">
        <v>873</v>
      </c>
      <c r="S7" s="68">
        <f>2060.62</f>
        <v>2060.62</v>
      </c>
      <c r="T7" s="65">
        <f>24727030</f>
        <v>24727030</v>
      </c>
      <c r="U7" s="65">
        <f>15326100</f>
        <v>15326100</v>
      </c>
      <c r="V7" s="65">
        <f>51513754010</f>
        <v>51513754010</v>
      </c>
      <c r="W7" s="65">
        <f>32133208890</f>
        <v>32133208890</v>
      </c>
      <c r="X7" s="69">
        <f>21</f>
        <v>21</v>
      </c>
    </row>
    <row r="8" spans="1:24">
      <c r="A8" s="60" t="s">
        <v>895</v>
      </c>
      <c r="B8" s="60" t="s">
        <v>51</v>
      </c>
      <c r="C8" s="60" t="s">
        <v>52</v>
      </c>
      <c r="D8" s="60" t="s">
        <v>53</v>
      </c>
      <c r="E8" s="61" t="s">
        <v>46</v>
      </c>
      <c r="F8" s="62" t="s">
        <v>46</v>
      </c>
      <c r="G8" s="63" t="s">
        <v>46</v>
      </c>
      <c r="H8" s="64"/>
      <c r="I8" s="64" t="s">
        <v>47</v>
      </c>
      <c r="J8" s="65">
        <v>10</v>
      </c>
      <c r="K8" s="66">
        <f>2070</f>
        <v>2070</v>
      </c>
      <c r="L8" s="67" t="s">
        <v>853</v>
      </c>
      <c r="M8" s="66">
        <f>2086</f>
        <v>2086</v>
      </c>
      <c r="N8" s="67" t="s">
        <v>77</v>
      </c>
      <c r="O8" s="66">
        <f>1971</f>
        <v>1971</v>
      </c>
      <c r="P8" s="67" t="s">
        <v>268</v>
      </c>
      <c r="Q8" s="66">
        <f>1993</f>
        <v>1993</v>
      </c>
      <c r="R8" s="67" t="s">
        <v>873</v>
      </c>
      <c r="S8" s="68">
        <f>2036.33</f>
        <v>2036.33</v>
      </c>
      <c r="T8" s="65">
        <f>86110750</f>
        <v>86110750</v>
      </c>
      <c r="U8" s="65">
        <f>42083560</f>
        <v>42083560</v>
      </c>
      <c r="V8" s="65">
        <f>175600317138</f>
        <v>175600317138</v>
      </c>
      <c r="W8" s="65">
        <f>86237246188</f>
        <v>86237246188</v>
      </c>
      <c r="X8" s="69">
        <f>21</f>
        <v>21</v>
      </c>
    </row>
    <row r="9" spans="1:24">
      <c r="A9" s="60" t="s">
        <v>895</v>
      </c>
      <c r="B9" s="60" t="s">
        <v>54</v>
      </c>
      <c r="C9" s="60" t="s">
        <v>55</v>
      </c>
      <c r="D9" s="60" t="s">
        <v>56</v>
      </c>
      <c r="E9" s="61" t="s">
        <v>46</v>
      </c>
      <c r="F9" s="62" t="s">
        <v>46</v>
      </c>
      <c r="G9" s="63" t="s">
        <v>46</v>
      </c>
      <c r="H9" s="64"/>
      <c r="I9" s="64" t="s">
        <v>47</v>
      </c>
      <c r="J9" s="65">
        <v>100</v>
      </c>
      <c r="K9" s="66">
        <f>2045</f>
        <v>2045</v>
      </c>
      <c r="L9" s="67" t="s">
        <v>853</v>
      </c>
      <c r="M9" s="66">
        <f>2063</f>
        <v>2063</v>
      </c>
      <c r="N9" s="67" t="s">
        <v>77</v>
      </c>
      <c r="O9" s="66">
        <f>1950</f>
        <v>1950</v>
      </c>
      <c r="P9" s="67" t="s">
        <v>268</v>
      </c>
      <c r="Q9" s="66">
        <f>1968</f>
        <v>1968</v>
      </c>
      <c r="R9" s="67" t="s">
        <v>873</v>
      </c>
      <c r="S9" s="68">
        <f>2014.19</f>
        <v>2014.19</v>
      </c>
      <c r="T9" s="65">
        <f>24722500</f>
        <v>24722500</v>
      </c>
      <c r="U9" s="65">
        <f>18905500</f>
        <v>18905500</v>
      </c>
      <c r="V9" s="65">
        <f>50431854200</f>
        <v>50431854200</v>
      </c>
      <c r="W9" s="65">
        <f>38745422700</f>
        <v>38745422700</v>
      </c>
      <c r="X9" s="69">
        <f>21</f>
        <v>21</v>
      </c>
    </row>
    <row r="10" spans="1:24">
      <c r="A10" s="60" t="s">
        <v>895</v>
      </c>
      <c r="B10" s="60" t="s">
        <v>57</v>
      </c>
      <c r="C10" s="60" t="s">
        <v>58</v>
      </c>
      <c r="D10" s="60" t="s">
        <v>59</v>
      </c>
      <c r="E10" s="61" t="s">
        <v>46</v>
      </c>
      <c r="F10" s="62" t="s">
        <v>46</v>
      </c>
      <c r="G10" s="63" t="s">
        <v>46</v>
      </c>
      <c r="H10" s="64"/>
      <c r="I10" s="64" t="s">
        <v>47</v>
      </c>
      <c r="J10" s="65">
        <v>1</v>
      </c>
      <c r="K10" s="66">
        <f>45000</f>
        <v>45000</v>
      </c>
      <c r="L10" s="67" t="s">
        <v>853</v>
      </c>
      <c r="M10" s="66">
        <f>46650</f>
        <v>46650</v>
      </c>
      <c r="N10" s="67" t="s">
        <v>84</v>
      </c>
      <c r="O10" s="66">
        <f>42600</f>
        <v>42600</v>
      </c>
      <c r="P10" s="67" t="s">
        <v>69</v>
      </c>
      <c r="Q10" s="66">
        <f>44350</f>
        <v>44350</v>
      </c>
      <c r="R10" s="67" t="s">
        <v>873</v>
      </c>
      <c r="S10" s="68">
        <f>44247.62</f>
        <v>44247.62</v>
      </c>
      <c r="T10" s="65">
        <f>9165</f>
        <v>9165</v>
      </c>
      <c r="U10" s="65" t="str">
        <f>"－"</f>
        <v>－</v>
      </c>
      <c r="V10" s="65">
        <f>407242400</f>
        <v>407242400</v>
      </c>
      <c r="W10" s="65" t="str">
        <f>"－"</f>
        <v>－</v>
      </c>
      <c r="X10" s="69">
        <f>21</f>
        <v>21</v>
      </c>
    </row>
    <row r="11" spans="1:24">
      <c r="A11" s="60" t="s">
        <v>895</v>
      </c>
      <c r="B11" s="60" t="s">
        <v>60</v>
      </c>
      <c r="C11" s="60" t="s">
        <v>61</v>
      </c>
      <c r="D11" s="60" t="s">
        <v>62</v>
      </c>
      <c r="E11" s="61" t="s">
        <v>46</v>
      </c>
      <c r="F11" s="62" t="s">
        <v>46</v>
      </c>
      <c r="G11" s="63" t="s">
        <v>46</v>
      </c>
      <c r="H11" s="64"/>
      <c r="I11" s="64" t="s">
        <v>47</v>
      </c>
      <c r="J11" s="65">
        <v>10</v>
      </c>
      <c r="K11" s="66">
        <f>922</f>
        <v>922</v>
      </c>
      <c r="L11" s="67" t="s">
        <v>853</v>
      </c>
      <c r="M11" s="66">
        <f>935</f>
        <v>935</v>
      </c>
      <c r="N11" s="67" t="s">
        <v>77</v>
      </c>
      <c r="O11" s="66">
        <f>888</f>
        <v>888</v>
      </c>
      <c r="P11" s="67" t="s">
        <v>268</v>
      </c>
      <c r="Q11" s="66">
        <f>891</f>
        <v>891</v>
      </c>
      <c r="R11" s="67" t="s">
        <v>873</v>
      </c>
      <c r="S11" s="68">
        <f>910.95</f>
        <v>910.95</v>
      </c>
      <c r="T11" s="65">
        <f>299360</f>
        <v>299360</v>
      </c>
      <c r="U11" s="65">
        <f>320</f>
        <v>320</v>
      </c>
      <c r="V11" s="65">
        <f>272329210</f>
        <v>272329210</v>
      </c>
      <c r="W11" s="65">
        <f>291920</f>
        <v>291920</v>
      </c>
      <c r="X11" s="69">
        <f>21</f>
        <v>21</v>
      </c>
    </row>
    <row r="12" spans="1:24">
      <c r="A12" s="60" t="s">
        <v>895</v>
      </c>
      <c r="B12" s="60" t="s">
        <v>63</v>
      </c>
      <c r="C12" s="60" t="s">
        <v>64</v>
      </c>
      <c r="D12" s="60" t="s">
        <v>65</v>
      </c>
      <c r="E12" s="61" t="s">
        <v>46</v>
      </c>
      <c r="F12" s="62" t="s">
        <v>46</v>
      </c>
      <c r="G12" s="63" t="s">
        <v>46</v>
      </c>
      <c r="H12" s="64"/>
      <c r="I12" s="64" t="s">
        <v>47</v>
      </c>
      <c r="J12" s="65">
        <v>1</v>
      </c>
      <c r="K12" s="66">
        <f>22560</f>
        <v>22560</v>
      </c>
      <c r="L12" s="67" t="s">
        <v>853</v>
      </c>
      <c r="M12" s="66">
        <f>22980</f>
        <v>22980</v>
      </c>
      <c r="N12" s="67" t="s">
        <v>613</v>
      </c>
      <c r="O12" s="66">
        <f>21190</f>
        <v>21190</v>
      </c>
      <c r="P12" s="67" t="s">
        <v>268</v>
      </c>
      <c r="Q12" s="66">
        <f>21860</f>
        <v>21860</v>
      </c>
      <c r="R12" s="67" t="s">
        <v>873</v>
      </c>
      <c r="S12" s="68">
        <f>22191.9</f>
        <v>22191.9</v>
      </c>
      <c r="T12" s="65">
        <f>4797</f>
        <v>4797</v>
      </c>
      <c r="U12" s="65" t="str">
        <f>"－"</f>
        <v>－</v>
      </c>
      <c r="V12" s="65">
        <f>107482340</f>
        <v>107482340</v>
      </c>
      <c r="W12" s="65" t="str">
        <f>"－"</f>
        <v>－</v>
      </c>
      <c r="X12" s="69">
        <f>21</f>
        <v>21</v>
      </c>
    </row>
    <row r="13" spans="1:24">
      <c r="A13" s="60" t="s">
        <v>895</v>
      </c>
      <c r="B13" s="60" t="s">
        <v>66</v>
      </c>
      <c r="C13" s="60" t="s">
        <v>67</v>
      </c>
      <c r="D13" s="60" t="s">
        <v>68</v>
      </c>
      <c r="E13" s="61" t="s">
        <v>46</v>
      </c>
      <c r="F13" s="62" t="s">
        <v>46</v>
      </c>
      <c r="G13" s="63" t="s">
        <v>46</v>
      </c>
      <c r="H13" s="64"/>
      <c r="I13" s="64" t="s">
        <v>47</v>
      </c>
      <c r="J13" s="65">
        <v>10</v>
      </c>
      <c r="K13" s="66">
        <f>4150</f>
        <v>4150</v>
      </c>
      <c r="L13" s="67" t="s">
        <v>853</v>
      </c>
      <c r="M13" s="66">
        <f>4290</f>
        <v>4290</v>
      </c>
      <c r="N13" s="67" t="s">
        <v>854</v>
      </c>
      <c r="O13" s="66">
        <f>4100</f>
        <v>4100</v>
      </c>
      <c r="P13" s="67" t="s">
        <v>853</v>
      </c>
      <c r="Q13" s="66">
        <f>4150</f>
        <v>4150</v>
      </c>
      <c r="R13" s="67" t="s">
        <v>873</v>
      </c>
      <c r="S13" s="68">
        <f>4207.22</f>
        <v>4207.22</v>
      </c>
      <c r="T13" s="65">
        <f>3720</f>
        <v>3720</v>
      </c>
      <c r="U13" s="65" t="str">
        <f>"－"</f>
        <v>－</v>
      </c>
      <c r="V13" s="65">
        <f>15628150</f>
        <v>15628150</v>
      </c>
      <c r="W13" s="65" t="str">
        <f>"－"</f>
        <v>－</v>
      </c>
      <c r="X13" s="69">
        <f>18</f>
        <v>18</v>
      </c>
    </row>
    <row r="14" spans="1:24">
      <c r="A14" s="60" t="s">
        <v>895</v>
      </c>
      <c r="B14" s="60" t="s">
        <v>70</v>
      </c>
      <c r="C14" s="60" t="s">
        <v>71</v>
      </c>
      <c r="D14" s="60" t="s">
        <v>72</v>
      </c>
      <c r="E14" s="61" t="s">
        <v>46</v>
      </c>
      <c r="F14" s="62" t="s">
        <v>46</v>
      </c>
      <c r="G14" s="63" t="s">
        <v>46</v>
      </c>
      <c r="H14" s="64"/>
      <c r="I14" s="64" t="s">
        <v>47</v>
      </c>
      <c r="J14" s="65">
        <v>1000</v>
      </c>
      <c r="K14" s="66">
        <f>385</f>
        <v>385</v>
      </c>
      <c r="L14" s="67" t="s">
        <v>853</v>
      </c>
      <c r="M14" s="66">
        <f>395</f>
        <v>395</v>
      </c>
      <c r="N14" s="67" t="s">
        <v>92</v>
      </c>
      <c r="O14" s="66">
        <f>366</f>
        <v>366</v>
      </c>
      <c r="P14" s="67" t="s">
        <v>268</v>
      </c>
      <c r="Q14" s="66">
        <f>374</f>
        <v>374</v>
      </c>
      <c r="R14" s="67" t="s">
        <v>873</v>
      </c>
      <c r="S14" s="68">
        <f>381.81</f>
        <v>381.81</v>
      </c>
      <c r="T14" s="65">
        <f>518000</f>
        <v>518000</v>
      </c>
      <c r="U14" s="65" t="str">
        <f>"－"</f>
        <v>－</v>
      </c>
      <c r="V14" s="65">
        <f>200648000</f>
        <v>200648000</v>
      </c>
      <c r="W14" s="65" t="str">
        <f>"－"</f>
        <v>－</v>
      </c>
      <c r="X14" s="69">
        <f>21</f>
        <v>21</v>
      </c>
    </row>
    <row r="15" spans="1:24">
      <c r="A15" s="60" t="s">
        <v>895</v>
      </c>
      <c r="B15" s="60" t="s">
        <v>74</v>
      </c>
      <c r="C15" s="60" t="s">
        <v>75</v>
      </c>
      <c r="D15" s="60" t="s">
        <v>76</v>
      </c>
      <c r="E15" s="61" t="s">
        <v>46</v>
      </c>
      <c r="F15" s="62" t="s">
        <v>46</v>
      </c>
      <c r="G15" s="63" t="s">
        <v>46</v>
      </c>
      <c r="H15" s="64"/>
      <c r="I15" s="64" t="s">
        <v>47</v>
      </c>
      <c r="J15" s="65">
        <v>1</v>
      </c>
      <c r="K15" s="66">
        <f>30450</f>
        <v>30450</v>
      </c>
      <c r="L15" s="67" t="s">
        <v>853</v>
      </c>
      <c r="M15" s="66">
        <f>31300</f>
        <v>31300</v>
      </c>
      <c r="N15" s="67" t="s">
        <v>84</v>
      </c>
      <c r="O15" s="66">
        <f>29420</f>
        <v>29420</v>
      </c>
      <c r="P15" s="67" t="s">
        <v>268</v>
      </c>
      <c r="Q15" s="66">
        <f>29870</f>
        <v>29870</v>
      </c>
      <c r="R15" s="67" t="s">
        <v>873</v>
      </c>
      <c r="S15" s="68">
        <f>30460.95</f>
        <v>30460.95</v>
      </c>
      <c r="T15" s="65">
        <f>1147184</f>
        <v>1147184</v>
      </c>
      <c r="U15" s="65">
        <f>59861</f>
        <v>59861</v>
      </c>
      <c r="V15" s="65">
        <f>34989681884</f>
        <v>34989681884</v>
      </c>
      <c r="W15" s="65">
        <f>1843347214</f>
        <v>1843347214</v>
      </c>
      <c r="X15" s="69">
        <f>21</f>
        <v>21</v>
      </c>
    </row>
    <row r="16" spans="1:24">
      <c r="A16" s="60" t="s">
        <v>895</v>
      </c>
      <c r="B16" s="60" t="s">
        <v>78</v>
      </c>
      <c r="C16" s="60" t="s">
        <v>79</v>
      </c>
      <c r="D16" s="60" t="s">
        <v>80</v>
      </c>
      <c r="E16" s="61" t="s">
        <v>46</v>
      </c>
      <c r="F16" s="62" t="s">
        <v>46</v>
      </c>
      <c r="G16" s="63" t="s">
        <v>46</v>
      </c>
      <c r="H16" s="64"/>
      <c r="I16" s="64" t="s">
        <v>47</v>
      </c>
      <c r="J16" s="65">
        <v>1</v>
      </c>
      <c r="K16" s="66">
        <f>30550</f>
        <v>30550</v>
      </c>
      <c r="L16" s="67" t="s">
        <v>853</v>
      </c>
      <c r="M16" s="66">
        <f>31350</f>
        <v>31350</v>
      </c>
      <c r="N16" s="67" t="s">
        <v>84</v>
      </c>
      <c r="O16" s="66">
        <f>29470</f>
        <v>29470</v>
      </c>
      <c r="P16" s="67" t="s">
        <v>268</v>
      </c>
      <c r="Q16" s="66">
        <f>29920</f>
        <v>29920</v>
      </c>
      <c r="R16" s="67" t="s">
        <v>873</v>
      </c>
      <c r="S16" s="68">
        <f>30530.48</f>
        <v>30530.48</v>
      </c>
      <c r="T16" s="65">
        <f>7503218</f>
        <v>7503218</v>
      </c>
      <c r="U16" s="65">
        <f>746322</f>
        <v>746322</v>
      </c>
      <c r="V16" s="65">
        <f>227974320209</f>
        <v>227974320209</v>
      </c>
      <c r="W16" s="65">
        <f>22783239699</f>
        <v>22783239699</v>
      </c>
      <c r="X16" s="69">
        <f>21</f>
        <v>21</v>
      </c>
    </row>
    <row r="17" spans="1:24">
      <c r="A17" s="60" t="s">
        <v>895</v>
      </c>
      <c r="B17" s="60" t="s">
        <v>81</v>
      </c>
      <c r="C17" s="60" t="s">
        <v>82</v>
      </c>
      <c r="D17" s="60" t="s">
        <v>83</v>
      </c>
      <c r="E17" s="61" t="s">
        <v>46</v>
      </c>
      <c r="F17" s="62" t="s">
        <v>46</v>
      </c>
      <c r="G17" s="63" t="s">
        <v>46</v>
      </c>
      <c r="H17" s="64"/>
      <c r="I17" s="64" t="s">
        <v>47</v>
      </c>
      <c r="J17" s="65">
        <v>10</v>
      </c>
      <c r="K17" s="66">
        <f>8130</f>
        <v>8130</v>
      </c>
      <c r="L17" s="67" t="s">
        <v>853</v>
      </c>
      <c r="M17" s="66">
        <f>8520</f>
        <v>8520</v>
      </c>
      <c r="N17" s="67" t="s">
        <v>77</v>
      </c>
      <c r="O17" s="66">
        <f>7810</f>
        <v>7810</v>
      </c>
      <c r="P17" s="67" t="s">
        <v>854</v>
      </c>
      <c r="Q17" s="66">
        <f>8240</f>
        <v>8240</v>
      </c>
      <c r="R17" s="67" t="s">
        <v>873</v>
      </c>
      <c r="S17" s="68">
        <f>8160.95</f>
        <v>8160.95</v>
      </c>
      <c r="T17" s="65">
        <f>23050</f>
        <v>23050</v>
      </c>
      <c r="U17" s="65" t="str">
        <f>"－"</f>
        <v>－</v>
      </c>
      <c r="V17" s="65">
        <f>188197000</f>
        <v>188197000</v>
      </c>
      <c r="W17" s="65" t="str">
        <f>"－"</f>
        <v>－</v>
      </c>
      <c r="X17" s="69">
        <f>21</f>
        <v>21</v>
      </c>
    </row>
    <row r="18" spans="1:24">
      <c r="A18" s="60" t="s">
        <v>895</v>
      </c>
      <c r="B18" s="60" t="s">
        <v>85</v>
      </c>
      <c r="C18" s="60" t="s">
        <v>86</v>
      </c>
      <c r="D18" s="60" t="s">
        <v>87</v>
      </c>
      <c r="E18" s="61" t="s">
        <v>46</v>
      </c>
      <c r="F18" s="62" t="s">
        <v>46</v>
      </c>
      <c r="G18" s="63" t="s">
        <v>46</v>
      </c>
      <c r="H18" s="64"/>
      <c r="I18" s="64" t="s">
        <v>47</v>
      </c>
      <c r="J18" s="65">
        <v>100</v>
      </c>
      <c r="K18" s="66">
        <f>410</f>
        <v>410</v>
      </c>
      <c r="L18" s="67" t="s">
        <v>853</v>
      </c>
      <c r="M18" s="66">
        <f>463</f>
        <v>463</v>
      </c>
      <c r="N18" s="67" t="s">
        <v>873</v>
      </c>
      <c r="O18" s="66">
        <f>402</f>
        <v>402</v>
      </c>
      <c r="P18" s="67" t="s">
        <v>853</v>
      </c>
      <c r="Q18" s="66">
        <f>457</f>
        <v>457</v>
      </c>
      <c r="R18" s="67" t="s">
        <v>873</v>
      </c>
      <c r="S18" s="68">
        <f>427.48</f>
        <v>427.48</v>
      </c>
      <c r="T18" s="65">
        <f>72500</f>
        <v>72500</v>
      </c>
      <c r="U18" s="65" t="str">
        <f>"－"</f>
        <v>－</v>
      </c>
      <c r="V18" s="65">
        <f>31084200</f>
        <v>31084200</v>
      </c>
      <c r="W18" s="65" t="str">
        <f>"－"</f>
        <v>－</v>
      </c>
      <c r="X18" s="69">
        <f>21</f>
        <v>21</v>
      </c>
    </row>
    <row r="19" spans="1:24">
      <c r="A19" s="60" t="s">
        <v>895</v>
      </c>
      <c r="B19" s="60" t="s">
        <v>89</v>
      </c>
      <c r="C19" s="60" t="s">
        <v>90</v>
      </c>
      <c r="D19" s="60" t="s">
        <v>91</v>
      </c>
      <c r="E19" s="61" t="s">
        <v>46</v>
      </c>
      <c r="F19" s="62" t="s">
        <v>46</v>
      </c>
      <c r="G19" s="63" t="s">
        <v>46</v>
      </c>
      <c r="H19" s="64"/>
      <c r="I19" s="64" t="s">
        <v>47</v>
      </c>
      <c r="J19" s="65">
        <v>100</v>
      </c>
      <c r="K19" s="66">
        <f>148</f>
        <v>148</v>
      </c>
      <c r="L19" s="67" t="s">
        <v>853</v>
      </c>
      <c r="M19" s="66">
        <f>149</f>
        <v>149</v>
      </c>
      <c r="N19" s="67" t="s">
        <v>857</v>
      </c>
      <c r="O19" s="66">
        <f>143</f>
        <v>143</v>
      </c>
      <c r="P19" s="67" t="s">
        <v>92</v>
      </c>
      <c r="Q19" s="66">
        <f>148</f>
        <v>148</v>
      </c>
      <c r="R19" s="67" t="s">
        <v>873</v>
      </c>
      <c r="S19" s="68">
        <f>145.29</f>
        <v>145.29</v>
      </c>
      <c r="T19" s="65">
        <f>225800</f>
        <v>225800</v>
      </c>
      <c r="U19" s="65" t="str">
        <f>"－"</f>
        <v>－</v>
      </c>
      <c r="V19" s="65">
        <f>32751500</f>
        <v>32751500</v>
      </c>
      <c r="W19" s="65" t="str">
        <f>"－"</f>
        <v>－</v>
      </c>
      <c r="X19" s="69">
        <f>21</f>
        <v>21</v>
      </c>
    </row>
    <row r="20" spans="1:24">
      <c r="A20" s="60" t="s">
        <v>895</v>
      </c>
      <c r="B20" s="60" t="s">
        <v>93</v>
      </c>
      <c r="C20" s="60" t="s">
        <v>94</v>
      </c>
      <c r="D20" s="60" t="s">
        <v>95</v>
      </c>
      <c r="E20" s="61" t="s">
        <v>46</v>
      </c>
      <c r="F20" s="62" t="s">
        <v>46</v>
      </c>
      <c r="G20" s="63" t="s">
        <v>46</v>
      </c>
      <c r="H20" s="64"/>
      <c r="I20" s="64" t="s">
        <v>47</v>
      </c>
      <c r="J20" s="65">
        <v>100</v>
      </c>
      <c r="K20" s="66">
        <f>165</f>
        <v>165</v>
      </c>
      <c r="L20" s="67" t="s">
        <v>853</v>
      </c>
      <c r="M20" s="66">
        <f>175</f>
        <v>175</v>
      </c>
      <c r="N20" s="67" t="s">
        <v>873</v>
      </c>
      <c r="O20" s="66">
        <f>162</f>
        <v>162</v>
      </c>
      <c r="P20" s="67" t="s">
        <v>857</v>
      </c>
      <c r="Q20" s="66">
        <f>174</f>
        <v>174</v>
      </c>
      <c r="R20" s="67" t="s">
        <v>873</v>
      </c>
      <c r="S20" s="68">
        <f>167.1</f>
        <v>167.1</v>
      </c>
      <c r="T20" s="65">
        <f>470700</f>
        <v>470700</v>
      </c>
      <c r="U20" s="65">
        <f>400</f>
        <v>400</v>
      </c>
      <c r="V20" s="65">
        <f>79584100</f>
        <v>79584100</v>
      </c>
      <c r="W20" s="65">
        <f>66400</f>
        <v>66400</v>
      </c>
      <c r="X20" s="69">
        <f>21</f>
        <v>21</v>
      </c>
    </row>
    <row r="21" spans="1:24">
      <c r="A21" s="60" t="s">
        <v>895</v>
      </c>
      <c r="B21" s="60" t="s">
        <v>97</v>
      </c>
      <c r="C21" s="60" t="s">
        <v>98</v>
      </c>
      <c r="D21" s="60" t="s">
        <v>99</v>
      </c>
      <c r="E21" s="61" t="s">
        <v>46</v>
      </c>
      <c r="F21" s="62" t="s">
        <v>46</v>
      </c>
      <c r="G21" s="63" t="s">
        <v>46</v>
      </c>
      <c r="H21" s="64"/>
      <c r="I21" s="64" t="s">
        <v>47</v>
      </c>
      <c r="J21" s="65">
        <v>1</v>
      </c>
      <c r="K21" s="66">
        <f>17710</f>
        <v>17710</v>
      </c>
      <c r="L21" s="67" t="s">
        <v>853</v>
      </c>
      <c r="M21" s="66">
        <f>18190</f>
        <v>18190</v>
      </c>
      <c r="N21" s="67" t="s">
        <v>132</v>
      </c>
      <c r="O21" s="66">
        <f>17690</f>
        <v>17690</v>
      </c>
      <c r="P21" s="67" t="s">
        <v>69</v>
      </c>
      <c r="Q21" s="66">
        <f>18010</f>
        <v>18010</v>
      </c>
      <c r="R21" s="67" t="s">
        <v>873</v>
      </c>
      <c r="S21" s="68">
        <f>17937.62</f>
        <v>17937.62</v>
      </c>
      <c r="T21" s="65">
        <f>262573</f>
        <v>262573</v>
      </c>
      <c r="U21" s="65" t="str">
        <f>"－"</f>
        <v>－</v>
      </c>
      <c r="V21" s="65">
        <f>4718077740</f>
        <v>4718077740</v>
      </c>
      <c r="W21" s="65" t="str">
        <f>"－"</f>
        <v>－</v>
      </c>
      <c r="X21" s="69">
        <f>21</f>
        <v>21</v>
      </c>
    </row>
    <row r="22" spans="1:24">
      <c r="A22" s="60" t="s">
        <v>895</v>
      </c>
      <c r="B22" s="60" t="s">
        <v>101</v>
      </c>
      <c r="C22" s="60" t="s">
        <v>102</v>
      </c>
      <c r="D22" s="60" t="s">
        <v>103</v>
      </c>
      <c r="E22" s="61" t="s">
        <v>46</v>
      </c>
      <c r="F22" s="62" t="s">
        <v>46</v>
      </c>
      <c r="G22" s="63" t="s">
        <v>46</v>
      </c>
      <c r="H22" s="64"/>
      <c r="I22" s="64" t="s">
        <v>47</v>
      </c>
      <c r="J22" s="65">
        <v>1</v>
      </c>
      <c r="K22" s="66">
        <f>3515</f>
        <v>3515</v>
      </c>
      <c r="L22" s="67" t="s">
        <v>853</v>
      </c>
      <c r="M22" s="66">
        <f>3645</f>
        <v>3645</v>
      </c>
      <c r="N22" s="67" t="s">
        <v>96</v>
      </c>
      <c r="O22" s="66">
        <f>3430</f>
        <v>3430</v>
      </c>
      <c r="P22" s="67" t="s">
        <v>854</v>
      </c>
      <c r="Q22" s="66">
        <f>3610</f>
        <v>3610</v>
      </c>
      <c r="R22" s="67" t="s">
        <v>873</v>
      </c>
      <c r="S22" s="68">
        <f>3527.38</f>
        <v>3527.38</v>
      </c>
      <c r="T22" s="65">
        <f>7312</f>
        <v>7312</v>
      </c>
      <c r="U22" s="65" t="str">
        <f>"－"</f>
        <v>－</v>
      </c>
      <c r="V22" s="65">
        <f>25778470</f>
        <v>25778470</v>
      </c>
      <c r="W22" s="65" t="str">
        <f>"－"</f>
        <v>－</v>
      </c>
      <c r="X22" s="69">
        <f>21</f>
        <v>21</v>
      </c>
    </row>
    <row r="23" spans="1:24">
      <c r="A23" s="60" t="s">
        <v>895</v>
      </c>
      <c r="B23" s="60" t="s">
        <v>104</v>
      </c>
      <c r="C23" s="60" t="s">
        <v>105</v>
      </c>
      <c r="D23" s="60" t="s">
        <v>106</v>
      </c>
      <c r="E23" s="61" t="s">
        <v>46</v>
      </c>
      <c r="F23" s="62" t="s">
        <v>46</v>
      </c>
      <c r="G23" s="63" t="s">
        <v>46</v>
      </c>
      <c r="H23" s="64"/>
      <c r="I23" s="64" t="s">
        <v>47</v>
      </c>
      <c r="J23" s="65">
        <v>10</v>
      </c>
      <c r="K23" s="66">
        <f>4815</f>
        <v>4815</v>
      </c>
      <c r="L23" s="67" t="s">
        <v>853</v>
      </c>
      <c r="M23" s="66">
        <f>4945</f>
        <v>4945</v>
      </c>
      <c r="N23" s="67" t="s">
        <v>132</v>
      </c>
      <c r="O23" s="66">
        <f>4800</f>
        <v>4800</v>
      </c>
      <c r="P23" s="67" t="s">
        <v>69</v>
      </c>
      <c r="Q23" s="66">
        <f>4890</f>
        <v>4890</v>
      </c>
      <c r="R23" s="67" t="s">
        <v>873</v>
      </c>
      <c r="S23" s="68">
        <f>4869.76</f>
        <v>4869.76</v>
      </c>
      <c r="T23" s="65">
        <f>456070</f>
        <v>456070</v>
      </c>
      <c r="U23" s="65">
        <f>40</f>
        <v>40</v>
      </c>
      <c r="V23" s="65">
        <f>2218831750</f>
        <v>2218831750</v>
      </c>
      <c r="W23" s="65">
        <f>194750</f>
        <v>194750</v>
      </c>
      <c r="X23" s="69">
        <f>21</f>
        <v>21</v>
      </c>
    </row>
    <row r="24" spans="1:24">
      <c r="A24" s="60" t="s">
        <v>895</v>
      </c>
      <c r="B24" s="60" t="s">
        <v>107</v>
      </c>
      <c r="C24" s="60" t="s">
        <v>108</v>
      </c>
      <c r="D24" s="60" t="s">
        <v>109</v>
      </c>
      <c r="E24" s="61" t="s">
        <v>46</v>
      </c>
      <c r="F24" s="62" t="s">
        <v>46</v>
      </c>
      <c r="G24" s="63" t="s">
        <v>46</v>
      </c>
      <c r="H24" s="64"/>
      <c r="I24" s="64" t="s">
        <v>47</v>
      </c>
      <c r="J24" s="65">
        <v>1</v>
      </c>
      <c r="K24" s="66">
        <f>30550</f>
        <v>30550</v>
      </c>
      <c r="L24" s="67" t="s">
        <v>853</v>
      </c>
      <c r="M24" s="66">
        <f>31350</f>
        <v>31350</v>
      </c>
      <c r="N24" s="67" t="s">
        <v>84</v>
      </c>
      <c r="O24" s="66">
        <f>29450</f>
        <v>29450</v>
      </c>
      <c r="P24" s="67" t="s">
        <v>268</v>
      </c>
      <c r="Q24" s="66">
        <f>29860</f>
        <v>29860</v>
      </c>
      <c r="R24" s="67" t="s">
        <v>873</v>
      </c>
      <c r="S24" s="68">
        <f>30516.19</f>
        <v>30516.19</v>
      </c>
      <c r="T24" s="65">
        <f>677712</f>
        <v>677712</v>
      </c>
      <c r="U24" s="65">
        <f>180333</f>
        <v>180333</v>
      </c>
      <c r="V24" s="65">
        <f>20664292329</f>
        <v>20664292329</v>
      </c>
      <c r="W24" s="65">
        <f>5533270559</f>
        <v>5533270559</v>
      </c>
      <c r="X24" s="69">
        <f>21</f>
        <v>21</v>
      </c>
    </row>
    <row r="25" spans="1:24">
      <c r="A25" s="60" t="s">
        <v>895</v>
      </c>
      <c r="B25" s="60" t="s">
        <v>110</v>
      </c>
      <c r="C25" s="60" t="s">
        <v>111</v>
      </c>
      <c r="D25" s="60" t="s">
        <v>112</v>
      </c>
      <c r="E25" s="61" t="s">
        <v>46</v>
      </c>
      <c r="F25" s="62" t="s">
        <v>46</v>
      </c>
      <c r="G25" s="63" t="s">
        <v>46</v>
      </c>
      <c r="H25" s="64"/>
      <c r="I25" s="64" t="s">
        <v>47</v>
      </c>
      <c r="J25" s="65">
        <v>10</v>
      </c>
      <c r="K25" s="66">
        <f>30550</f>
        <v>30550</v>
      </c>
      <c r="L25" s="67" t="s">
        <v>853</v>
      </c>
      <c r="M25" s="66">
        <f>31450</f>
        <v>31450</v>
      </c>
      <c r="N25" s="67" t="s">
        <v>77</v>
      </c>
      <c r="O25" s="66">
        <f>29530</f>
        <v>29530</v>
      </c>
      <c r="P25" s="67" t="s">
        <v>268</v>
      </c>
      <c r="Q25" s="66">
        <f>29950</f>
        <v>29950</v>
      </c>
      <c r="R25" s="67" t="s">
        <v>873</v>
      </c>
      <c r="S25" s="68">
        <f>30578.57</f>
        <v>30578.57</v>
      </c>
      <c r="T25" s="65">
        <f>1412570</f>
        <v>1412570</v>
      </c>
      <c r="U25" s="65">
        <f>646640</f>
        <v>646640</v>
      </c>
      <c r="V25" s="65">
        <f>43289756730</f>
        <v>43289756730</v>
      </c>
      <c r="W25" s="65">
        <f>20044695930</f>
        <v>20044695930</v>
      </c>
      <c r="X25" s="69">
        <f>21</f>
        <v>21</v>
      </c>
    </row>
    <row r="26" spans="1:24">
      <c r="A26" s="60" t="s">
        <v>895</v>
      </c>
      <c r="B26" s="60" t="s">
        <v>113</v>
      </c>
      <c r="C26" s="60" t="s">
        <v>114</v>
      </c>
      <c r="D26" s="60" t="s">
        <v>115</v>
      </c>
      <c r="E26" s="61" t="s">
        <v>46</v>
      </c>
      <c r="F26" s="62" t="s">
        <v>46</v>
      </c>
      <c r="G26" s="63" t="s">
        <v>46</v>
      </c>
      <c r="H26" s="64"/>
      <c r="I26" s="64" t="s">
        <v>47</v>
      </c>
      <c r="J26" s="65">
        <v>10</v>
      </c>
      <c r="K26" s="66">
        <f>2169</f>
        <v>2169</v>
      </c>
      <c r="L26" s="67" t="s">
        <v>853</v>
      </c>
      <c r="M26" s="66">
        <f>2230</f>
        <v>2230</v>
      </c>
      <c r="N26" s="67" t="s">
        <v>873</v>
      </c>
      <c r="O26" s="66">
        <f>2130</f>
        <v>2130</v>
      </c>
      <c r="P26" s="67" t="s">
        <v>853</v>
      </c>
      <c r="Q26" s="66">
        <f>2221</f>
        <v>2221</v>
      </c>
      <c r="R26" s="67" t="s">
        <v>873</v>
      </c>
      <c r="S26" s="68">
        <f>2194.86</f>
        <v>2194.86</v>
      </c>
      <c r="T26" s="65">
        <f>7865680</f>
        <v>7865680</v>
      </c>
      <c r="U26" s="65">
        <f>455370</f>
        <v>455370</v>
      </c>
      <c r="V26" s="65">
        <f>17227586841</f>
        <v>17227586841</v>
      </c>
      <c r="W26" s="65">
        <f>995418501</f>
        <v>995418501</v>
      </c>
      <c r="X26" s="69">
        <f>21</f>
        <v>21</v>
      </c>
    </row>
    <row r="27" spans="1:24">
      <c r="A27" s="60" t="s">
        <v>895</v>
      </c>
      <c r="B27" s="60" t="s">
        <v>116</v>
      </c>
      <c r="C27" s="60" t="s">
        <v>117</v>
      </c>
      <c r="D27" s="60" t="s">
        <v>118</v>
      </c>
      <c r="E27" s="61" t="s">
        <v>46</v>
      </c>
      <c r="F27" s="62" t="s">
        <v>46</v>
      </c>
      <c r="G27" s="63" t="s">
        <v>46</v>
      </c>
      <c r="H27" s="64"/>
      <c r="I27" s="64" t="s">
        <v>47</v>
      </c>
      <c r="J27" s="65">
        <v>10</v>
      </c>
      <c r="K27" s="66">
        <f>881</f>
        <v>881</v>
      </c>
      <c r="L27" s="67" t="s">
        <v>853</v>
      </c>
      <c r="M27" s="66">
        <f>900</f>
        <v>900</v>
      </c>
      <c r="N27" s="67" t="s">
        <v>49</v>
      </c>
      <c r="O27" s="66">
        <f>861</f>
        <v>861</v>
      </c>
      <c r="P27" s="67" t="s">
        <v>268</v>
      </c>
      <c r="Q27" s="66">
        <f>863</f>
        <v>863</v>
      </c>
      <c r="R27" s="67" t="s">
        <v>873</v>
      </c>
      <c r="S27" s="68">
        <f>881.71</f>
        <v>881.71</v>
      </c>
      <c r="T27" s="65">
        <f>14120</f>
        <v>14120</v>
      </c>
      <c r="U27" s="65" t="str">
        <f>"－"</f>
        <v>－</v>
      </c>
      <c r="V27" s="65">
        <f>12454680</f>
        <v>12454680</v>
      </c>
      <c r="W27" s="65" t="str">
        <f>"－"</f>
        <v>－</v>
      </c>
      <c r="X27" s="69">
        <f>21</f>
        <v>21</v>
      </c>
    </row>
    <row r="28" spans="1:24">
      <c r="A28" s="60" t="s">
        <v>895</v>
      </c>
      <c r="B28" s="60" t="s">
        <v>119</v>
      </c>
      <c r="C28" s="60" t="s">
        <v>120</v>
      </c>
      <c r="D28" s="60" t="s">
        <v>121</v>
      </c>
      <c r="E28" s="61" t="s">
        <v>46</v>
      </c>
      <c r="F28" s="62" t="s">
        <v>46</v>
      </c>
      <c r="G28" s="63" t="s">
        <v>46</v>
      </c>
      <c r="H28" s="64"/>
      <c r="I28" s="64" t="s">
        <v>47</v>
      </c>
      <c r="J28" s="65">
        <v>100</v>
      </c>
      <c r="K28" s="66">
        <f>2034</f>
        <v>2034</v>
      </c>
      <c r="L28" s="67" t="s">
        <v>853</v>
      </c>
      <c r="M28" s="66">
        <f>2100</f>
        <v>2100</v>
      </c>
      <c r="N28" s="67" t="s">
        <v>77</v>
      </c>
      <c r="O28" s="66">
        <f>2001</f>
        <v>2001</v>
      </c>
      <c r="P28" s="67" t="s">
        <v>853</v>
      </c>
      <c r="Q28" s="66">
        <f>2088</f>
        <v>2088</v>
      </c>
      <c r="R28" s="67" t="s">
        <v>873</v>
      </c>
      <c r="S28" s="68">
        <f>2062.57</f>
        <v>2062.5700000000002</v>
      </c>
      <c r="T28" s="65">
        <f>2778500</f>
        <v>2778500</v>
      </c>
      <c r="U28" s="65">
        <f>570100</f>
        <v>570100</v>
      </c>
      <c r="V28" s="65">
        <f>5736174220</f>
        <v>5736174220</v>
      </c>
      <c r="W28" s="65">
        <f>1176651520</f>
        <v>1176651520</v>
      </c>
      <c r="X28" s="69">
        <f>21</f>
        <v>21</v>
      </c>
    </row>
    <row r="29" spans="1:24">
      <c r="A29" s="60" t="s">
        <v>895</v>
      </c>
      <c r="B29" s="60" t="s">
        <v>122</v>
      </c>
      <c r="C29" s="60" t="s">
        <v>123</v>
      </c>
      <c r="D29" s="60" t="s">
        <v>124</v>
      </c>
      <c r="E29" s="61" t="s">
        <v>46</v>
      </c>
      <c r="F29" s="62" t="s">
        <v>46</v>
      </c>
      <c r="G29" s="63" t="s">
        <v>46</v>
      </c>
      <c r="H29" s="64"/>
      <c r="I29" s="64" t="s">
        <v>47</v>
      </c>
      <c r="J29" s="65">
        <v>1</v>
      </c>
      <c r="K29" s="66">
        <f>30500</f>
        <v>30500</v>
      </c>
      <c r="L29" s="67" t="s">
        <v>853</v>
      </c>
      <c r="M29" s="66">
        <f>31350</f>
        <v>31350</v>
      </c>
      <c r="N29" s="67" t="s">
        <v>77</v>
      </c>
      <c r="O29" s="66">
        <f>29460</f>
        <v>29460</v>
      </c>
      <c r="P29" s="67" t="s">
        <v>268</v>
      </c>
      <c r="Q29" s="66">
        <f>29870</f>
        <v>29870</v>
      </c>
      <c r="R29" s="67" t="s">
        <v>873</v>
      </c>
      <c r="S29" s="68">
        <f>30510.48</f>
        <v>30510.48</v>
      </c>
      <c r="T29" s="65">
        <f>530431</f>
        <v>530431</v>
      </c>
      <c r="U29" s="65">
        <f>54502</f>
        <v>54502</v>
      </c>
      <c r="V29" s="65">
        <f>16094234020</f>
        <v>16094234020</v>
      </c>
      <c r="W29" s="65">
        <f>1654506450</f>
        <v>1654506450</v>
      </c>
      <c r="X29" s="69">
        <f>21</f>
        <v>21</v>
      </c>
    </row>
    <row r="30" spans="1:24">
      <c r="A30" s="60" t="s">
        <v>895</v>
      </c>
      <c r="B30" s="60" t="s">
        <v>125</v>
      </c>
      <c r="C30" s="60" t="s">
        <v>126</v>
      </c>
      <c r="D30" s="60" t="s">
        <v>127</v>
      </c>
      <c r="E30" s="61" t="s">
        <v>46</v>
      </c>
      <c r="F30" s="62" t="s">
        <v>46</v>
      </c>
      <c r="G30" s="63" t="s">
        <v>46</v>
      </c>
      <c r="H30" s="64"/>
      <c r="I30" s="64" t="s">
        <v>47</v>
      </c>
      <c r="J30" s="65">
        <v>10</v>
      </c>
      <c r="K30" s="66">
        <f>2055</f>
        <v>2055</v>
      </c>
      <c r="L30" s="67" t="s">
        <v>853</v>
      </c>
      <c r="M30" s="66">
        <f>2072</f>
        <v>2072</v>
      </c>
      <c r="N30" s="67" t="s">
        <v>77</v>
      </c>
      <c r="O30" s="66">
        <f>1957</f>
        <v>1957</v>
      </c>
      <c r="P30" s="67" t="s">
        <v>268</v>
      </c>
      <c r="Q30" s="66">
        <f>1974</f>
        <v>1974</v>
      </c>
      <c r="R30" s="67" t="s">
        <v>873</v>
      </c>
      <c r="S30" s="68">
        <f>2021.33</f>
        <v>2021.33</v>
      </c>
      <c r="T30" s="65">
        <f>15873300</f>
        <v>15873300</v>
      </c>
      <c r="U30" s="65">
        <f>14034900</f>
        <v>14034900</v>
      </c>
      <c r="V30" s="65">
        <f>32644045410</f>
        <v>32644045410</v>
      </c>
      <c r="W30" s="65">
        <f>28939294390</f>
        <v>28939294390</v>
      </c>
      <c r="X30" s="69">
        <f>21</f>
        <v>21</v>
      </c>
    </row>
    <row r="31" spans="1:24">
      <c r="A31" s="60" t="s">
        <v>895</v>
      </c>
      <c r="B31" s="60" t="s">
        <v>128</v>
      </c>
      <c r="C31" s="60" t="s">
        <v>129</v>
      </c>
      <c r="D31" s="60" t="s">
        <v>130</v>
      </c>
      <c r="E31" s="61" t="s">
        <v>46</v>
      </c>
      <c r="F31" s="62" t="s">
        <v>46</v>
      </c>
      <c r="G31" s="63" t="s">
        <v>46</v>
      </c>
      <c r="H31" s="64"/>
      <c r="I31" s="64" t="s">
        <v>47</v>
      </c>
      <c r="J31" s="65">
        <v>1</v>
      </c>
      <c r="K31" s="66">
        <f>13310</f>
        <v>13310</v>
      </c>
      <c r="L31" s="67" t="s">
        <v>853</v>
      </c>
      <c r="M31" s="66">
        <f>13320</f>
        <v>13320</v>
      </c>
      <c r="N31" s="67" t="s">
        <v>854</v>
      </c>
      <c r="O31" s="66">
        <f>13130</f>
        <v>13130</v>
      </c>
      <c r="P31" s="67" t="s">
        <v>240</v>
      </c>
      <c r="Q31" s="66">
        <f>13320</f>
        <v>13320</v>
      </c>
      <c r="R31" s="67" t="s">
        <v>873</v>
      </c>
      <c r="S31" s="68">
        <f>13240.95</f>
        <v>13240.95</v>
      </c>
      <c r="T31" s="65">
        <f>590</f>
        <v>590</v>
      </c>
      <c r="U31" s="65" t="str">
        <f>"－"</f>
        <v>－</v>
      </c>
      <c r="V31" s="65">
        <f>7809910</f>
        <v>7809910</v>
      </c>
      <c r="W31" s="65" t="str">
        <f>"－"</f>
        <v>－</v>
      </c>
      <c r="X31" s="69">
        <f>21</f>
        <v>21</v>
      </c>
    </row>
    <row r="32" spans="1:24">
      <c r="A32" s="60" t="s">
        <v>895</v>
      </c>
      <c r="B32" s="60" t="s">
        <v>133</v>
      </c>
      <c r="C32" s="60" t="s">
        <v>134</v>
      </c>
      <c r="D32" s="60" t="s">
        <v>135</v>
      </c>
      <c r="E32" s="61" t="s">
        <v>46</v>
      </c>
      <c r="F32" s="62" t="s">
        <v>46</v>
      </c>
      <c r="G32" s="63" t="s">
        <v>46</v>
      </c>
      <c r="H32" s="64"/>
      <c r="I32" s="64" t="s">
        <v>47</v>
      </c>
      <c r="J32" s="65">
        <v>10</v>
      </c>
      <c r="K32" s="66">
        <f>1142</f>
        <v>1142</v>
      </c>
      <c r="L32" s="67" t="s">
        <v>853</v>
      </c>
      <c r="M32" s="66">
        <f>1252</f>
        <v>1252</v>
      </c>
      <c r="N32" s="67" t="s">
        <v>268</v>
      </c>
      <c r="O32" s="66">
        <f>1121</f>
        <v>1121</v>
      </c>
      <c r="P32" s="67" t="s">
        <v>77</v>
      </c>
      <c r="Q32" s="66">
        <f>1225</f>
        <v>1225</v>
      </c>
      <c r="R32" s="67" t="s">
        <v>873</v>
      </c>
      <c r="S32" s="68">
        <f>1175.86</f>
        <v>1175.8599999999999</v>
      </c>
      <c r="T32" s="65">
        <f>8103300</f>
        <v>8103300</v>
      </c>
      <c r="U32" s="65">
        <f>8320</f>
        <v>8320</v>
      </c>
      <c r="V32" s="65">
        <f>9571217550</f>
        <v>9571217550</v>
      </c>
      <c r="W32" s="65">
        <f>10006910</f>
        <v>10006910</v>
      </c>
      <c r="X32" s="69">
        <f>21</f>
        <v>21</v>
      </c>
    </row>
    <row r="33" spans="1:24">
      <c r="A33" s="60" t="s">
        <v>895</v>
      </c>
      <c r="B33" s="60" t="s">
        <v>136</v>
      </c>
      <c r="C33" s="60" t="s">
        <v>137</v>
      </c>
      <c r="D33" s="60" t="s">
        <v>138</v>
      </c>
      <c r="E33" s="61" t="s">
        <v>46</v>
      </c>
      <c r="F33" s="62" t="s">
        <v>46</v>
      </c>
      <c r="G33" s="63" t="s">
        <v>46</v>
      </c>
      <c r="H33" s="64"/>
      <c r="I33" s="64" t="s">
        <v>47</v>
      </c>
      <c r="J33" s="65">
        <v>1</v>
      </c>
      <c r="K33" s="66">
        <f>410</f>
        <v>410</v>
      </c>
      <c r="L33" s="67" t="s">
        <v>853</v>
      </c>
      <c r="M33" s="66">
        <f>438</f>
        <v>438</v>
      </c>
      <c r="N33" s="67" t="s">
        <v>268</v>
      </c>
      <c r="O33" s="66">
        <f>387</f>
        <v>387</v>
      </c>
      <c r="P33" s="67" t="s">
        <v>77</v>
      </c>
      <c r="Q33" s="66">
        <f>423</f>
        <v>423</v>
      </c>
      <c r="R33" s="67" t="s">
        <v>873</v>
      </c>
      <c r="S33" s="68">
        <f>408.29</f>
        <v>408.29</v>
      </c>
      <c r="T33" s="65">
        <f>1042665133</f>
        <v>1042665133</v>
      </c>
      <c r="U33" s="65">
        <f>1930107</f>
        <v>1930107</v>
      </c>
      <c r="V33" s="65">
        <f>427380697773</f>
        <v>427380697773</v>
      </c>
      <c r="W33" s="65">
        <f>772708463</f>
        <v>772708463</v>
      </c>
      <c r="X33" s="69">
        <f>21</f>
        <v>21</v>
      </c>
    </row>
    <row r="34" spans="1:24">
      <c r="A34" s="60" t="s">
        <v>895</v>
      </c>
      <c r="B34" s="60" t="s">
        <v>139</v>
      </c>
      <c r="C34" s="60" t="s">
        <v>140</v>
      </c>
      <c r="D34" s="60" t="s">
        <v>141</v>
      </c>
      <c r="E34" s="61" t="s">
        <v>46</v>
      </c>
      <c r="F34" s="62" t="s">
        <v>46</v>
      </c>
      <c r="G34" s="63" t="s">
        <v>46</v>
      </c>
      <c r="H34" s="64"/>
      <c r="I34" s="64" t="s">
        <v>47</v>
      </c>
      <c r="J34" s="65">
        <v>1</v>
      </c>
      <c r="K34" s="66">
        <f>30900</f>
        <v>30900</v>
      </c>
      <c r="L34" s="67" t="s">
        <v>853</v>
      </c>
      <c r="M34" s="66">
        <f>32550</f>
        <v>32550</v>
      </c>
      <c r="N34" s="67" t="s">
        <v>77</v>
      </c>
      <c r="O34" s="66">
        <f>28680</f>
        <v>28680</v>
      </c>
      <c r="P34" s="67" t="s">
        <v>268</v>
      </c>
      <c r="Q34" s="66">
        <f>29480</f>
        <v>29480</v>
      </c>
      <c r="R34" s="67" t="s">
        <v>873</v>
      </c>
      <c r="S34" s="68">
        <f>30813.33</f>
        <v>30813.33</v>
      </c>
      <c r="T34" s="65">
        <f>253294</f>
        <v>253294</v>
      </c>
      <c r="U34" s="65">
        <f>25</f>
        <v>25</v>
      </c>
      <c r="V34" s="65">
        <f>7740100360</f>
        <v>7740100360</v>
      </c>
      <c r="W34" s="65">
        <f>798850</f>
        <v>798850</v>
      </c>
      <c r="X34" s="69">
        <f>21</f>
        <v>21</v>
      </c>
    </row>
    <row r="35" spans="1:24">
      <c r="A35" s="60" t="s">
        <v>895</v>
      </c>
      <c r="B35" s="60" t="s">
        <v>142</v>
      </c>
      <c r="C35" s="60" t="s">
        <v>143</v>
      </c>
      <c r="D35" s="60" t="s">
        <v>144</v>
      </c>
      <c r="E35" s="61" t="s">
        <v>46</v>
      </c>
      <c r="F35" s="62" t="s">
        <v>46</v>
      </c>
      <c r="G35" s="63" t="s">
        <v>46</v>
      </c>
      <c r="H35" s="64"/>
      <c r="I35" s="64" t="s">
        <v>47</v>
      </c>
      <c r="J35" s="65">
        <v>10</v>
      </c>
      <c r="K35" s="66">
        <f>998</f>
        <v>998</v>
      </c>
      <c r="L35" s="67" t="s">
        <v>853</v>
      </c>
      <c r="M35" s="66">
        <f>1067</f>
        <v>1067</v>
      </c>
      <c r="N35" s="67" t="s">
        <v>268</v>
      </c>
      <c r="O35" s="66">
        <f>944</f>
        <v>944</v>
      </c>
      <c r="P35" s="67" t="s">
        <v>77</v>
      </c>
      <c r="Q35" s="66">
        <f>1035</f>
        <v>1035</v>
      </c>
      <c r="R35" s="67" t="s">
        <v>873</v>
      </c>
      <c r="S35" s="68">
        <f>995.86</f>
        <v>995.86</v>
      </c>
      <c r="T35" s="65">
        <f>206254030</f>
        <v>206254030</v>
      </c>
      <c r="U35" s="65">
        <f>23910</f>
        <v>23910</v>
      </c>
      <c r="V35" s="65">
        <f>205235286010</f>
        <v>205235286010</v>
      </c>
      <c r="W35" s="65">
        <f>23513510</f>
        <v>23513510</v>
      </c>
      <c r="X35" s="69">
        <f>21</f>
        <v>21</v>
      </c>
    </row>
    <row r="36" spans="1:24">
      <c r="A36" s="60" t="s">
        <v>895</v>
      </c>
      <c r="B36" s="60" t="s">
        <v>145</v>
      </c>
      <c r="C36" s="60" t="s">
        <v>146</v>
      </c>
      <c r="D36" s="60" t="s">
        <v>147</v>
      </c>
      <c r="E36" s="61" t="s">
        <v>46</v>
      </c>
      <c r="F36" s="62" t="s">
        <v>46</v>
      </c>
      <c r="G36" s="63" t="s">
        <v>46</v>
      </c>
      <c r="H36" s="64"/>
      <c r="I36" s="64" t="s">
        <v>47</v>
      </c>
      <c r="J36" s="65">
        <v>1</v>
      </c>
      <c r="K36" s="66">
        <f>18230</f>
        <v>18230</v>
      </c>
      <c r="L36" s="67" t="s">
        <v>853</v>
      </c>
      <c r="M36" s="66">
        <f>18390</f>
        <v>18390</v>
      </c>
      <c r="N36" s="67" t="s">
        <v>84</v>
      </c>
      <c r="O36" s="66">
        <f>17390</f>
        <v>17390</v>
      </c>
      <c r="P36" s="67" t="s">
        <v>268</v>
      </c>
      <c r="Q36" s="66">
        <f>17500</f>
        <v>17500</v>
      </c>
      <c r="R36" s="67" t="s">
        <v>873</v>
      </c>
      <c r="S36" s="68">
        <f>17944.29</f>
        <v>17944.29</v>
      </c>
      <c r="T36" s="65">
        <f>17136</f>
        <v>17136</v>
      </c>
      <c r="U36" s="65">
        <f>1</f>
        <v>1</v>
      </c>
      <c r="V36" s="65">
        <f>304696660</f>
        <v>304696660</v>
      </c>
      <c r="W36" s="65">
        <f>18100</f>
        <v>18100</v>
      </c>
      <c r="X36" s="69">
        <f>21</f>
        <v>21</v>
      </c>
    </row>
    <row r="37" spans="1:24">
      <c r="A37" s="60" t="s">
        <v>895</v>
      </c>
      <c r="B37" s="60" t="s">
        <v>148</v>
      </c>
      <c r="C37" s="60" t="s">
        <v>149</v>
      </c>
      <c r="D37" s="60" t="s">
        <v>150</v>
      </c>
      <c r="E37" s="61" t="s">
        <v>46</v>
      </c>
      <c r="F37" s="62" t="s">
        <v>46</v>
      </c>
      <c r="G37" s="63" t="s">
        <v>46</v>
      </c>
      <c r="H37" s="64"/>
      <c r="I37" s="64" t="s">
        <v>47</v>
      </c>
      <c r="J37" s="65">
        <v>1</v>
      </c>
      <c r="K37" s="66">
        <f>25560</f>
        <v>25560</v>
      </c>
      <c r="L37" s="67" t="s">
        <v>853</v>
      </c>
      <c r="M37" s="66">
        <f>26950</f>
        <v>26950</v>
      </c>
      <c r="N37" s="67" t="s">
        <v>77</v>
      </c>
      <c r="O37" s="66">
        <f>23750</f>
        <v>23750</v>
      </c>
      <c r="P37" s="67" t="s">
        <v>268</v>
      </c>
      <c r="Q37" s="66">
        <f>24470</f>
        <v>24470</v>
      </c>
      <c r="R37" s="67" t="s">
        <v>873</v>
      </c>
      <c r="S37" s="68">
        <f>25524.76</f>
        <v>25524.76</v>
      </c>
      <c r="T37" s="65">
        <f>855945</f>
        <v>855945</v>
      </c>
      <c r="U37" s="65">
        <f>6</f>
        <v>6</v>
      </c>
      <c r="V37" s="65">
        <f>21854674500</f>
        <v>21854674500</v>
      </c>
      <c r="W37" s="65">
        <f>151040</f>
        <v>151040</v>
      </c>
      <c r="X37" s="69">
        <f>21</f>
        <v>21</v>
      </c>
    </row>
    <row r="38" spans="1:24">
      <c r="A38" s="60" t="s">
        <v>895</v>
      </c>
      <c r="B38" s="60" t="s">
        <v>151</v>
      </c>
      <c r="C38" s="60" t="s">
        <v>152</v>
      </c>
      <c r="D38" s="60" t="s">
        <v>153</v>
      </c>
      <c r="E38" s="61" t="s">
        <v>46</v>
      </c>
      <c r="F38" s="62" t="s">
        <v>46</v>
      </c>
      <c r="G38" s="63" t="s">
        <v>46</v>
      </c>
      <c r="H38" s="64"/>
      <c r="I38" s="64" t="s">
        <v>47</v>
      </c>
      <c r="J38" s="65">
        <v>1</v>
      </c>
      <c r="K38" s="66">
        <f>1069</f>
        <v>1069</v>
      </c>
      <c r="L38" s="67" t="s">
        <v>853</v>
      </c>
      <c r="M38" s="66">
        <f>1142</f>
        <v>1142</v>
      </c>
      <c r="N38" s="67" t="s">
        <v>268</v>
      </c>
      <c r="O38" s="66">
        <f>1013</f>
        <v>1013</v>
      </c>
      <c r="P38" s="67" t="s">
        <v>77</v>
      </c>
      <c r="Q38" s="66">
        <f>1106</f>
        <v>1106</v>
      </c>
      <c r="R38" s="67" t="s">
        <v>873</v>
      </c>
      <c r="S38" s="68">
        <f>1065.81</f>
        <v>1065.81</v>
      </c>
      <c r="T38" s="65">
        <f>8275552</f>
        <v>8275552</v>
      </c>
      <c r="U38" s="65">
        <f>20039</f>
        <v>20039</v>
      </c>
      <c r="V38" s="65">
        <f>8856764803</f>
        <v>8856764803</v>
      </c>
      <c r="W38" s="65">
        <f>21281227</f>
        <v>21281227</v>
      </c>
      <c r="X38" s="69">
        <f>21</f>
        <v>21</v>
      </c>
    </row>
    <row r="39" spans="1:24">
      <c r="A39" s="60" t="s">
        <v>895</v>
      </c>
      <c r="B39" s="60" t="s">
        <v>154</v>
      </c>
      <c r="C39" s="60" t="s">
        <v>155</v>
      </c>
      <c r="D39" s="60" t="s">
        <v>156</v>
      </c>
      <c r="E39" s="61" t="s">
        <v>46</v>
      </c>
      <c r="F39" s="62" t="s">
        <v>46</v>
      </c>
      <c r="G39" s="63" t="s">
        <v>46</v>
      </c>
      <c r="H39" s="64"/>
      <c r="I39" s="64" t="s">
        <v>47</v>
      </c>
      <c r="J39" s="65">
        <v>1</v>
      </c>
      <c r="K39" s="66">
        <f>19160</f>
        <v>19160</v>
      </c>
      <c r="L39" s="67" t="s">
        <v>853</v>
      </c>
      <c r="M39" s="66">
        <f>19520</f>
        <v>19520</v>
      </c>
      <c r="N39" s="67" t="s">
        <v>77</v>
      </c>
      <c r="O39" s="66">
        <f>17390</f>
        <v>17390</v>
      </c>
      <c r="P39" s="67" t="s">
        <v>268</v>
      </c>
      <c r="Q39" s="66">
        <f>17740</f>
        <v>17740</v>
      </c>
      <c r="R39" s="67" t="s">
        <v>873</v>
      </c>
      <c r="S39" s="68">
        <f>18585.71</f>
        <v>18585.71</v>
      </c>
      <c r="T39" s="65">
        <f>389269</f>
        <v>389269</v>
      </c>
      <c r="U39" s="65">
        <f>736</f>
        <v>736</v>
      </c>
      <c r="V39" s="65">
        <f>7265295170</f>
        <v>7265295170</v>
      </c>
      <c r="W39" s="65">
        <f>13624010</f>
        <v>13624010</v>
      </c>
      <c r="X39" s="69">
        <f>21</f>
        <v>21</v>
      </c>
    </row>
    <row r="40" spans="1:24">
      <c r="A40" s="60" t="s">
        <v>895</v>
      </c>
      <c r="B40" s="60" t="s">
        <v>157</v>
      </c>
      <c r="C40" s="60" t="s">
        <v>158</v>
      </c>
      <c r="D40" s="60" t="s">
        <v>159</v>
      </c>
      <c r="E40" s="61" t="s">
        <v>46</v>
      </c>
      <c r="F40" s="62" t="s">
        <v>46</v>
      </c>
      <c r="G40" s="63" t="s">
        <v>46</v>
      </c>
      <c r="H40" s="64"/>
      <c r="I40" s="64" t="s">
        <v>47</v>
      </c>
      <c r="J40" s="65">
        <v>1</v>
      </c>
      <c r="K40" s="66">
        <f>1657</f>
        <v>1657</v>
      </c>
      <c r="L40" s="67" t="s">
        <v>853</v>
      </c>
      <c r="M40" s="66">
        <f>1816</f>
        <v>1816</v>
      </c>
      <c r="N40" s="67" t="s">
        <v>268</v>
      </c>
      <c r="O40" s="66">
        <f>1628</f>
        <v>1628</v>
      </c>
      <c r="P40" s="67" t="s">
        <v>77</v>
      </c>
      <c r="Q40" s="66">
        <f>1778</f>
        <v>1778</v>
      </c>
      <c r="R40" s="67" t="s">
        <v>873</v>
      </c>
      <c r="S40" s="68">
        <f>1705.52</f>
        <v>1705.52</v>
      </c>
      <c r="T40" s="65">
        <f>2382949</f>
        <v>2382949</v>
      </c>
      <c r="U40" s="65">
        <f>1773</f>
        <v>1773</v>
      </c>
      <c r="V40" s="65">
        <f>4063354162</f>
        <v>4063354162</v>
      </c>
      <c r="W40" s="65">
        <f>2980840</f>
        <v>2980840</v>
      </c>
      <c r="X40" s="69">
        <f>21</f>
        <v>21</v>
      </c>
    </row>
    <row r="41" spans="1:24">
      <c r="A41" s="60" t="s">
        <v>895</v>
      </c>
      <c r="B41" s="60" t="s">
        <v>160</v>
      </c>
      <c r="C41" s="60" t="s">
        <v>161</v>
      </c>
      <c r="D41" s="60" t="s">
        <v>162</v>
      </c>
      <c r="E41" s="61" t="s">
        <v>46</v>
      </c>
      <c r="F41" s="62" t="s">
        <v>46</v>
      </c>
      <c r="G41" s="63" t="s">
        <v>46</v>
      </c>
      <c r="H41" s="64"/>
      <c r="I41" s="64" t="s">
        <v>47</v>
      </c>
      <c r="J41" s="65">
        <v>1</v>
      </c>
      <c r="K41" s="66">
        <f>29630</f>
        <v>29630</v>
      </c>
      <c r="L41" s="67" t="s">
        <v>853</v>
      </c>
      <c r="M41" s="66">
        <f>30450</f>
        <v>30450</v>
      </c>
      <c r="N41" s="67" t="s">
        <v>77</v>
      </c>
      <c r="O41" s="66">
        <f>28600</f>
        <v>28600</v>
      </c>
      <c r="P41" s="67" t="s">
        <v>268</v>
      </c>
      <c r="Q41" s="66">
        <f>29010</f>
        <v>29010</v>
      </c>
      <c r="R41" s="67" t="s">
        <v>873</v>
      </c>
      <c r="S41" s="68">
        <f>29624.29</f>
        <v>29624.29</v>
      </c>
      <c r="T41" s="65">
        <f>127969</f>
        <v>127969</v>
      </c>
      <c r="U41" s="65">
        <f>22814</f>
        <v>22814</v>
      </c>
      <c r="V41" s="65">
        <f>3786519550</f>
        <v>3786519550</v>
      </c>
      <c r="W41" s="65">
        <f>671102420</f>
        <v>671102420</v>
      </c>
      <c r="X41" s="69">
        <f>21</f>
        <v>21</v>
      </c>
    </row>
    <row r="42" spans="1:24">
      <c r="A42" s="60" t="s">
        <v>895</v>
      </c>
      <c r="B42" s="60" t="s">
        <v>163</v>
      </c>
      <c r="C42" s="60" t="s">
        <v>164</v>
      </c>
      <c r="D42" s="60" t="s">
        <v>165</v>
      </c>
      <c r="E42" s="61" t="s">
        <v>46</v>
      </c>
      <c r="F42" s="62" t="s">
        <v>46</v>
      </c>
      <c r="G42" s="63" t="s">
        <v>46</v>
      </c>
      <c r="H42" s="64"/>
      <c r="I42" s="64" t="s">
        <v>47</v>
      </c>
      <c r="J42" s="65">
        <v>1</v>
      </c>
      <c r="K42" s="66">
        <f>5100</f>
        <v>5100</v>
      </c>
      <c r="L42" s="67" t="s">
        <v>853</v>
      </c>
      <c r="M42" s="66">
        <f>5480</f>
        <v>5480</v>
      </c>
      <c r="N42" s="67" t="s">
        <v>873</v>
      </c>
      <c r="O42" s="66">
        <f>5100</f>
        <v>5100</v>
      </c>
      <c r="P42" s="67" t="s">
        <v>853</v>
      </c>
      <c r="Q42" s="66">
        <f>5380</f>
        <v>5380</v>
      </c>
      <c r="R42" s="67" t="s">
        <v>873</v>
      </c>
      <c r="S42" s="68">
        <f>5295.24</f>
        <v>5295.24</v>
      </c>
      <c r="T42" s="65">
        <f>8224</f>
        <v>8224</v>
      </c>
      <c r="U42" s="65" t="str">
        <f t="shared" ref="U42:U51" si="0">"－"</f>
        <v>－</v>
      </c>
      <c r="V42" s="65">
        <f>43663070</f>
        <v>43663070</v>
      </c>
      <c r="W42" s="65" t="str">
        <f t="shared" ref="W42:W51" si="1">"－"</f>
        <v>－</v>
      </c>
      <c r="X42" s="69">
        <f>21</f>
        <v>21</v>
      </c>
    </row>
    <row r="43" spans="1:24">
      <c r="A43" s="60" t="s">
        <v>895</v>
      </c>
      <c r="B43" s="60" t="s">
        <v>166</v>
      </c>
      <c r="C43" s="60" t="s">
        <v>167</v>
      </c>
      <c r="D43" s="60" t="s">
        <v>168</v>
      </c>
      <c r="E43" s="61" t="s">
        <v>46</v>
      </c>
      <c r="F43" s="62" t="s">
        <v>46</v>
      </c>
      <c r="G43" s="63" t="s">
        <v>46</v>
      </c>
      <c r="H43" s="64"/>
      <c r="I43" s="64" t="s">
        <v>47</v>
      </c>
      <c r="J43" s="65">
        <v>1</v>
      </c>
      <c r="K43" s="66">
        <f>9020</f>
        <v>9020</v>
      </c>
      <c r="L43" s="67" t="s">
        <v>853</v>
      </c>
      <c r="M43" s="66">
        <f>9560</f>
        <v>9560</v>
      </c>
      <c r="N43" s="67" t="s">
        <v>873</v>
      </c>
      <c r="O43" s="66">
        <f>9020</f>
        <v>9020</v>
      </c>
      <c r="P43" s="67" t="s">
        <v>853</v>
      </c>
      <c r="Q43" s="66">
        <f>9550</f>
        <v>9550</v>
      </c>
      <c r="R43" s="67" t="s">
        <v>873</v>
      </c>
      <c r="S43" s="68">
        <f>9261.9</f>
        <v>9261.9</v>
      </c>
      <c r="T43" s="65">
        <f>2084</f>
        <v>2084</v>
      </c>
      <c r="U43" s="65" t="str">
        <f t="shared" si="0"/>
        <v>－</v>
      </c>
      <c r="V43" s="65">
        <f>19285770</f>
        <v>19285770</v>
      </c>
      <c r="W43" s="65" t="str">
        <f t="shared" si="1"/>
        <v>－</v>
      </c>
      <c r="X43" s="69">
        <f>21</f>
        <v>21</v>
      </c>
    </row>
    <row r="44" spans="1:24">
      <c r="A44" s="60" t="s">
        <v>895</v>
      </c>
      <c r="B44" s="60" t="s">
        <v>169</v>
      </c>
      <c r="C44" s="60" t="s">
        <v>170</v>
      </c>
      <c r="D44" s="60" t="s">
        <v>171</v>
      </c>
      <c r="E44" s="61" t="s">
        <v>46</v>
      </c>
      <c r="F44" s="62" t="s">
        <v>46</v>
      </c>
      <c r="G44" s="63" t="s">
        <v>46</v>
      </c>
      <c r="H44" s="64"/>
      <c r="I44" s="64" t="s">
        <v>47</v>
      </c>
      <c r="J44" s="65">
        <v>1</v>
      </c>
      <c r="K44" s="66">
        <f>18000</f>
        <v>18000</v>
      </c>
      <c r="L44" s="67" t="s">
        <v>857</v>
      </c>
      <c r="M44" s="66">
        <f>18680</f>
        <v>18680</v>
      </c>
      <c r="N44" s="67" t="s">
        <v>613</v>
      </c>
      <c r="O44" s="66">
        <f>18000</f>
        <v>18000</v>
      </c>
      <c r="P44" s="67" t="s">
        <v>857</v>
      </c>
      <c r="Q44" s="66">
        <f>18490</f>
        <v>18490</v>
      </c>
      <c r="R44" s="67" t="s">
        <v>88</v>
      </c>
      <c r="S44" s="68">
        <f>18336.67</f>
        <v>18336.669999999998</v>
      </c>
      <c r="T44" s="65">
        <f>289</f>
        <v>289</v>
      </c>
      <c r="U44" s="65" t="str">
        <f t="shared" si="0"/>
        <v>－</v>
      </c>
      <c r="V44" s="65">
        <f>5265050</f>
        <v>5265050</v>
      </c>
      <c r="W44" s="65" t="str">
        <f t="shared" si="1"/>
        <v>－</v>
      </c>
      <c r="X44" s="69">
        <f>18</f>
        <v>18</v>
      </c>
    </row>
    <row r="45" spans="1:24">
      <c r="A45" s="60" t="s">
        <v>895</v>
      </c>
      <c r="B45" s="60" t="s">
        <v>173</v>
      </c>
      <c r="C45" s="60" t="s">
        <v>174</v>
      </c>
      <c r="D45" s="60" t="s">
        <v>175</v>
      </c>
      <c r="E45" s="61" t="s">
        <v>46</v>
      </c>
      <c r="F45" s="62" t="s">
        <v>46</v>
      </c>
      <c r="G45" s="63" t="s">
        <v>46</v>
      </c>
      <c r="H45" s="64"/>
      <c r="I45" s="64" t="s">
        <v>47</v>
      </c>
      <c r="J45" s="65">
        <v>1</v>
      </c>
      <c r="K45" s="66">
        <f>15940</f>
        <v>15940</v>
      </c>
      <c r="L45" s="67" t="s">
        <v>853</v>
      </c>
      <c r="M45" s="66">
        <f>16520</f>
        <v>16520</v>
      </c>
      <c r="N45" s="67" t="s">
        <v>873</v>
      </c>
      <c r="O45" s="66">
        <f>15590</f>
        <v>15590</v>
      </c>
      <c r="P45" s="67" t="s">
        <v>49</v>
      </c>
      <c r="Q45" s="66">
        <f>16250</f>
        <v>16250</v>
      </c>
      <c r="R45" s="67" t="s">
        <v>873</v>
      </c>
      <c r="S45" s="68">
        <f>16008.33</f>
        <v>16008.33</v>
      </c>
      <c r="T45" s="65">
        <f>271</f>
        <v>271</v>
      </c>
      <c r="U45" s="65" t="str">
        <f t="shared" si="0"/>
        <v>－</v>
      </c>
      <c r="V45" s="65">
        <f>4373490</f>
        <v>4373490</v>
      </c>
      <c r="W45" s="65" t="str">
        <f t="shared" si="1"/>
        <v>－</v>
      </c>
      <c r="X45" s="69">
        <f>12</f>
        <v>12</v>
      </c>
    </row>
    <row r="46" spans="1:24">
      <c r="A46" s="60" t="s">
        <v>895</v>
      </c>
      <c r="B46" s="60" t="s">
        <v>177</v>
      </c>
      <c r="C46" s="60" t="s">
        <v>178</v>
      </c>
      <c r="D46" s="60" t="s">
        <v>179</v>
      </c>
      <c r="E46" s="61" t="s">
        <v>46</v>
      </c>
      <c r="F46" s="62" t="s">
        <v>46</v>
      </c>
      <c r="G46" s="63" t="s">
        <v>46</v>
      </c>
      <c r="H46" s="64"/>
      <c r="I46" s="64" t="s">
        <v>47</v>
      </c>
      <c r="J46" s="65">
        <v>1</v>
      </c>
      <c r="K46" s="66">
        <f>9460</f>
        <v>9460</v>
      </c>
      <c r="L46" s="67" t="s">
        <v>853</v>
      </c>
      <c r="M46" s="66">
        <f>10000</f>
        <v>10000</v>
      </c>
      <c r="N46" s="67" t="s">
        <v>84</v>
      </c>
      <c r="O46" s="66">
        <f>9460</f>
        <v>9460</v>
      </c>
      <c r="P46" s="67" t="s">
        <v>853</v>
      </c>
      <c r="Q46" s="66">
        <f>9800</f>
        <v>9800</v>
      </c>
      <c r="R46" s="67" t="s">
        <v>873</v>
      </c>
      <c r="S46" s="68">
        <f>9778.57</f>
        <v>9778.57</v>
      </c>
      <c r="T46" s="65">
        <f>5022</f>
        <v>5022</v>
      </c>
      <c r="U46" s="65" t="str">
        <f t="shared" si="0"/>
        <v>－</v>
      </c>
      <c r="V46" s="65">
        <f>49038880</f>
        <v>49038880</v>
      </c>
      <c r="W46" s="65" t="str">
        <f t="shared" si="1"/>
        <v>－</v>
      </c>
      <c r="X46" s="69">
        <f>21</f>
        <v>21</v>
      </c>
    </row>
    <row r="47" spans="1:24">
      <c r="A47" s="60" t="s">
        <v>895</v>
      </c>
      <c r="B47" s="60" t="s">
        <v>180</v>
      </c>
      <c r="C47" s="60" t="s">
        <v>181</v>
      </c>
      <c r="D47" s="60" t="s">
        <v>182</v>
      </c>
      <c r="E47" s="61" t="s">
        <v>46</v>
      </c>
      <c r="F47" s="62" t="s">
        <v>46</v>
      </c>
      <c r="G47" s="63" t="s">
        <v>46</v>
      </c>
      <c r="H47" s="64"/>
      <c r="I47" s="64" t="s">
        <v>47</v>
      </c>
      <c r="J47" s="65">
        <v>1</v>
      </c>
      <c r="K47" s="66">
        <f>5290</f>
        <v>5290</v>
      </c>
      <c r="L47" s="67" t="s">
        <v>853</v>
      </c>
      <c r="M47" s="66">
        <f>5460</f>
        <v>5460</v>
      </c>
      <c r="N47" s="67" t="s">
        <v>873</v>
      </c>
      <c r="O47" s="66">
        <f>5110</f>
        <v>5110</v>
      </c>
      <c r="P47" s="67" t="s">
        <v>857</v>
      </c>
      <c r="Q47" s="66">
        <f>5450</f>
        <v>5450</v>
      </c>
      <c r="R47" s="67" t="s">
        <v>873</v>
      </c>
      <c r="S47" s="68">
        <f>5329.05</f>
        <v>5329.05</v>
      </c>
      <c r="T47" s="65">
        <f>2340</f>
        <v>2340</v>
      </c>
      <c r="U47" s="65" t="str">
        <f t="shared" si="0"/>
        <v>－</v>
      </c>
      <c r="V47" s="65">
        <f>12509220</f>
        <v>12509220</v>
      </c>
      <c r="W47" s="65" t="str">
        <f t="shared" si="1"/>
        <v>－</v>
      </c>
      <c r="X47" s="69">
        <f>21</f>
        <v>21</v>
      </c>
    </row>
    <row r="48" spans="1:24">
      <c r="A48" s="60" t="s">
        <v>895</v>
      </c>
      <c r="B48" s="60" t="s">
        <v>183</v>
      </c>
      <c r="C48" s="60" t="s">
        <v>184</v>
      </c>
      <c r="D48" s="60" t="s">
        <v>185</v>
      </c>
      <c r="E48" s="61" t="s">
        <v>46</v>
      </c>
      <c r="F48" s="62" t="s">
        <v>46</v>
      </c>
      <c r="G48" s="63" t="s">
        <v>46</v>
      </c>
      <c r="H48" s="64"/>
      <c r="I48" s="64" t="s">
        <v>47</v>
      </c>
      <c r="J48" s="65">
        <v>1</v>
      </c>
      <c r="K48" s="66">
        <f>2498</f>
        <v>2498</v>
      </c>
      <c r="L48" s="67" t="s">
        <v>853</v>
      </c>
      <c r="M48" s="66">
        <f>2660</f>
        <v>2660</v>
      </c>
      <c r="N48" s="67" t="s">
        <v>873</v>
      </c>
      <c r="O48" s="66">
        <f>2478</f>
        <v>2478</v>
      </c>
      <c r="P48" s="67" t="s">
        <v>853</v>
      </c>
      <c r="Q48" s="66">
        <f>2624</f>
        <v>2624</v>
      </c>
      <c r="R48" s="67" t="s">
        <v>873</v>
      </c>
      <c r="S48" s="68">
        <f>2557.71</f>
        <v>2557.71</v>
      </c>
      <c r="T48" s="65">
        <f>3708</f>
        <v>3708</v>
      </c>
      <c r="U48" s="65" t="str">
        <f t="shared" si="0"/>
        <v>－</v>
      </c>
      <c r="V48" s="65">
        <f>9535416</f>
        <v>9535416</v>
      </c>
      <c r="W48" s="65" t="str">
        <f t="shared" si="1"/>
        <v>－</v>
      </c>
      <c r="X48" s="69">
        <f>21</f>
        <v>21</v>
      </c>
    </row>
    <row r="49" spans="1:24">
      <c r="A49" s="60" t="s">
        <v>895</v>
      </c>
      <c r="B49" s="60" t="s">
        <v>186</v>
      </c>
      <c r="C49" s="60" t="s">
        <v>187</v>
      </c>
      <c r="D49" s="60" t="s">
        <v>188</v>
      </c>
      <c r="E49" s="61" t="s">
        <v>46</v>
      </c>
      <c r="F49" s="62" t="s">
        <v>46</v>
      </c>
      <c r="G49" s="63" t="s">
        <v>46</v>
      </c>
      <c r="H49" s="64"/>
      <c r="I49" s="64" t="s">
        <v>47</v>
      </c>
      <c r="J49" s="65">
        <v>1</v>
      </c>
      <c r="K49" s="66">
        <f>2548</f>
        <v>2548</v>
      </c>
      <c r="L49" s="67" t="s">
        <v>853</v>
      </c>
      <c r="M49" s="66">
        <f>2646</f>
        <v>2646</v>
      </c>
      <c r="N49" s="67" t="s">
        <v>131</v>
      </c>
      <c r="O49" s="66">
        <f>2529</f>
        <v>2529</v>
      </c>
      <c r="P49" s="67" t="s">
        <v>853</v>
      </c>
      <c r="Q49" s="66">
        <f>2625</f>
        <v>2625</v>
      </c>
      <c r="R49" s="67" t="s">
        <v>873</v>
      </c>
      <c r="S49" s="68">
        <f>2590.81</f>
        <v>2590.81</v>
      </c>
      <c r="T49" s="65">
        <f>7805</f>
        <v>7805</v>
      </c>
      <c r="U49" s="65" t="str">
        <f t="shared" si="0"/>
        <v>－</v>
      </c>
      <c r="V49" s="65">
        <f>20132894</f>
        <v>20132894</v>
      </c>
      <c r="W49" s="65" t="str">
        <f t="shared" si="1"/>
        <v>－</v>
      </c>
      <c r="X49" s="69">
        <f>21</f>
        <v>21</v>
      </c>
    </row>
    <row r="50" spans="1:24">
      <c r="A50" s="60" t="s">
        <v>895</v>
      </c>
      <c r="B50" s="60" t="s">
        <v>189</v>
      </c>
      <c r="C50" s="60" t="s">
        <v>190</v>
      </c>
      <c r="D50" s="60" t="s">
        <v>191</v>
      </c>
      <c r="E50" s="61" t="s">
        <v>46</v>
      </c>
      <c r="F50" s="62" t="s">
        <v>46</v>
      </c>
      <c r="G50" s="63" t="s">
        <v>46</v>
      </c>
      <c r="H50" s="64"/>
      <c r="I50" s="64" t="s">
        <v>47</v>
      </c>
      <c r="J50" s="65">
        <v>1</v>
      </c>
      <c r="K50" s="66">
        <f>43450</f>
        <v>43450</v>
      </c>
      <c r="L50" s="67" t="s">
        <v>853</v>
      </c>
      <c r="M50" s="66">
        <f>47150</f>
        <v>47150</v>
      </c>
      <c r="N50" s="67" t="s">
        <v>613</v>
      </c>
      <c r="O50" s="66">
        <f>42900</f>
        <v>42900</v>
      </c>
      <c r="P50" s="67" t="s">
        <v>857</v>
      </c>
      <c r="Q50" s="66">
        <f>45750</f>
        <v>45750</v>
      </c>
      <c r="R50" s="67" t="s">
        <v>873</v>
      </c>
      <c r="S50" s="68">
        <f>44778.57</f>
        <v>44778.57</v>
      </c>
      <c r="T50" s="65">
        <f>2017</f>
        <v>2017</v>
      </c>
      <c r="U50" s="65" t="str">
        <f t="shared" si="0"/>
        <v>－</v>
      </c>
      <c r="V50" s="65">
        <f>91049450</f>
        <v>91049450</v>
      </c>
      <c r="W50" s="65" t="str">
        <f t="shared" si="1"/>
        <v>－</v>
      </c>
      <c r="X50" s="69">
        <f>21</f>
        <v>21</v>
      </c>
    </row>
    <row r="51" spans="1:24">
      <c r="A51" s="60" t="s">
        <v>895</v>
      </c>
      <c r="B51" s="60" t="s">
        <v>192</v>
      </c>
      <c r="C51" s="60" t="s">
        <v>193</v>
      </c>
      <c r="D51" s="60" t="s">
        <v>194</v>
      </c>
      <c r="E51" s="61" t="s">
        <v>46</v>
      </c>
      <c r="F51" s="62" t="s">
        <v>46</v>
      </c>
      <c r="G51" s="63" t="s">
        <v>46</v>
      </c>
      <c r="H51" s="64"/>
      <c r="I51" s="64" t="s">
        <v>47</v>
      </c>
      <c r="J51" s="65">
        <v>1</v>
      </c>
      <c r="K51" s="66">
        <f>31600</f>
        <v>31600</v>
      </c>
      <c r="L51" s="67" t="s">
        <v>857</v>
      </c>
      <c r="M51" s="66">
        <f>33000</f>
        <v>33000</v>
      </c>
      <c r="N51" s="67" t="s">
        <v>613</v>
      </c>
      <c r="O51" s="66">
        <f>31100</f>
        <v>31100</v>
      </c>
      <c r="P51" s="67" t="s">
        <v>857</v>
      </c>
      <c r="Q51" s="66">
        <f>32850</f>
        <v>32850</v>
      </c>
      <c r="R51" s="67" t="s">
        <v>873</v>
      </c>
      <c r="S51" s="68">
        <f>32307.89</f>
        <v>32307.89</v>
      </c>
      <c r="T51" s="65">
        <f>419</f>
        <v>419</v>
      </c>
      <c r="U51" s="65" t="str">
        <f t="shared" si="0"/>
        <v>－</v>
      </c>
      <c r="V51" s="65">
        <f>13519200</f>
        <v>13519200</v>
      </c>
      <c r="W51" s="65" t="str">
        <f t="shared" si="1"/>
        <v>－</v>
      </c>
      <c r="X51" s="69">
        <f>19</f>
        <v>19</v>
      </c>
    </row>
    <row r="52" spans="1:24">
      <c r="A52" s="60" t="s">
        <v>895</v>
      </c>
      <c r="B52" s="60" t="s">
        <v>195</v>
      </c>
      <c r="C52" s="60" t="s">
        <v>196</v>
      </c>
      <c r="D52" s="60" t="s">
        <v>197</v>
      </c>
      <c r="E52" s="61" t="s">
        <v>46</v>
      </c>
      <c r="F52" s="62" t="s">
        <v>46</v>
      </c>
      <c r="G52" s="63" t="s">
        <v>46</v>
      </c>
      <c r="H52" s="64"/>
      <c r="I52" s="64" t="s">
        <v>47</v>
      </c>
      <c r="J52" s="65">
        <v>1</v>
      </c>
      <c r="K52" s="66">
        <f>29830</f>
        <v>29830</v>
      </c>
      <c r="L52" s="67" t="s">
        <v>853</v>
      </c>
      <c r="M52" s="66">
        <f>30600</f>
        <v>30600</v>
      </c>
      <c r="N52" s="67" t="s">
        <v>84</v>
      </c>
      <c r="O52" s="66">
        <f>28740</f>
        <v>28740</v>
      </c>
      <c r="P52" s="67" t="s">
        <v>268</v>
      </c>
      <c r="Q52" s="66">
        <f>29160</f>
        <v>29160</v>
      </c>
      <c r="R52" s="67" t="s">
        <v>873</v>
      </c>
      <c r="S52" s="68">
        <f>29666.47</f>
        <v>29666.47</v>
      </c>
      <c r="T52" s="65">
        <f>409669</f>
        <v>409669</v>
      </c>
      <c r="U52" s="65">
        <f>402281</f>
        <v>402281</v>
      </c>
      <c r="V52" s="65">
        <f>11867852770</f>
        <v>11867852770</v>
      </c>
      <c r="W52" s="65">
        <f>11646730050</f>
        <v>11646730050</v>
      </c>
      <c r="X52" s="69">
        <f>17</f>
        <v>17</v>
      </c>
    </row>
    <row r="53" spans="1:24">
      <c r="A53" s="60" t="s">
        <v>895</v>
      </c>
      <c r="B53" s="60" t="s">
        <v>198</v>
      </c>
      <c r="C53" s="60" t="s">
        <v>199</v>
      </c>
      <c r="D53" s="60" t="s">
        <v>200</v>
      </c>
      <c r="E53" s="61" t="s">
        <v>46</v>
      </c>
      <c r="F53" s="62" t="s">
        <v>46</v>
      </c>
      <c r="G53" s="63" t="s">
        <v>46</v>
      </c>
      <c r="H53" s="64"/>
      <c r="I53" s="64" t="s">
        <v>47</v>
      </c>
      <c r="J53" s="65">
        <v>10</v>
      </c>
      <c r="K53" s="66">
        <f>2048</f>
        <v>2048</v>
      </c>
      <c r="L53" s="67" t="s">
        <v>853</v>
      </c>
      <c r="M53" s="66">
        <f>2146</f>
        <v>2146</v>
      </c>
      <c r="N53" s="67" t="s">
        <v>131</v>
      </c>
      <c r="O53" s="66">
        <f>2018</f>
        <v>2018</v>
      </c>
      <c r="P53" s="67" t="s">
        <v>853</v>
      </c>
      <c r="Q53" s="66">
        <f>2104</f>
        <v>2104</v>
      </c>
      <c r="R53" s="67" t="s">
        <v>873</v>
      </c>
      <c r="S53" s="68">
        <f>2078.76</f>
        <v>2078.7600000000002</v>
      </c>
      <c r="T53" s="65">
        <f>637440</f>
        <v>637440</v>
      </c>
      <c r="U53" s="65">
        <f>294990</f>
        <v>294990</v>
      </c>
      <c r="V53" s="65">
        <f>1321919641</f>
        <v>1321919641</v>
      </c>
      <c r="W53" s="65">
        <f>605275241</f>
        <v>605275241</v>
      </c>
      <c r="X53" s="69">
        <f>21</f>
        <v>21</v>
      </c>
    </row>
    <row r="54" spans="1:24">
      <c r="A54" s="60" t="s">
        <v>895</v>
      </c>
      <c r="B54" s="60" t="s">
        <v>201</v>
      </c>
      <c r="C54" s="60" t="s">
        <v>202</v>
      </c>
      <c r="D54" s="60" t="s">
        <v>203</v>
      </c>
      <c r="E54" s="61" t="s">
        <v>46</v>
      </c>
      <c r="F54" s="62" t="s">
        <v>46</v>
      </c>
      <c r="G54" s="63" t="s">
        <v>46</v>
      </c>
      <c r="H54" s="64"/>
      <c r="I54" s="64" t="s">
        <v>47</v>
      </c>
      <c r="J54" s="65">
        <v>10</v>
      </c>
      <c r="K54" s="66">
        <f>1655</f>
        <v>1655</v>
      </c>
      <c r="L54" s="67" t="s">
        <v>853</v>
      </c>
      <c r="M54" s="66">
        <f>1655</f>
        <v>1655</v>
      </c>
      <c r="N54" s="67" t="s">
        <v>853</v>
      </c>
      <c r="O54" s="66">
        <f>1547</f>
        <v>1547</v>
      </c>
      <c r="P54" s="67" t="s">
        <v>268</v>
      </c>
      <c r="Q54" s="66">
        <f>1565</f>
        <v>1565</v>
      </c>
      <c r="R54" s="67" t="s">
        <v>873</v>
      </c>
      <c r="S54" s="68">
        <f>1596.9</f>
        <v>1596.9</v>
      </c>
      <c r="T54" s="65">
        <f>16400</f>
        <v>16400</v>
      </c>
      <c r="U54" s="65" t="str">
        <f>"－"</f>
        <v>－</v>
      </c>
      <c r="V54" s="65">
        <f>26220200</f>
        <v>26220200</v>
      </c>
      <c r="W54" s="65" t="str">
        <f>"－"</f>
        <v>－</v>
      </c>
      <c r="X54" s="69">
        <f>20</f>
        <v>20</v>
      </c>
    </row>
    <row r="55" spans="1:24">
      <c r="A55" s="60" t="s">
        <v>895</v>
      </c>
      <c r="B55" s="60" t="s">
        <v>204</v>
      </c>
      <c r="C55" s="60" t="s">
        <v>205</v>
      </c>
      <c r="D55" s="60" t="s">
        <v>206</v>
      </c>
      <c r="E55" s="61" t="s">
        <v>46</v>
      </c>
      <c r="F55" s="62" t="s">
        <v>46</v>
      </c>
      <c r="G55" s="63" t="s">
        <v>46</v>
      </c>
      <c r="H55" s="64"/>
      <c r="I55" s="64" t="s">
        <v>47</v>
      </c>
      <c r="J55" s="65">
        <v>1</v>
      </c>
      <c r="K55" s="66">
        <f>4315</f>
        <v>4315</v>
      </c>
      <c r="L55" s="67" t="s">
        <v>853</v>
      </c>
      <c r="M55" s="66">
        <f>4460</f>
        <v>4460</v>
      </c>
      <c r="N55" s="67" t="s">
        <v>268</v>
      </c>
      <c r="O55" s="66">
        <f>4195</f>
        <v>4195</v>
      </c>
      <c r="P55" s="67" t="s">
        <v>77</v>
      </c>
      <c r="Q55" s="66">
        <f>4400</f>
        <v>4400</v>
      </c>
      <c r="R55" s="67" t="s">
        <v>873</v>
      </c>
      <c r="S55" s="68">
        <f>4310</f>
        <v>4310</v>
      </c>
      <c r="T55" s="65">
        <f>894362</f>
        <v>894362</v>
      </c>
      <c r="U55" s="65">
        <f>2</f>
        <v>2</v>
      </c>
      <c r="V55" s="65">
        <f>3841013975</f>
        <v>3841013975</v>
      </c>
      <c r="W55" s="65">
        <f>8750</f>
        <v>8750</v>
      </c>
      <c r="X55" s="69">
        <f>21</f>
        <v>21</v>
      </c>
    </row>
    <row r="56" spans="1:24">
      <c r="A56" s="60" t="s">
        <v>895</v>
      </c>
      <c r="B56" s="60" t="s">
        <v>207</v>
      </c>
      <c r="C56" s="60" t="s">
        <v>208</v>
      </c>
      <c r="D56" s="60" t="s">
        <v>209</v>
      </c>
      <c r="E56" s="61" t="s">
        <v>46</v>
      </c>
      <c r="F56" s="62" t="s">
        <v>46</v>
      </c>
      <c r="G56" s="63" t="s">
        <v>46</v>
      </c>
      <c r="H56" s="64"/>
      <c r="I56" s="64" t="s">
        <v>47</v>
      </c>
      <c r="J56" s="65">
        <v>1</v>
      </c>
      <c r="K56" s="66">
        <f>5310</f>
        <v>5310</v>
      </c>
      <c r="L56" s="67" t="s">
        <v>853</v>
      </c>
      <c r="M56" s="66">
        <f>5560</f>
        <v>5560</v>
      </c>
      <c r="N56" s="67" t="s">
        <v>268</v>
      </c>
      <c r="O56" s="66">
        <f>5260</f>
        <v>5260</v>
      </c>
      <c r="P56" s="67" t="s">
        <v>77</v>
      </c>
      <c r="Q56" s="66">
        <f>5510</f>
        <v>5510</v>
      </c>
      <c r="R56" s="67" t="s">
        <v>873</v>
      </c>
      <c r="S56" s="68">
        <f>5387.62</f>
        <v>5387.62</v>
      </c>
      <c r="T56" s="65">
        <f>262205</f>
        <v>262205</v>
      </c>
      <c r="U56" s="65" t="str">
        <f>"－"</f>
        <v>－</v>
      </c>
      <c r="V56" s="65">
        <f>1409002790</f>
        <v>1409002790</v>
      </c>
      <c r="W56" s="65" t="str">
        <f>"－"</f>
        <v>－</v>
      </c>
      <c r="X56" s="69">
        <f>21</f>
        <v>21</v>
      </c>
    </row>
    <row r="57" spans="1:24">
      <c r="A57" s="60" t="s">
        <v>895</v>
      </c>
      <c r="B57" s="60" t="s">
        <v>210</v>
      </c>
      <c r="C57" s="60" t="s">
        <v>211</v>
      </c>
      <c r="D57" s="60" t="s">
        <v>212</v>
      </c>
      <c r="E57" s="61" t="s">
        <v>46</v>
      </c>
      <c r="F57" s="62" t="s">
        <v>46</v>
      </c>
      <c r="G57" s="63" t="s">
        <v>46</v>
      </c>
      <c r="H57" s="64"/>
      <c r="I57" s="64" t="s">
        <v>47</v>
      </c>
      <c r="J57" s="65">
        <v>1</v>
      </c>
      <c r="K57" s="66">
        <f>19390</f>
        <v>19390</v>
      </c>
      <c r="L57" s="67" t="s">
        <v>853</v>
      </c>
      <c r="M57" s="66">
        <f>20440</f>
        <v>20440</v>
      </c>
      <c r="N57" s="67" t="s">
        <v>77</v>
      </c>
      <c r="O57" s="66">
        <f>18010</f>
        <v>18010</v>
      </c>
      <c r="P57" s="67" t="s">
        <v>268</v>
      </c>
      <c r="Q57" s="66">
        <f>18550</f>
        <v>18550</v>
      </c>
      <c r="R57" s="67" t="s">
        <v>873</v>
      </c>
      <c r="S57" s="68">
        <f>19352.86</f>
        <v>19352.86</v>
      </c>
      <c r="T57" s="65">
        <f>15982566</f>
        <v>15982566</v>
      </c>
      <c r="U57" s="65">
        <f>20</f>
        <v>20</v>
      </c>
      <c r="V57" s="65">
        <f>309038362790</f>
        <v>309038362790</v>
      </c>
      <c r="W57" s="65">
        <f>383990</f>
        <v>383990</v>
      </c>
      <c r="X57" s="69">
        <f>21</f>
        <v>21</v>
      </c>
    </row>
    <row r="58" spans="1:24">
      <c r="A58" s="60" t="s">
        <v>895</v>
      </c>
      <c r="B58" s="60" t="s">
        <v>213</v>
      </c>
      <c r="C58" s="60" t="s">
        <v>214</v>
      </c>
      <c r="D58" s="60" t="s">
        <v>215</v>
      </c>
      <c r="E58" s="61" t="s">
        <v>46</v>
      </c>
      <c r="F58" s="62" t="s">
        <v>46</v>
      </c>
      <c r="G58" s="63" t="s">
        <v>46</v>
      </c>
      <c r="H58" s="64"/>
      <c r="I58" s="64" t="s">
        <v>47</v>
      </c>
      <c r="J58" s="65">
        <v>1</v>
      </c>
      <c r="K58" s="66">
        <f>1631</f>
        <v>1631</v>
      </c>
      <c r="L58" s="67" t="s">
        <v>853</v>
      </c>
      <c r="M58" s="66">
        <f>1743</f>
        <v>1743</v>
      </c>
      <c r="N58" s="67" t="s">
        <v>268</v>
      </c>
      <c r="O58" s="66">
        <f>1545</f>
        <v>1545</v>
      </c>
      <c r="P58" s="67" t="s">
        <v>77</v>
      </c>
      <c r="Q58" s="66">
        <f>1689</f>
        <v>1689</v>
      </c>
      <c r="R58" s="67" t="s">
        <v>873</v>
      </c>
      <c r="S58" s="68">
        <f>1627.29</f>
        <v>1627.29</v>
      </c>
      <c r="T58" s="65">
        <f>76097128</f>
        <v>76097128</v>
      </c>
      <c r="U58" s="65">
        <f>9</f>
        <v>9</v>
      </c>
      <c r="V58" s="65">
        <f>123832562376</f>
        <v>123832562376</v>
      </c>
      <c r="W58" s="65">
        <f>14705</f>
        <v>14705</v>
      </c>
      <c r="X58" s="69">
        <f>21</f>
        <v>21</v>
      </c>
    </row>
    <row r="59" spans="1:24">
      <c r="A59" s="60" t="s">
        <v>895</v>
      </c>
      <c r="B59" s="60" t="s">
        <v>216</v>
      </c>
      <c r="C59" s="60" t="s">
        <v>217</v>
      </c>
      <c r="D59" s="60" t="s">
        <v>218</v>
      </c>
      <c r="E59" s="61" t="s">
        <v>46</v>
      </c>
      <c r="F59" s="62" t="s">
        <v>46</v>
      </c>
      <c r="G59" s="63" t="s">
        <v>46</v>
      </c>
      <c r="H59" s="64"/>
      <c r="I59" s="64" t="s">
        <v>47</v>
      </c>
      <c r="J59" s="65">
        <v>1</v>
      </c>
      <c r="K59" s="66">
        <f>24010</f>
        <v>24010</v>
      </c>
      <c r="L59" s="67" t="s">
        <v>853</v>
      </c>
      <c r="M59" s="66">
        <f>24530</f>
        <v>24530</v>
      </c>
      <c r="N59" s="67" t="s">
        <v>49</v>
      </c>
      <c r="O59" s="66">
        <f>24010</f>
        <v>24010</v>
      </c>
      <c r="P59" s="67" t="s">
        <v>853</v>
      </c>
      <c r="Q59" s="66">
        <f>24100</f>
        <v>24100</v>
      </c>
      <c r="R59" s="67" t="s">
        <v>873</v>
      </c>
      <c r="S59" s="68">
        <f>24152.5</f>
        <v>24152.5</v>
      </c>
      <c r="T59" s="65">
        <f>38</f>
        <v>38</v>
      </c>
      <c r="U59" s="65" t="str">
        <f t="shared" ref="U59:U68" si="2">"－"</f>
        <v>－</v>
      </c>
      <c r="V59" s="65">
        <f>917540</f>
        <v>917540</v>
      </c>
      <c r="W59" s="65" t="str">
        <f t="shared" ref="W59:W68" si="3">"－"</f>
        <v>－</v>
      </c>
      <c r="X59" s="69">
        <f>12</f>
        <v>12</v>
      </c>
    </row>
    <row r="60" spans="1:24">
      <c r="A60" s="60" t="s">
        <v>895</v>
      </c>
      <c r="B60" s="60" t="s">
        <v>219</v>
      </c>
      <c r="C60" s="60" t="s">
        <v>220</v>
      </c>
      <c r="D60" s="60" t="s">
        <v>221</v>
      </c>
      <c r="E60" s="61" t="s">
        <v>46</v>
      </c>
      <c r="F60" s="62" t="s">
        <v>46</v>
      </c>
      <c r="G60" s="63" t="s">
        <v>46</v>
      </c>
      <c r="H60" s="64"/>
      <c r="I60" s="64" t="s">
        <v>47</v>
      </c>
      <c r="J60" s="65">
        <v>1</v>
      </c>
      <c r="K60" s="66">
        <f>15250</f>
        <v>15250</v>
      </c>
      <c r="L60" s="67" t="s">
        <v>853</v>
      </c>
      <c r="M60" s="66">
        <f>15580</f>
        <v>15580</v>
      </c>
      <c r="N60" s="67" t="s">
        <v>77</v>
      </c>
      <c r="O60" s="66">
        <f>13860</f>
        <v>13860</v>
      </c>
      <c r="P60" s="67" t="s">
        <v>268</v>
      </c>
      <c r="Q60" s="66">
        <f>14160</f>
        <v>14160</v>
      </c>
      <c r="R60" s="67" t="s">
        <v>873</v>
      </c>
      <c r="S60" s="68">
        <f>14793.33</f>
        <v>14793.33</v>
      </c>
      <c r="T60" s="65">
        <f>1768</f>
        <v>1768</v>
      </c>
      <c r="U60" s="65" t="str">
        <f t="shared" si="2"/>
        <v>－</v>
      </c>
      <c r="V60" s="65">
        <f>25975060</f>
        <v>25975060</v>
      </c>
      <c r="W60" s="65" t="str">
        <f t="shared" si="3"/>
        <v>－</v>
      </c>
      <c r="X60" s="69">
        <f>21</f>
        <v>21</v>
      </c>
    </row>
    <row r="61" spans="1:24">
      <c r="A61" s="60" t="s">
        <v>895</v>
      </c>
      <c r="B61" s="60" t="s">
        <v>222</v>
      </c>
      <c r="C61" s="60" t="s">
        <v>223</v>
      </c>
      <c r="D61" s="60" t="s">
        <v>224</v>
      </c>
      <c r="E61" s="61" t="s">
        <v>46</v>
      </c>
      <c r="F61" s="62" t="s">
        <v>46</v>
      </c>
      <c r="G61" s="63" t="s">
        <v>46</v>
      </c>
      <c r="H61" s="64"/>
      <c r="I61" s="64" t="s">
        <v>47</v>
      </c>
      <c r="J61" s="65">
        <v>1</v>
      </c>
      <c r="K61" s="66">
        <f>5180</f>
        <v>5180</v>
      </c>
      <c r="L61" s="67" t="s">
        <v>853</v>
      </c>
      <c r="M61" s="66">
        <f>5400</f>
        <v>5400</v>
      </c>
      <c r="N61" s="67" t="s">
        <v>268</v>
      </c>
      <c r="O61" s="66">
        <f>5140</f>
        <v>5140</v>
      </c>
      <c r="P61" s="67" t="s">
        <v>84</v>
      </c>
      <c r="Q61" s="66">
        <f>5310</f>
        <v>5310</v>
      </c>
      <c r="R61" s="67" t="s">
        <v>873</v>
      </c>
      <c r="S61" s="68">
        <f>5231</f>
        <v>5231</v>
      </c>
      <c r="T61" s="65">
        <f>255</f>
        <v>255</v>
      </c>
      <c r="U61" s="65" t="str">
        <f t="shared" si="2"/>
        <v>－</v>
      </c>
      <c r="V61" s="65">
        <f>1342110</f>
        <v>1342110</v>
      </c>
      <c r="W61" s="65" t="str">
        <f t="shared" si="3"/>
        <v>－</v>
      </c>
      <c r="X61" s="69">
        <f>10</f>
        <v>10</v>
      </c>
    </row>
    <row r="62" spans="1:24">
      <c r="A62" s="60" t="s">
        <v>895</v>
      </c>
      <c r="B62" s="60" t="s">
        <v>225</v>
      </c>
      <c r="C62" s="60" t="s">
        <v>226</v>
      </c>
      <c r="D62" s="60" t="s">
        <v>227</v>
      </c>
      <c r="E62" s="61" t="s">
        <v>46</v>
      </c>
      <c r="F62" s="62" t="s">
        <v>46</v>
      </c>
      <c r="G62" s="63" t="s">
        <v>46</v>
      </c>
      <c r="H62" s="64"/>
      <c r="I62" s="64" t="s">
        <v>47</v>
      </c>
      <c r="J62" s="65">
        <v>1</v>
      </c>
      <c r="K62" s="66">
        <f>2142</f>
        <v>2142</v>
      </c>
      <c r="L62" s="67" t="s">
        <v>853</v>
      </c>
      <c r="M62" s="66">
        <f>2366</f>
        <v>2366</v>
      </c>
      <c r="N62" s="67" t="s">
        <v>268</v>
      </c>
      <c r="O62" s="66">
        <f>2114</f>
        <v>2114</v>
      </c>
      <c r="P62" s="67" t="s">
        <v>77</v>
      </c>
      <c r="Q62" s="66">
        <f>2312</f>
        <v>2312</v>
      </c>
      <c r="R62" s="67" t="s">
        <v>873</v>
      </c>
      <c r="S62" s="68">
        <f>2219.24</f>
        <v>2219.2399999999998</v>
      </c>
      <c r="T62" s="65">
        <f>30412</f>
        <v>30412</v>
      </c>
      <c r="U62" s="65" t="str">
        <f t="shared" si="2"/>
        <v>－</v>
      </c>
      <c r="V62" s="65">
        <f>69201867</f>
        <v>69201867</v>
      </c>
      <c r="W62" s="65" t="str">
        <f t="shared" si="3"/>
        <v>－</v>
      </c>
      <c r="X62" s="69">
        <f>21</f>
        <v>21</v>
      </c>
    </row>
    <row r="63" spans="1:24">
      <c r="A63" s="60" t="s">
        <v>895</v>
      </c>
      <c r="B63" s="60" t="s">
        <v>228</v>
      </c>
      <c r="C63" s="60" t="s">
        <v>229</v>
      </c>
      <c r="D63" s="60" t="s">
        <v>230</v>
      </c>
      <c r="E63" s="61" t="s">
        <v>46</v>
      </c>
      <c r="F63" s="62" t="s">
        <v>46</v>
      </c>
      <c r="G63" s="63" t="s">
        <v>46</v>
      </c>
      <c r="H63" s="64"/>
      <c r="I63" s="64" t="s">
        <v>47</v>
      </c>
      <c r="J63" s="65">
        <v>10</v>
      </c>
      <c r="K63" s="66">
        <f>14310</f>
        <v>14310</v>
      </c>
      <c r="L63" s="67" t="s">
        <v>853</v>
      </c>
      <c r="M63" s="66">
        <f>14820</f>
        <v>14820</v>
      </c>
      <c r="N63" s="67" t="s">
        <v>77</v>
      </c>
      <c r="O63" s="66">
        <f>13310</f>
        <v>13310</v>
      </c>
      <c r="P63" s="67" t="s">
        <v>268</v>
      </c>
      <c r="Q63" s="66">
        <f>13500</f>
        <v>13500</v>
      </c>
      <c r="R63" s="67" t="s">
        <v>73</v>
      </c>
      <c r="S63" s="68">
        <f>14110.59</f>
        <v>14110.59</v>
      </c>
      <c r="T63" s="65">
        <f>2270</f>
        <v>2270</v>
      </c>
      <c r="U63" s="65" t="str">
        <f t="shared" si="2"/>
        <v>－</v>
      </c>
      <c r="V63" s="65">
        <f>31947900</f>
        <v>31947900</v>
      </c>
      <c r="W63" s="65" t="str">
        <f t="shared" si="3"/>
        <v>－</v>
      </c>
      <c r="X63" s="69">
        <f>17</f>
        <v>17</v>
      </c>
    </row>
    <row r="64" spans="1:24">
      <c r="A64" s="60" t="s">
        <v>895</v>
      </c>
      <c r="B64" s="60" t="s">
        <v>231</v>
      </c>
      <c r="C64" s="60" t="s">
        <v>232</v>
      </c>
      <c r="D64" s="60" t="s">
        <v>233</v>
      </c>
      <c r="E64" s="61" t="s">
        <v>46</v>
      </c>
      <c r="F64" s="62" t="s">
        <v>46</v>
      </c>
      <c r="G64" s="63" t="s">
        <v>46</v>
      </c>
      <c r="H64" s="64"/>
      <c r="I64" s="64" t="s">
        <v>47</v>
      </c>
      <c r="J64" s="65">
        <v>10</v>
      </c>
      <c r="K64" s="66">
        <f>5090</f>
        <v>5090</v>
      </c>
      <c r="L64" s="67" t="s">
        <v>84</v>
      </c>
      <c r="M64" s="66">
        <f>5300</f>
        <v>5300</v>
      </c>
      <c r="N64" s="67" t="s">
        <v>268</v>
      </c>
      <c r="O64" s="66">
        <f>5040</f>
        <v>5040</v>
      </c>
      <c r="P64" s="67" t="s">
        <v>84</v>
      </c>
      <c r="Q64" s="66">
        <f>5220</f>
        <v>5220</v>
      </c>
      <c r="R64" s="67" t="s">
        <v>88</v>
      </c>
      <c r="S64" s="68">
        <f>5146.67</f>
        <v>5146.67</v>
      </c>
      <c r="T64" s="65">
        <f>370</f>
        <v>370</v>
      </c>
      <c r="U64" s="65" t="str">
        <f t="shared" si="2"/>
        <v>－</v>
      </c>
      <c r="V64" s="65">
        <f>1920000</f>
        <v>1920000</v>
      </c>
      <c r="W64" s="65" t="str">
        <f t="shared" si="3"/>
        <v>－</v>
      </c>
      <c r="X64" s="69">
        <f>9</f>
        <v>9</v>
      </c>
    </row>
    <row r="65" spans="1:24">
      <c r="A65" s="60" t="s">
        <v>895</v>
      </c>
      <c r="B65" s="60" t="s">
        <v>234</v>
      </c>
      <c r="C65" s="60" t="s">
        <v>235</v>
      </c>
      <c r="D65" s="60" t="s">
        <v>236</v>
      </c>
      <c r="E65" s="61" t="s">
        <v>46</v>
      </c>
      <c r="F65" s="62" t="s">
        <v>46</v>
      </c>
      <c r="G65" s="63" t="s">
        <v>46</v>
      </c>
      <c r="H65" s="64"/>
      <c r="I65" s="64" t="s">
        <v>47</v>
      </c>
      <c r="J65" s="65">
        <v>10</v>
      </c>
      <c r="K65" s="66">
        <f>2154</f>
        <v>2154</v>
      </c>
      <c r="L65" s="67" t="s">
        <v>853</v>
      </c>
      <c r="M65" s="66">
        <f>2350</f>
        <v>2350</v>
      </c>
      <c r="N65" s="67" t="s">
        <v>268</v>
      </c>
      <c r="O65" s="66">
        <f>2110</f>
        <v>2110</v>
      </c>
      <c r="P65" s="67" t="s">
        <v>84</v>
      </c>
      <c r="Q65" s="66">
        <f>2286</f>
        <v>2286</v>
      </c>
      <c r="R65" s="67" t="s">
        <v>873</v>
      </c>
      <c r="S65" s="68">
        <f>2203.43</f>
        <v>2203.4299999999998</v>
      </c>
      <c r="T65" s="65">
        <f>69240</f>
        <v>69240</v>
      </c>
      <c r="U65" s="65" t="str">
        <f t="shared" si="2"/>
        <v>－</v>
      </c>
      <c r="V65" s="65">
        <f>153594430</f>
        <v>153594430</v>
      </c>
      <c r="W65" s="65" t="str">
        <f t="shared" si="3"/>
        <v>－</v>
      </c>
      <c r="X65" s="69">
        <f>21</f>
        <v>21</v>
      </c>
    </row>
    <row r="66" spans="1:24">
      <c r="A66" s="60" t="s">
        <v>895</v>
      </c>
      <c r="B66" s="60" t="s">
        <v>237</v>
      </c>
      <c r="C66" s="60" t="s">
        <v>238</v>
      </c>
      <c r="D66" s="60" t="s">
        <v>239</v>
      </c>
      <c r="E66" s="61" t="s">
        <v>46</v>
      </c>
      <c r="F66" s="62" t="s">
        <v>46</v>
      </c>
      <c r="G66" s="63" t="s">
        <v>46</v>
      </c>
      <c r="H66" s="64" t="s">
        <v>540</v>
      </c>
      <c r="I66" s="64" t="s">
        <v>47</v>
      </c>
      <c r="J66" s="65">
        <v>1</v>
      </c>
      <c r="K66" s="66">
        <f>25000</f>
        <v>25000</v>
      </c>
      <c r="L66" s="67" t="s">
        <v>853</v>
      </c>
      <c r="M66" s="66">
        <f>30600</f>
        <v>30600</v>
      </c>
      <c r="N66" s="67" t="s">
        <v>92</v>
      </c>
      <c r="O66" s="66">
        <f>24780</f>
        <v>24780</v>
      </c>
      <c r="P66" s="67" t="s">
        <v>96</v>
      </c>
      <c r="Q66" s="66">
        <f>28170</f>
        <v>28170</v>
      </c>
      <c r="R66" s="67" t="s">
        <v>873</v>
      </c>
      <c r="S66" s="68">
        <f>27954.5</f>
        <v>27954.5</v>
      </c>
      <c r="T66" s="65">
        <f>43261</f>
        <v>43261</v>
      </c>
      <c r="U66" s="65" t="str">
        <f t="shared" si="2"/>
        <v>－</v>
      </c>
      <c r="V66" s="65">
        <f>1285358370</f>
        <v>1285358370</v>
      </c>
      <c r="W66" s="65" t="str">
        <f t="shared" si="3"/>
        <v>－</v>
      </c>
      <c r="X66" s="69">
        <f>20</f>
        <v>20</v>
      </c>
    </row>
    <row r="67" spans="1:24">
      <c r="A67" s="60" t="s">
        <v>895</v>
      </c>
      <c r="B67" s="60" t="s">
        <v>241</v>
      </c>
      <c r="C67" s="60" t="s">
        <v>242</v>
      </c>
      <c r="D67" s="60" t="s">
        <v>243</v>
      </c>
      <c r="E67" s="61" t="s">
        <v>46</v>
      </c>
      <c r="F67" s="62" t="s">
        <v>46</v>
      </c>
      <c r="G67" s="63" t="s">
        <v>46</v>
      </c>
      <c r="H67" s="64"/>
      <c r="I67" s="64" t="s">
        <v>47</v>
      </c>
      <c r="J67" s="65">
        <v>1</v>
      </c>
      <c r="K67" s="66">
        <f>3375</f>
        <v>3375</v>
      </c>
      <c r="L67" s="67" t="s">
        <v>84</v>
      </c>
      <c r="M67" s="66">
        <f>3525</f>
        <v>3525</v>
      </c>
      <c r="N67" s="67" t="s">
        <v>240</v>
      </c>
      <c r="O67" s="66">
        <f>3305</f>
        <v>3305</v>
      </c>
      <c r="P67" s="67" t="s">
        <v>84</v>
      </c>
      <c r="Q67" s="66">
        <f>3455</f>
        <v>3455</v>
      </c>
      <c r="R67" s="67" t="s">
        <v>873</v>
      </c>
      <c r="S67" s="68">
        <f>3390.77</f>
        <v>3390.77</v>
      </c>
      <c r="T67" s="65">
        <f>660</f>
        <v>660</v>
      </c>
      <c r="U67" s="65" t="str">
        <f t="shared" si="2"/>
        <v>－</v>
      </c>
      <c r="V67" s="65">
        <f>2264895</f>
        <v>2264895</v>
      </c>
      <c r="W67" s="65" t="str">
        <f t="shared" si="3"/>
        <v>－</v>
      </c>
      <c r="X67" s="69">
        <f>13</f>
        <v>13</v>
      </c>
    </row>
    <row r="68" spans="1:24">
      <c r="A68" s="60" t="s">
        <v>895</v>
      </c>
      <c r="B68" s="60" t="s">
        <v>244</v>
      </c>
      <c r="C68" s="60" t="s">
        <v>245</v>
      </c>
      <c r="D68" s="60" t="s">
        <v>246</v>
      </c>
      <c r="E68" s="61" t="s">
        <v>46</v>
      </c>
      <c r="F68" s="62" t="s">
        <v>46</v>
      </c>
      <c r="G68" s="63" t="s">
        <v>46</v>
      </c>
      <c r="H68" s="64"/>
      <c r="I68" s="64" t="s">
        <v>47</v>
      </c>
      <c r="J68" s="65">
        <v>1</v>
      </c>
      <c r="K68" s="66">
        <f>870</f>
        <v>870</v>
      </c>
      <c r="L68" s="67" t="s">
        <v>853</v>
      </c>
      <c r="M68" s="66">
        <f>940</f>
        <v>940</v>
      </c>
      <c r="N68" s="67" t="s">
        <v>268</v>
      </c>
      <c r="O68" s="66">
        <f>834</f>
        <v>834</v>
      </c>
      <c r="P68" s="67" t="s">
        <v>84</v>
      </c>
      <c r="Q68" s="66">
        <f>922</f>
        <v>922</v>
      </c>
      <c r="R68" s="67" t="s">
        <v>873</v>
      </c>
      <c r="S68" s="68">
        <f>884.14</f>
        <v>884.14</v>
      </c>
      <c r="T68" s="65">
        <f>95886</f>
        <v>95886</v>
      </c>
      <c r="U68" s="65" t="str">
        <f t="shared" si="2"/>
        <v>－</v>
      </c>
      <c r="V68" s="65">
        <f>86145974</f>
        <v>86145974</v>
      </c>
      <c r="W68" s="65" t="str">
        <f t="shared" si="3"/>
        <v>－</v>
      </c>
      <c r="X68" s="69">
        <f>21</f>
        <v>21</v>
      </c>
    </row>
    <row r="69" spans="1:24">
      <c r="A69" s="60" t="s">
        <v>895</v>
      </c>
      <c r="B69" s="60" t="s">
        <v>247</v>
      </c>
      <c r="C69" s="60" t="s">
        <v>248</v>
      </c>
      <c r="D69" s="60" t="s">
        <v>249</v>
      </c>
      <c r="E69" s="61" t="s">
        <v>46</v>
      </c>
      <c r="F69" s="62" t="s">
        <v>46</v>
      </c>
      <c r="G69" s="63" t="s">
        <v>46</v>
      </c>
      <c r="H69" s="64"/>
      <c r="I69" s="64" t="s">
        <v>47</v>
      </c>
      <c r="J69" s="65">
        <v>10</v>
      </c>
      <c r="K69" s="66">
        <f>2013</f>
        <v>2013</v>
      </c>
      <c r="L69" s="67" t="s">
        <v>853</v>
      </c>
      <c r="M69" s="66">
        <f>2030</f>
        <v>2030</v>
      </c>
      <c r="N69" s="67" t="s">
        <v>77</v>
      </c>
      <c r="O69" s="66">
        <f>1918</f>
        <v>1918</v>
      </c>
      <c r="P69" s="67" t="s">
        <v>268</v>
      </c>
      <c r="Q69" s="66">
        <f>1937</f>
        <v>1937</v>
      </c>
      <c r="R69" s="67" t="s">
        <v>873</v>
      </c>
      <c r="S69" s="68">
        <f>1979.14</f>
        <v>1979.14</v>
      </c>
      <c r="T69" s="65">
        <f>10643650</f>
        <v>10643650</v>
      </c>
      <c r="U69" s="65">
        <f>10327040</f>
        <v>10327040</v>
      </c>
      <c r="V69" s="65">
        <f>21431379906</f>
        <v>21431379906</v>
      </c>
      <c r="W69" s="65">
        <f>20804456026</f>
        <v>20804456026</v>
      </c>
      <c r="X69" s="69">
        <f>21</f>
        <v>21</v>
      </c>
    </row>
    <row r="70" spans="1:24">
      <c r="A70" s="60" t="s">
        <v>895</v>
      </c>
      <c r="B70" s="60" t="s">
        <v>250</v>
      </c>
      <c r="C70" s="60" t="s">
        <v>251</v>
      </c>
      <c r="D70" s="60" t="s">
        <v>252</v>
      </c>
      <c r="E70" s="61" t="s">
        <v>46</v>
      </c>
      <c r="F70" s="62" t="s">
        <v>46</v>
      </c>
      <c r="G70" s="63" t="s">
        <v>46</v>
      </c>
      <c r="H70" s="64"/>
      <c r="I70" s="64" t="s">
        <v>47</v>
      </c>
      <c r="J70" s="65">
        <v>1</v>
      </c>
      <c r="K70" s="66">
        <f>18060</f>
        <v>18060</v>
      </c>
      <c r="L70" s="67" t="s">
        <v>853</v>
      </c>
      <c r="M70" s="66">
        <f>18220</f>
        <v>18220</v>
      </c>
      <c r="N70" s="67" t="s">
        <v>77</v>
      </c>
      <c r="O70" s="66">
        <f>17200</f>
        <v>17200</v>
      </c>
      <c r="P70" s="67" t="s">
        <v>268</v>
      </c>
      <c r="Q70" s="66">
        <f>17370</f>
        <v>17370</v>
      </c>
      <c r="R70" s="67" t="s">
        <v>873</v>
      </c>
      <c r="S70" s="68">
        <f>17757.14</f>
        <v>17757.14</v>
      </c>
      <c r="T70" s="65">
        <f>40160</f>
        <v>40160</v>
      </c>
      <c r="U70" s="65" t="str">
        <f>"－"</f>
        <v>－</v>
      </c>
      <c r="V70" s="65">
        <f>721541240</f>
        <v>721541240</v>
      </c>
      <c r="W70" s="65" t="str">
        <f>"－"</f>
        <v>－</v>
      </c>
      <c r="X70" s="69">
        <f>21</f>
        <v>21</v>
      </c>
    </row>
    <row r="71" spans="1:24">
      <c r="A71" s="60" t="s">
        <v>895</v>
      </c>
      <c r="B71" s="60" t="s">
        <v>253</v>
      </c>
      <c r="C71" s="60" t="s">
        <v>254</v>
      </c>
      <c r="D71" s="60" t="s">
        <v>255</v>
      </c>
      <c r="E71" s="61" t="s">
        <v>46</v>
      </c>
      <c r="F71" s="62" t="s">
        <v>46</v>
      </c>
      <c r="G71" s="63" t="s">
        <v>46</v>
      </c>
      <c r="H71" s="64"/>
      <c r="I71" s="64" t="s">
        <v>47</v>
      </c>
      <c r="J71" s="65">
        <v>1</v>
      </c>
      <c r="K71" s="66">
        <f>2027</f>
        <v>2027</v>
      </c>
      <c r="L71" s="67" t="s">
        <v>853</v>
      </c>
      <c r="M71" s="66">
        <f>2044</f>
        <v>2044</v>
      </c>
      <c r="N71" s="67" t="s">
        <v>77</v>
      </c>
      <c r="O71" s="66">
        <f>1929</f>
        <v>1929</v>
      </c>
      <c r="P71" s="67" t="s">
        <v>268</v>
      </c>
      <c r="Q71" s="66">
        <f>1951</f>
        <v>1951</v>
      </c>
      <c r="R71" s="67" t="s">
        <v>873</v>
      </c>
      <c r="S71" s="68">
        <f>1993.52</f>
        <v>1993.52</v>
      </c>
      <c r="T71" s="65">
        <f>23127238</f>
        <v>23127238</v>
      </c>
      <c r="U71" s="65">
        <f>20789859</f>
        <v>20789859</v>
      </c>
      <c r="V71" s="65">
        <f>46672748777</f>
        <v>46672748777</v>
      </c>
      <c r="W71" s="65">
        <f>42033432401</f>
        <v>42033432401</v>
      </c>
      <c r="X71" s="69">
        <f>21</f>
        <v>21</v>
      </c>
    </row>
    <row r="72" spans="1:24">
      <c r="A72" s="60" t="s">
        <v>895</v>
      </c>
      <c r="B72" s="60" t="s">
        <v>256</v>
      </c>
      <c r="C72" s="60" t="s">
        <v>257</v>
      </c>
      <c r="D72" s="60" t="s">
        <v>258</v>
      </c>
      <c r="E72" s="61" t="s">
        <v>46</v>
      </c>
      <c r="F72" s="62" t="s">
        <v>46</v>
      </c>
      <c r="G72" s="63" t="s">
        <v>46</v>
      </c>
      <c r="H72" s="64"/>
      <c r="I72" s="64" t="s">
        <v>47</v>
      </c>
      <c r="J72" s="65">
        <v>1</v>
      </c>
      <c r="K72" s="66">
        <f>2082</f>
        <v>2082</v>
      </c>
      <c r="L72" s="67" t="s">
        <v>853</v>
      </c>
      <c r="M72" s="66">
        <f>2172</f>
        <v>2172</v>
      </c>
      <c r="N72" s="67" t="s">
        <v>77</v>
      </c>
      <c r="O72" s="66">
        <f>2040</f>
        <v>2040</v>
      </c>
      <c r="P72" s="67" t="s">
        <v>853</v>
      </c>
      <c r="Q72" s="66">
        <f>2131</f>
        <v>2131</v>
      </c>
      <c r="R72" s="67" t="s">
        <v>873</v>
      </c>
      <c r="S72" s="68">
        <f>2108.67</f>
        <v>2108.67</v>
      </c>
      <c r="T72" s="65">
        <f>7079604</f>
        <v>7079604</v>
      </c>
      <c r="U72" s="65">
        <f>3394700</f>
        <v>3394700</v>
      </c>
      <c r="V72" s="65">
        <f>14925654327</f>
        <v>14925654327</v>
      </c>
      <c r="W72" s="65">
        <f>7199756657</f>
        <v>7199756657</v>
      </c>
      <c r="X72" s="69">
        <f>21</f>
        <v>21</v>
      </c>
    </row>
    <row r="73" spans="1:24">
      <c r="A73" s="60" t="s">
        <v>895</v>
      </c>
      <c r="B73" s="60" t="s">
        <v>259</v>
      </c>
      <c r="C73" s="60" t="s">
        <v>260</v>
      </c>
      <c r="D73" s="60" t="s">
        <v>261</v>
      </c>
      <c r="E73" s="61" t="s">
        <v>46</v>
      </c>
      <c r="F73" s="62" t="s">
        <v>46</v>
      </c>
      <c r="G73" s="63" t="s">
        <v>46</v>
      </c>
      <c r="H73" s="64"/>
      <c r="I73" s="64" t="s">
        <v>47</v>
      </c>
      <c r="J73" s="65">
        <v>1</v>
      </c>
      <c r="K73" s="66">
        <f>1910</f>
        <v>1910</v>
      </c>
      <c r="L73" s="67" t="s">
        <v>853</v>
      </c>
      <c r="M73" s="66">
        <f>1917</f>
        <v>1917</v>
      </c>
      <c r="N73" s="67" t="s">
        <v>84</v>
      </c>
      <c r="O73" s="66">
        <f>1811</f>
        <v>1811</v>
      </c>
      <c r="P73" s="67" t="s">
        <v>268</v>
      </c>
      <c r="Q73" s="66">
        <f>1824</f>
        <v>1824</v>
      </c>
      <c r="R73" s="67" t="s">
        <v>873</v>
      </c>
      <c r="S73" s="68">
        <f>1863.81</f>
        <v>1863.81</v>
      </c>
      <c r="T73" s="65">
        <f>64413</f>
        <v>64413</v>
      </c>
      <c r="U73" s="65">
        <f>38421</f>
        <v>38421</v>
      </c>
      <c r="V73" s="65">
        <f>119665131</f>
        <v>119665131</v>
      </c>
      <c r="W73" s="65">
        <f>70960513</f>
        <v>70960513</v>
      </c>
      <c r="X73" s="69">
        <f>21</f>
        <v>21</v>
      </c>
    </row>
    <row r="74" spans="1:24">
      <c r="A74" s="60" t="s">
        <v>895</v>
      </c>
      <c r="B74" s="60" t="s">
        <v>262</v>
      </c>
      <c r="C74" s="60" t="s">
        <v>263</v>
      </c>
      <c r="D74" s="60" t="s">
        <v>264</v>
      </c>
      <c r="E74" s="61" t="s">
        <v>46</v>
      </c>
      <c r="F74" s="62" t="s">
        <v>46</v>
      </c>
      <c r="G74" s="63" t="s">
        <v>46</v>
      </c>
      <c r="H74" s="64"/>
      <c r="I74" s="64" t="s">
        <v>47</v>
      </c>
      <c r="J74" s="65">
        <v>1</v>
      </c>
      <c r="K74" s="66">
        <f>2200</f>
        <v>2200</v>
      </c>
      <c r="L74" s="67" t="s">
        <v>853</v>
      </c>
      <c r="M74" s="66">
        <f>2208</f>
        <v>2208</v>
      </c>
      <c r="N74" s="67" t="s">
        <v>853</v>
      </c>
      <c r="O74" s="66">
        <f>2091</f>
        <v>2091</v>
      </c>
      <c r="P74" s="67" t="s">
        <v>268</v>
      </c>
      <c r="Q74" s="66">
        <f>2101</f>
        <v>2101</v>
      </c>
      <c r="R74" s="67" t="s">
        <v>873</v>
      </c>
      <c r="S74" s="68">
        <f>2149.9</f>
        <v>2149.9</v>
      </c>
      <c r="T74" s="65">
        <f>337249</f>
        <v>337249</v>
      </c>
      <c r="U74" s="65">
        <f>54439</f>
        <v>54439</v>
      </c>
      <c r="V74" s="65">
        <f>724787894</f>
        <v>724787894</v>
      </c>
      <c r="W74" s="65">
        <f>117513756</f>
        <v>117513756</v>
      </c>
      <c r="X74" s="69">
        <f>21</f>
        <v>21</v>
      </c>
    </row>
    <row r="75" spans="1:24">
      <c r="A75" s="60" t="s">
        <v>895</v>
      </c>
      <c r="B75" s="60" t="s">
        <v>265</v>
      </c>
      <c r="C75" s="60" t="s">
        <v>266</v>
      </c>
      <c r="D75" s="60" t="s">
        <v>267</v>
      </c>
      <c r="E75" s="61" t="s">
        <v>46</v>
      </c>
      <c r="F75" s="62" t="s">
        <v>46</v>
      </c>
      <c r="G75" s="63" t="s">
        <v>46</v>
      </c>
      <c r="H75" s="64"/>
      <c r="I75" s="64" t="s">
        <v>47</v>
      </c>
      <c r="J75" s="65">
        <v>1</v>
      </c>
      <c r="K75" s="66">
        <f>24000</f>
        <v>24000</v>
      </c>
      <c r="L75" s="67" t="s">
        <v>853</v>
      </c>
      <c r="M75" s="66">
        <f>24120</f>
        <v>24120</v>
      </c>
      <c r="N75" s="67" t="s">
        <v>77</v>
      </c>
      <c r="O75" s="66">
        <f>22950</f>
        <v>22950</v>
      </c>
      <c r="P75" s="67" t="s">
        <v>268</v>
      </c>
      <c r="Q75" s="66">
        <f>23170</f>
        <v>23170</v>
      </c>
      <c r="R75" s="67" t="s">
        <v>873</v>
      </c>
      <c r="S75" s="68">
        <f>23578.57</f>
        <v>23578.57</v>
      </c>
      <c r="T75" s="65">
        <f>112</f>
        <v>112</v>
      </c>
      <c r="U75" s="65" t="str">
        <f>"－"</f>
        <v>－</v>
      </c>
      <c r="V75" s="65">
        <f>2649060</f>
        <v>2649060</v>
      </c>
      <c r="W75" s="65" t="str">
        <f>"－"</f>
        <v>－</v>
      </c>
      <c r="X75" s="69">
        <f>21</f>
        <v>21</v>
      </c>
    </row>
    <row r="76" spans="1:24">
      <c r="A76" s="60" t="s">
        <v>895</v>
      </c>
      <c r="B76" s="60" t="s">
        <v>269</v>
      </c>
      <c r="C76" s="60" t="s">
        <v>270</v>
      </c>
      <c r="D76" s="60" t="s">
        <v>271</v>
      </c>
      <c r="E76" s="61" t="s">
        <v>46</v>
      </c>
      <c r="F76" s="62" t="s">
        <v>46</v>
      </c>
      <c r="G76" s="63" t="s">
        <v>46</v>
      </c>
      <c r="H76" s="64"/>
      <c r="I76" s="64" t="s">
        <v>47</v>
      </c>
      <c r="J76" s="65">
        <v>1</v>
      </c>
      <c r="K76" s="66">
        <f>19960</f>
        <v>19960</v>
      </c>
      <c r="L76" s="67" t="s">
        <v>857</v>
      </c>
      <c r="M76" s="66">
        <f>19980</f>
        <v>19980</v>
      </c>
      <c r="N76" s="67" t="s">
        <v>84</v>
      </c>
      <c r="O76" s="66">
        <f>18710</f>
        <v>18710</v>
      </c>
      <c r="P76" s="67" t="s">
        <v>268</v>
      </c>
      <c r="Q76" s="66">
        <f>18950</f>
        <v>18950</v>
      </c>
      <c r="R76" s="67" t="s">
        <v>873</v>
      </c>
      <c r="S76" s="68">
        <f>19492.5</f>
        <v>19492.5</v>
      </c>
      <c r="T76" s="65">
        <f>263</f>
        <v>263</v>
      </c>
      <c r="U76" s="65" t="str">
        <f>"－"</f>
        <v>－</v>
      </c>
      <c r="V76" s="65">
        <f>5139370</f>
        <v>5139370</v>
      </c>
      <c r="W76" s="65" t="str">
        <f>"－"</f>
        <v>－</v>
      </c>
      <c r="X76" s="69">
        <f>16</f>
        <v>16</v>
      </c>
    </row>
    <row r="77" spans="1:24">
      <c r="A77" s="60" t="s">
        <v>895</v>
      </c>
      <c r="B77" s="60" t="s">
        <v>272</v>
      </c>
      <c r="C77" s="60" t="s">
        <v>273</v>
      </c>
      <c r="D77" s="60" t="s">
        <v>274</v>
      </c>
      <c r="E77" s="61" t="s">
        <v>46</v>
      </c>
      <c r="F77" s="62" t="s">
        <v>46</v>
      </c>
      <c r="G77" s="63" t="s">
        <v>46</v>
      </c>
      <c r="H77" s="64"/>
      <c r="I77" s="64" t="s">
        <v>47</v>
      </c>
      <c r="J77" s="65">
        <v>1</v>
      </c>
      <c r="K77" s="66">
        <f>1936</f>
        <v>1936</v>
      </c>
      <c r="L77" s="67" t="s">
        <v>853</v>
      </c>
      <c r="M77" s="66">
        <f>1952</f>
        <v>1952</v>
      </c>
      <c r="N77" s="67" t="s">
        <v>84</v>
      </c>
      <c r="O77" s="66">
        <f>1862</f>
        <v>1862</v>
      </c>
      <c r="P77" s="67" t="s">
        <v>268</v>
      </c>
      <c r="Q77" s="66">
        <f>1878</f>
        <v>1878</v>
      </c>
      <c r="R77" s="67" t="s">
        <v>873</v>
      </c>
      <c r="S77" s="68">
        <f>1910.29</f>
        <v>1910.29</v>
      </c>
      <c r="T77" s="65">
        <f>3265</f>
        <v>3265</v>
      </c>
      <c r="U77" s="65" t="str">
        <f>"－"</f>
        <v>－</v>
      </c>
      <c r="V77" s="65">
        <f>6278912</f>
        <v>6278912</v>
      </c>
      <c r="W77" s="65" t="str">
        <f>"－"</f>
        <v>－</v>
      </c>
      <c r="X77" s="69">
        <f>21</f>
        <v>21</v>
      </c>
    </row>
    <row r="78" spans="1:24">
      <c r="A78" s="60" t="s">
        <v>895</v>
      </c>
      <c r="B78" s="60" t="s">
        <v>275</v>
      </c>
      <c r="C78" s="60" t="s">
        <v>276</v>
      </c>
      <c r="D78" s="60" t="s">
        <v>277</v>
      </c>
      <c r="E78" s="61" t="s">
        <v>46</v>
      </c>
      <c r="F78" s="62" t="s">
        <v>46</v>
      </c>
      <c r="G78" s="63" t="s">
        <v>46</v>
      </c>
      <c r="H78" s="64"/>
      <c r="I78" s="64" t="s">
        <v>47</v>
      </c>
      <c r="J78" s="65">
        <v>1</v>
      </c>
      <c r="K78" s="66">
        <f>2316</f>
        <v>2316</v>
      </c>
      <c r="L78" s="67" t="s">
        <v>853</v>
      </c>
      <c r="M78" s="66">
        <f>2344</f>
        <v>2344</v>
      </c>
      <c r="N78" s="67" t="s">
        <v>132</v>
      </c>
      <c r="O78" s="66">
        <f>2309</f>
        <v>2309</v>
      </c>
      <c r="P78" s="67" t="s">
        <v>853</v>
      </c>
      <c r="Q78" s="66">
        <f>2323</f>
        <v>2323</v>
      </c>
      <c r="R78" s="67" t="s">
        <v>873</v>
      </c>
      <c r="S78" s="68">
        <f>2327.62</f>
        <v>2327.62</v>
      </c>
      <c r="T78" s="65">
        <f>1953735</f>
        <v>1953735</v>
      </c>
      <c r="U78" s="65">
        <f>451014</f>
        <v>451014</v>
      </c>
      <c r="V78" s="65">
        <f>4547379860</f>
        <v>4547379860</v>
      </c>
      <c r="W78" s="65">
        <f>1051438401</f>
        <v>1051438401</v>
      </c>
      <c r="X78" s="69">
        <f>21</f>
        <v>21</v>
      </c>
    </row>
    <row r="79" spans="1:24">
      <c r="A79" s="60" t="s">
        <v>895</v>
      </c>
      <c r="B79" s="60" t="s">
        <v>278</v>
      </c>
      <c r="C79" s="60" t="s">
        <v>279</v>
      </c>
      <c r="D79" s="60" t="s">
        <v>280</v>
      </c>
      <c r="E79" s="61" t="s">
        <v>46</v>
      </c>
      <c r="F79" s="62" t="s">
        <v>46</v>
      </c>
      <c r="G79" s="63" t="s">
        <v>46</v>
      </c>
      <c r="H79" s="64"/>
      <c r="I79" s="64" t="s">
        <v>47</v>
      </c>
      <c r="J79" s="65">
        <v>1</v>
      </c>
      <c r="K79" s="66">
        <f>1924</f>
        <v>1924</v>
      </c>
      <c r="L79" s="67" t="s">
        <v>853</v>
      </c>
      <c r="M79" s="66">
        <f>1931</f>
        <v>1931</v>
      </c>
      <c r="N79" s="67" t="s">
        <v>853</v>
      </c>
      <c r="O79" s="66">
        <f>1849</f>
        <v>1849</v>
      </c>
      <c r="P79" s="67" t="s">
        <v>268</v>
      </c>
      <c r="Q79" s="66">
        <f>1866</f>
        <v>1866</v>
      </c>
      <c r="R79" s="67" t="s">
        <v>873</v>
      </c>
      <c r="S79" s="68">
        <f>1895.05</f>
        <v>1895.05</v>
      </c>
      <c r="T79" s="65">
        <f>1124</f>
        <v>1124</v>
      </c>
      <c r="U79" s="65" t="str">
        <f>"－"</f>
        <v>－</v>
      </c>
      <c r="V79" s="65">
        <f>2130699</f>
        <v>2130699</v>
      </c>
      <c r="W79" s="65" t="str">
        <f>"－"</f>
        <v>－</v>
      </c>
      <c r="X79" s="69">
        <f>19</f>
        <v>19</v>
      </c>
    </row>
    <row r="80" spans="1:24">
      <c r="A80" s="60" t="s">
        <v>895</v>
      </c>
      <c r="B80" s="60" t="s">
        <v>281</v>
      </c>
      <c r="C80" s="60" t="s">
        <v>282</v>
      </c>
      <c r="D80" s="60" t="s">
        <v>283</v>
      </c>
      <c r="E80" s="61" t="s">
        <v>46</v>
      </c>
      <c r="F80" s="62" t="s">
        <v>46</v>
      </c>
      <c r="G80" s="63" t="s">
        <v>46</v>
      </c>
      <c r="H80" s="64"/>
      <c r="I80" s="64" t="s">
        <v>47</v>
      </c>
      <c r="J80" s="65">
        <v>10</v>
      </c>
      <c r="K80" s="66">
        <f>1914</f>
        <v>1914</v>
      </c>
      <c r="L80" s="67" t="s">
        <v>853</v>
      </c>
      <c r="M80" s="66">
        <f>1924</f>
        <v>1924</v>
      </c>
      <c r="N80" s="67" t="s">
        <v>84</v>
      </c>
      <c r="O80" s="66">
        <f>1838</f>
        <v>1838</v>
      </c>
      <c r="P80" s="67" t="s">
        <v>268</v>
      </c>
      <c r="Q80" s="66">
        <f>1850</f>
        <v>1850</v>
      </c>
      <c r="R80" s="67" t="s">
        <v>873</v>
      </c>
      <c r="S80" s="68">
        <f>1888.24</f>
        <v>1888.24</v>
      </c>
      <c r="T80" s="65">
        <f>5380</f>
        <v>5380</v>
      </c>
      <c r="U80" s="65" t="str">
        <f>"－"</f>
        <v>－</v>
      </c>
      <c r="V80" s="65">
        <f>10155630</f>
        <v>10155630</v>
      </c>
      <c r="W80" s="65" t="str">
        <f>"－"</f>
        <v>－</v>
      </c>
      <c r="X80" s="69">
        <f>21</f>
        <v>21</v>
      </c>
    </row>
    <row r="81" spans="1:24">
      <c r="A81" s="60" t="s">
        <v>895</v>
      </c>
      <c r="B81" s="60" t="s">
        <v>284</v>
      </c>
      <c r="C81" s="60" t="s">
        <v>285</v>
      </c>
      <c r="D81" s="60" t="s">
        <v>286</v>
      </c>
      <c r="E81" s="61" t="s">
        <v>46</v>
      </c>
      <c r="F81" s="62" t="s">
        <v>46</v>
      </c>
      <c r="G81" s="63" t="s">
        <v>46</v>
      </c>
      <c r="H81" s="64"/>
      <c r="I81" s="64" t="s">
        <v>47</v>
      </c>
      <c r="J81" s="65">
        <v>1</v>
      </c>
      <c r="K81" s="66">
        <f>30600</f>
        <v>30600</v>
      </c>
      <c r="L81" s="67" t="s">
        <v>853</v>
      </c>
      <c r="M81" s="66">
        <f>31000</f>
        <v>31000</v>
      </c>
      <c r="N81" s="67" t="s">
        <v>857</v>
      </c>
      <c r="O81" s="66">
        <f>30200</f>
        <v>30200</v>
      </c>
      <c r="P81" s="67" t="s">
        <v>853</v>
      </c>
      <c r="Q81" s="66">
        <f>31000</f>
        <v>31000</v>
      </c>
      <c r="R81" s="67" t="s">
        <v>857</v>
      </c>
      <c r="S81" s="68">
        <f>30600</f>
        <v>30600</v>
      </c>
      <c r="T81" s="65">
        <f>167</f>
        <v>167</v>
      </c>
      <c r="U81" s="65" t="str">
        <f>"－"</f>
        <v>－</v>
      </c>
      <c r="V81" s="65">
        <f>5126900</f>
        <v>5126900</v>
      </c>
      <c r="W81" s="65" t="str">
        <f>"－"</f>
        <v>－</v>
      </c>
      <c r="X81" s="69">
        <f>2</f>
        <v>2</v>
      </c>
    </row>
    <row r="82" spans="1:24">
      <c r="A82" s="60" t="s">
        <v>895</v>
      </c>
      <c r="B82" s="60" t="s">
        <v>287</v>
      </c>
      <c r="C82" s="60" t="s">
        <v>288</v>
      </c>
      <c r="D82" s="60" t="s">
        <v>289</v>
      </c>
      <c r="E82" s="61" t="s">
        <v>46</v>
      </c>
      <c r="F82" s="62" t="s">
        <v>46</v>
      </c>
      <c r="G82" s="63" t="s">
        <v>46</v>
      </c>
      <c r="H82" s="64"/>
      <c r="I82" s="64" t="s">
        <v>47</v>
      </c>
      <c r="J82" s="65">
        <v>1</v>
      </c>
      <c r="K82" s="66">
        <f>21200</f>
        <v>21200</v>
      </c>
      <c r="L82" s="67" t="s">
        <v>853</v>
      </c>
      <c r="M82" s="66">
        <f>21270</f>
        <v>21270</v>
      </c>
      <c r="N82" s="67" t="s">
        <v>857</v>
      </c>
      <c r="O82" s="66">
        <f>20830</f>
        <v>20830</v>
      </c>
      <c r="P82" s="67" t="s">
        <v>240</v>
      </c>
      <c r="Q82" s="66">
        <f>20950</f>
        <v>20950</v>
      </c>
      <c r="R82" s="67" t="s">
        <v>873</v>
      </c>
      <c r="S82" s="68">
        <f>21026.67</f>
        <v>21026.67</v>
      </c>
      <c r="T82" s="65">
        <f>30983</f>
        <v>30983</v>
      </c>
      <c r="U82" s="65">
        <f>20013</f>
        <v>20013</v>
      </c>
      <c r="V82" s="65">
        <f>650570910</f>
        <v>650570910</v>
      </c>
      <c r="W82" s="65">
        <f>420404580</f>
        <v>420404580</v>
      </c>
      <c r="X82" s="69">
        <f>21</f>
        <v>21</v>
      </c>
    </row>
    <row r="83" spans="1:24">
      <c r="A83" s="60" t="s">
        <v>895</v>
      </c>
      <c r="B83" s="60" t="s">
        <v>290</v>
      </c>
      <c r="C83" s="60" t="s">
        <v>291</v>
      </c>
      <c r="D83" s="60" t="s">
        <v>292</v>
      </c>
      <c r="E83" s="61" t="s">
        <v>46</v>
      </c>
      <c r="F83" s="62" t="s">
        <v>46</v>
      </c>
      <c r="G83" s="63" t="s">
        <v>46</v>
      </c>
      <c r="H83" s="64"/>
      <c r="I83" s="64" t="s">
        <v>47</v>
      </c>
      <c r="J83" s="65">
        <v>1</v>
      </c>
      <c r="K83" s="66">
        <f>18080</f>
        <v>18080</v>
      </c>
      <c r="L83" s="67" t="s">
        <v>853</v>
      </c>
      <c r="M83" s="66">
        <f>18340</f>
        <v>18340</v>
      </c>
      <c r="N83" s="67" t="s">
        <v>131</v>
      </c>
      <c r="O83" s="66">
        <f>18030</f>
        <v>18030</v>
      </c>
      <c r="P83" s="67" t="s">
        <v>853</v>
      </c>
      <c r="Q83" s="66">
        <f>18180</f>
        <v>18180</v>
      </c>
      <c r="R83" s="67" t="s">
        <v>873</v>
      </c>
      <c r="S83" s="68">
        <f>18195.71</f>
        <v>18195.71</v>
      </c>
      <c r="T83" s="65">
        <f>106020</f>
        <v>106020</v>
      </c>
      <c r="U83" s="65">
        <f>71564</f>
        <v>71564</v>
      </c>
      <c r="V83" s="65">
        <f>1931102959</f>
        <v>1931102959</v>
      </c>
      <c r="W83" s="65">
        <f>1304010249</f>
        <v>1304010249</v>
      </c>
      <c r="X83" s="69">
        <f>21</f>
        <v>21</v>
      </c>
    </row>
    <row r="84" spans="1:24">
      <c r="A84" s="60" t="s">
        <v>895</v>
      </c>
      <c r="B84" s="60" t="s">
        <v>293</v>
      </c>
      <c r="C84" s="60" t="s">
        <v>294</v>
      </c>
      <c r="D84" s="60" t="s">
        <v>295</v>
      </c>
      <c r="E84" s="61" t="s">
        <v>46</v>
      </c>
      <c r="F84" s="62" t="s">
        <v>46</v>
      </c>
      <c r="G84" s="63" t="s">
        <v>46</v>
      </c>
      <c r="H84" s="64"/>
      <c r="I84" s="64" t="s">
        <v>47</v>
      </c>
      <c r="J84" s="65">
        <v>10</v>
      </c>
      <c r="K84" s="66">
        <f>2072</f>
        <v>2072</v>
      </c>
      <c r="L84" s="67" t="s">
        <v>853</v>
      </c>
      <c r="M84" s="66">
        <f>2130</f>
        <v>2130</v>
      </c>
      <c r="N84" s="67" t="s">
        <v>873</v>
      </c>
      <c r="O84" s="66">
        <f>2032</f>
        <v>2032</v>
      </c>
      <c r="P84" s="67" t="s">
        <v>853</v>
      </c>
      <c r="Q84" s="66">
        <f>2125</f>
        <v>2125</v>
      </c>
      <c r="R84" s="67" t="s">
        <v>873</v>
      </c>
      <c r="S84" s="68">
        <f>2097.38</f>
        <v>2097.38</v>
      </c>
      <c r="T84" s="65">
        <f>1442520</f>
        <v>1442520</v>
      </c>
      <c r="U84" s="65">
        <f>943120</f>
        <v>943120</v>
      </c>
      <c r="V84" s="65">
        <f>3017043960</f>
        <v>3017043960</v>
      </c>
      <c r="W84" s="65">
        <f>1972012650</f>
        <v>1972012650</v>
      </c>
      <c r="X84" s="69">
        <f>21</f>
        <v>21</v>
      </c>
    </row>
    <row r="85" spans="1:24">
      <c r="A85" s="60" t="s">
        <v>895</v>
      </c>
      <c r="B85" s="60" t="s">
        <v>296</v>
      </c>
      <c r="C85" s="60" t="s">
        <v>297</v>
      </c>
      <c r="D85" s="60" t="s">
        <v>298</v>
      </c>
      <c r="E85" s="61" t="s">
        <v>46</v>
      </c>
      <c r="F85" s="62" t="s">
        <v>46</v>
      </c>
      <c r="G85" s="63" t="s">
        <v>46</v>
      </c>
      <c r="H85" s="64"/>
      <c r="I85" s="64" t="s">
        <v>47</v>
      </c>
      <c r="J85" s="65">
        <v>1</v>
      </c>
      <c r="K85" s="66">
        <f>36400</f>
        <v>36400</v>
      </c>
      <c r="L85" s="67" t="s">
        <v>853</v>
      </c>
      <c r="M85" s="66">
        <f>36700</f>
        <v>36700</v>
      </c>
      <c r="N85" s="67" t="s">
        <v>853</v>
      </c>
      <c r="O85" s="66">
        <f>34100</f>
        <v>34100</v>
      </c>
      <c r="P85" s="67" t="s">
        <v>268</v>
      </c>
      <c r="Q85" s="66">
        <f>34500</f>
        <v>34500</v>
      </c>
      <c r="R85" s="67" t="s">
        <v>873</v>
      </c>
      <c r="S85" s="68">
        <f>35078.57</f>
        <v>35078.57</v>
      </c>
      <c r="T85" s="65">
        <f>85310</f>
        <v>85310</v>
      </c>
      <c r="U85" s="65">
        <f>22807</f>
        <v>22807</v>
      </c>
      <c r="V85" s="65">
        <f>3038541310</f>
        <v>3038541310</v>
      </c>
      <c r="W85" s="65">
        <f>818394060</f>
        <v>818394060</v>
      </c>
      <c r="X85" s="69">
        <f>21</f>
        <v>21</v>
      </c>
    </row>
    <row r="86" spans="1:24">
      <c r="A86" s="60" t="s">
        <v>895</v>
      </c>
      <c r="B86" s="60" t="s">
        <v>299</v>
      </c>
      <c r="C86" s="60" t="s">
        <v>300</v>
      </c>
      <c r="D86" s="60" t="s">
        <v>301</v>
      </c>
      <c r="E86" s="61" t="s">
        <v>46</v>
      </c>
      <c r="F86" s="62" t="s">
        <v>46</v>
      </c>
      <c r="G86" s="63" t="s">
        <v>46</v>
      </c>
      <c r="H86" s="64"/>
      <c r="I86" s="64" t="s">
        <v>47</v>
      </c>
      <c r="J86" s="65">
        <v>10</v>
      </c>
      <c r="K86" s="66">
        <f>7980</f>
        <v>7980</v>
      </c>
      <c r="L86" s="67" t="s">
        <v>853</v>
      </c>
      <c r="M86" s="66">
        <f>7990</f>
        <v>7990</v>
      </c>
      <c r="N86" s="67" t="s">
        <v>49</v>
      </c>
      <c r="O86" s="66">
        <f>7800</f>
        <v>7800</v>
      </c>
      <c r="P86" s="67" t="s">
        <v>873</v>
      </c>
      <c r="Q86" s="66">
        <f>7800</f>
        <v>7800</v>
      </c>
      <c r="R86" s="67" t="s">
        <v>873</v>
      </c>
      <c r="S86" s="68">
        <f>7853.33</f>
        <v>7853.33</v>
      </c>
      <c r="T86" s="65">
        <f>44110</f>
        <v>44110</v>
      </c>
      <c r="U86" s="65">
        <f>24000</f>
        <v>24000</v>
      </c>
      <c r="V86" s="65">
        <f>346177600</f>
        <v>346177600</v>
      </c>
      <c r="W86" s="65">
        <f>188712000</f>
        <v>188712000</v>
      </c>
      <c r="X86" s="69">
        <f>9</f>
        <v>9</v>
      </c>
    </row>
    <row r="87" spans="1:24">
      <c r="A87" s="60" t="s">
        <v>895</v>
      </c>
      <c r="B87" s="60" t="s">
        <v>302</v>
      </c>
      <c r="C87" s="60" t="s">
        <v>303</v>
      </c>
      <c r="D87" s="60" t="s">
        <v>304</v>
      </c>
      <c r="E87" s="61" t="s">
        <v>46</v>
      </c>
      <c r="F87" s="62" t="s">
        <v>46</v>
      </c>
      <c r="G87" s="63" t="s">
        <v>46</v>
      </c>
      <c r="H87" s="64"/>
      <c r="I87" s="64" t="s">
        <v>47</v>
      </c>
      <c r="J87" s="65">
        <v>1</v>
      </c>
      <c r="K87" s="66">
        <f>16560</f>
        <v>16560</v>
      </c>
      <c r="L87" s="67" t="s">
        <v>853</v>
      </c>
      <c r="M87" s="66">
        <f>16700</f>
        <v>16700</v>
      </c>
      <c r="N87" s="67" t="s">
        <v>77</v>
      </c>
      <c r="O87" s="66">
        <f>15860</f>
        <v>15860</v>
      </c>
      <c r="P87" s="67" t="s">
        <v>873</v>
      </c>
      <c r="Q87" s="66">
        <f>15860</f>
        <v>15860</v>
      </c>
      <c r="R87" s="67" t="s">
        <v>873</v>
      </c>
      <c r="S87" s="68">
        <f>16352.86</f>
        <v>16352.86</v>
      </c>
      <c r="T87" s="65">
        <f>3493</f>
        <v>3493</v>
      </c>
      <c r="U87" s="65">
        <f>10</f>
        <v>10</v>
      </c>
      <c r="V87" s="65">
        <f>57343330</f>
        <v>57343330</v>
      </c>
      <c r="W87" s="65">
        <f>163590</f>
        <v>163590</v>
      </c>
      <c r="X87" s="69">
        <f>21</f>
        <v>21</v>
      </c>
    </row>
    <row r="88" spans="1:24">
      <c r="A88" s="60" t="s">
        <v>895</v>
      </c>
      <c r="B88" s="60" t="s">
        <v>305</v>
      </c>
      <c r="C88" s="60" t="s">
        <v>306</v>
      </c>
      <c r="D88" s="60" t="s">
        <v>307</v>
      </c>
      <c r="E88" s="61" t="s">
        <v>46</v>
      </c>
      <c r="F88" s="62" t="s">
        <v>46</v>
      </c>
      <c r="G88" s="63" t="s">
        <v>46</v>
      </c>
      <c r="H88" s="64"/>
      <c r="I88" s="64" t="s">
        <v>47</v>
      </c>
      <c r="J88" s="65">
        <v>1</v>
      </c>
      <c r="K88" s="66">
        <f>16510</f>
        <v>16510</v>
      </c>
      <c r="L88" s="67" t="s">
        <v>853</v>
      </c>
      <c r="M88" s="66">
        <f>16950</f>
        <v>16950</v>
      </c>
      <c r="N88" s="67" t="s">
        <v>131</v>
      </c>
      <c r="O88" s="66">
        <f>15960</f>
        <v>15960</v>
      </c>
      <c r="P88" s="67" t="s">
        <v>268</v>
      </c>
      <c r="Q88" s="66">
        <f>16000</f>
        <v>16000</v>
      </c>
      <c r="R88" s="67" t="s">
        <v>873</v>
      </c>
      <c r="S88" s="68">
        <f>16407.62</f>
        <v>16407.62</v>
      </c>
      <c r="T88" s="65">
        <f>3296</f>
        <v>3296</v>
      </c>
      <c r="U88" s="65" t="str">
        <f>"－"</f>
        <v>－</v>
      </c>
      <c r="V88" s="65">
        <f>54019930</f>
        <v>54019930</v>
      </c>
      <c r="W88" s="65" t="str">
        <f>"－"</f>
        <v>－</v>
      </c>
      <c r="X88" s="69">
        <f>21</f>
        <v>21</v>
      </c>
    </row>
    <row r="89" spans="1:24">
      <c r="A89" s="60" t="s">
        <v>895</v>
      </c>
      <c r="B89" s="60" t="s">
        <v>308</v>
      </c>
      <c r="C89" s="60" t="s">
        <v>309</v>
      </c>
      <c r="D89" s="60" t="s">
        <v>310</v>
      </c>
      <c r="E89" s="61" t="s">
        <v>46</v>
      </c>
      <c r="F89" s="62" t="s">
        <v>46</v>
      </c>
      <c r="G89" s="63" t="s">
        <v>46</v>
      </c>
      <c r="H89" s="64"/>
      <c r="I89" s="64" t="s">
        <v>47</v>
      </c>
      <c r="J89" s="65">
        <v>1</v>
      </c>
      <c r="K89" s="66">
        <f>20500</f>
        <v>20500</v>
      </c>
      <c r="L89" s="67" t="s">
        <v>853</v>
      </c>
      <c r="M89" s="66">
        <f>20500</f>
        <v>20500</v>
      </c>
      <c r="N89" s="67" t="s">
        <v>853</v>
      </c>
      <c r="O89" s="66">
        <f>19070</f>
        <v>19070</v>
      </c>
      <c r="P89" s="67" t="s">
        <v>268</v>
      </c>
      <c r="Q89" s="66">
        <f>19130</f>
        <v>19130</v>
      </c>
      <c r="R89" s="67" t="s">
        <v>873</v>
      </c>
      <c r="S89" s="68">
        <f>19690.48</f>
        <v>19690.48</v>
      </c>
      <c r="T89" s="65">
        <f>8447</f>
        <v>8447</v>
      </c>
      <c r="U89" s="65" t="str">
        <f>"－"</f>
        <v>－</v>
      </c>
      <c r="V89" s="65">
        <f>168705710</f>
        <v>168705710</v>
      </c>
      <c r="W89" s="65" t="str">
        <f>"－"</f>
        <v>－</v>
      </c>
      <c r="X89" s="69">
        <f>21</f>
        <v>21</v>
      </c>
    </row>
    <row r="90" spans="1:24">
      <c r="A90" s="60" t="s">
        <v>895</v>
      </c>
      <c r="B90" s="60" t="s">
        <v>311</v>
      </c>
      <c r="C90" s="60" t="s">
        <v>312</v>
      </c>
      <c r="D90" s="60" t="s">
        <v>313</v>
      </c>
      <c r="E90" s="61" t="s">
        <v>46</v>
      </c>
      <c r="F90" s="62" t="s">
        <v>46</v>
      </c>
      <c r="G90" s="63" t="s">
        <v>46</v>
      </c>
      <c r="H90" s="64"/>
      <c r="I90" s="64" t="s">
        <v>47</v>
      </c>
      <c r="J90" s="65">
        <v>10</v>
      </c>
      <c r="K90" s="66">
        <f>10500</f>
        <v>10500</v>
      </c>
      <c r="L90" s="67" t="s">
        <v>853</v>
      </c>
      <c r="M90" s="66">
        <f>10640</f>
        <v>10640</v>
      </c>
      <c r="N90" s="67" t="s">
        <v>49</v>
      </c>
      <c r="O90" s="66">
        <f>10070</f>
        <v>10070</v>
      </c>
      <c r="P90" s="67" t="s">
        <v>268</v>
      </c>
      <c r="Q90" s="66">
        <f>10540</f>
        <v>10540</v>
      </c>
      <c r="R90" s="67" t="s">
        <v>873</v>
      </c>
      <c r="S90" s="68">
        <f>10418.1</f>
        <v>10418.1</v>
      </c>
      <c r="T90" s="65">
        <f>33800</f>
        <v>33800</v>
      </c>
      <c r="U90" s="65">
        <f>19470</f>
        <v>19470</v>
      </c>
      <c r="V90" s="65">
        <f>351086990</f>
        <v>351086990</v>
      </c>
      <c r="W90" s="65">
        <f>201893890</f>
        <v>201893890</v>
      </c>
      <c r="X90" s="69">
        <f>21</f>
        <v>21</v>
      </c>
    </row>
    <row r="91" spans="1:24">
      <c r="A91" s="60" t="s">
        <v>895</v>
      </c>
      <c r="B91" s="60" t="s">
        <v>314</v>
      </c>
      <c r="C91" s="60" t="s">
        <v>315</v>
      </c>
      <c r="D91" s="60" t="s">
        <v>316</v>
      </c>
      <c r="E91" s="61" t="s">
        <v>46</v>
      </c>
      <c r="F91" s="62" t="s">
        <v>46</v>
      </c>
      <c r="G91" s="63" t="s">
        <v>46</v>
      </c>
      <c r="H91" s="64"/>
      <c r="I91" s="64" t="s">
        <v>47</v>
      </c>
      <c r="J91" s="65">
        <v>1</v>
      </c>
      <c r="K91" s="66">
        <f>2537</f>
        <v>2537</v>
      </c>
      <c r="L91" s="67" t="s">
        <v>853</v>
      </c>
      <c r="M91" s="66">
        <f>2554</f>
        <v>2554</v>
      </c>
      <c r="N91" s="67" t="s">
        <v>73</v>
      </c>
      <c r="O91" s="66">
        <f>2524</f>
        <v>2524</v>
      </c>
      <c r="P91" s="67" t="s">
        <v>371</v>
      </c>
      <c r="Q91" s="66">
        <f>2530</f>
        <v>2530</v>
      </c>
      <c r="R91" s="67" t="s">
        <v>873</v>
      </c>
      <c r="S91" s="68">
        <f>2539.76</f>
        <v>2539.7600000000002</v>
      </c>
      <c r="T91" s="65">
        <f>146942</f>
        <v>146942</v>
      </c>
      <c r="U91" s="65">
        <f>20017</f>
        <v>20017</v>
      </c>
      <c r="V91" s="65">
        <f>372707271</f>
        <v>372707271</v>
      </c>
      <c r="W91" s="65">
        <f>50825155</f>
        <v>50825155</v>
      </c>
      <c r="X91" s="69">
        <f>21</f>
        <v>21</v>
      </c>
    </row>
    <row r="92" spans="1:24">
      <c r="A92" s="60" t="s">
        <v>895</v>
      </c>
      <c r="B92" s="60" t="s">
        <v>317</v>
      </c>
      <c r="C92" s="60" t="s">
        <v>318</v>
      </c>
      <c r="D92" s="60" t="s">
        <v>319</v>
      </c>
      <c r="E92" s="61" t="s">
        <v>46</v>
      </c>
      <c r="F92" s="62" t="s">
        <v>46</v>
      </c>
      <c r="G92" s="63" t="s">
        <v>46</v>
      </c>
      <c r="H92" s="64"/>
      <c r="I92" s="64" t="s">
        <v>47</v>
      </c>
      <c r="J92" s="65">
        <v>1</v>
      </c>
      <c r="K92" s="66">
        <f>2369</f>
        <v>2369</v>
      </c>
      <c r="L92" s="67" t="s">
        <v>853</v>
      </c>
      <c r="M92" s="66">
        <f>2382</f>
        <v>2382</v>
      </c>
      <c r="N92" s="67" t="s">
        <v>172</v>
      </c>
      <c r="O92" s="66">
        <f>2341</f>
        <v>2341</v>
      </c>
      <c r="P92" s="67" t="s">
        <v>268</v>
      </c>
      <c r="Q92" s="66">
        <f>2356</f>
        <v>2356</v>
      </c>
      <c r="R92" s="67" t="s">
        <v>873</v>
      </c>
      <c r="S92" s="68">
        <f>2359.14</f>
        <v>2359.14</v>
      </c>
      <c r="T92" s="65">
        <f>170021</f>
        <v>170021</v>
      </c>
      <c r="U92" s="65">
        <f>7</f>
        <v>7</v>
      </c>
      <c r="V92" s="65">
        <f>400736844</f>
        <v>400736844</v>
      </c>
      <c r="W92" s="65">
        <f>16316</f>
        <v>16316</v>
      </c>
      <c r="X92" s="69">
        <f>21</f>
        <v>21</v>
      </c>
    </row>
    <row r="93" spans="1:24">
      <c r="A93" s="60" t="s">
        <v>895</v>
      </c>
      <c r="B93" s="60" t="s">
        <v>320</v>
      </c>
      <c r="C93" s="60" t="s">
        <v>321</v>
      </c>
      <c r="D93" s="60" t="s">
        <v>322</v>
      </c>
      <c r="E93" s="61" t="s">
        <v>46</v>
      </c>
      <c r="F93" s="62" t="s">
        <v>46</v>
      </c>
      <c r="G93" s="63" t="s">
        <v>46</v>
      </c>
      <c r="H93" s="64"/>
      <c r="I93" s="64" t="s">
        <v>47</v>
      </c>
      <c r="J93" s="65">
        <v>1</v>
      </c>
      <c r="K93" s="66">
        <f>15050</f>
        <v>15050</v>
      </c>
      <c r="L93" s="67" t="s">
        <v>853</v>
      </c>
      <c r="M93" s="66">
        <f>16500</f>
        <v>16500</v>
      </c>
      <c r="N93" s="67" t="s">
        <v>131</v>
      </c>
      <c r="O93" s="66">
        <f>14260</f>
        <v>14260</v>
      </c>
      <c r="P93" s="67" t="s">
        <v>268</v>
      </c>
      <c r="Q93" s="66">
        <f>14420</f>
        <v>14420</v>
      </c>
      <c r="R93" s="67" t="s">
        <v>873</v>
      </c>
      <c r="S93" s="68">
        <f>14733.33</f>
        <v>14733.33</v>
      </c>
      <c r="T93" s="65">
        <f>2453</f>
        <v>2453</v>
      </c>
      <c r="U93" s="65">
        <f>3</f>
        <v>3</v>
      </c>
      <c r="V93" s="65">
        <f>36189530</f>
        <v>36189530</v>
      </c>
      <c r="W93" s="65">
        <f>44010</f>
        <v>44010</v>
      </c>
      <c r="X93" s="69">
        <f>21</f>
        <v>21</v>
      </c>
    </row>
    <row r="94" spans="1:24">
      <c r="A94" s="60" t="s">
        <v>895</v>
      </c>
      <c r="B94" s="60" t="s">
        <v>323</v>
      </c>
      <c r="C94" s="60" t="s">
        <v>324</v>
      </c>
      <c r="D94" s="60" t="s">
        <v>325</v>
      </c>
      <c r="E94" s="61" t="s">
        <v>46</v>
      </c>
      <c r="F94" s="62" t="s">
        <v>46</v>
      </c>
      <c r="G94" s="63" t="s">
        <v>46</v>
      </c>
      <c r="H94" s="64"/>
      <c r="I94" s="64" t="s">
        <v>47</v>
      </c>
      <c r="J94" s="65">
        <v>1</v>
      </c>
      <c r="K94" s="66">
        <f>8290</f>
        <v>8290</v>
      </c>
      <c r="L94" s="67" t="s">
        <v>853</v>
      </c>
      <c r="M94" s="66">
        <f>8430</f>
        <v>8430</v>
      </c>
      <c r="N94" s="67" t="s">
        <v>371</v>
      </c>
      <c r="O94" s="66">
        <f>7820</f>
        <v>7820</v>
      </c>
      <c r="P94" s="67" t="s">
        <v>49</v>
      </c>
      <c r="Q94" s="66">
        <f>8290</f>
        <v>8290</v>
      </c>
      <c r="R94" s="67" t="s">
        <v>873</v>
      </c>
      <c r="S94" s="68">
        <f>8121.43</f>
        <v>8121.43</v>
      </c>
      <c r="T94" s="65">
        <f>3294</f>
        <v>3294</v>
      </c>
      <c r="U94" s="65">
        <f>5</f>
        <v>5</v>
      </c>
      <c r="V94" s="65">
        <f>26679930</f>
        <v>26679930</v>
      </c>
      <c r="W94" s="65">
        <f>40550</f>
        <v>40550</v>
      </c>
      <c r="X94" s="69">
        <f>21</f>
        <v>21</v>
      </c>
    </row>
    <row r="95" spans="1:24">
      <c r="A95" s="60" t="s">
        <v>895</v>
      </c>
      <c r="B95" s="60" t="s">
        <v>326</v>
      </c>
      <c r="C95" s="60" t="s">
        <v>327</v>
      </c>
      <c r="D95" s="60" t="s">
        <v>328</v>
      </c>
      <c r="E95" s="61" t="s">
        <v>46</v>
      </c>
      <c r="F95" s="62" t="s">
        <v>46</v>
      </c>
      <c r="G95" s="63" t="s">
        <v>46</v>
      </c>
      <c r="H95" s="64"/>
      <c r="I95" s="64" t="s">
        <v>47</v>
      </c>
      <c r="J95" s="65">
        <v>1</v>
      </c>
      <c r="K95" s="66">
        <f>5850</f>
        <v>5850</v>
      </c>
      <c r="L95" s="67" t="s">
        <v>853</v>
      </c>
      <c r="M95" s="66">
        <f>6000</f>
        <v>6000</v>
      </c>
      <c r="N95" s="67" t="s">
        <v>613</v>
      </c>
      <c r="O95" s="66">
        <f>5820</f>
        <v>5820</v>
      </c>
      <c r="P95" s="67" t="s">
        <v>853</v>
      </c>
      <c r="Q95" s="66">
        <f>5890</f>
        <v>5890</v>
      </c>
      <c r="R95" s="67" t="s">
        <v>873</v>
      </c>
      <c r="S95" s="68">
        <f>5898.57</f>
        <v>5898.57</v>
      </c>
      <c r="T95" s="65">
        <f>2594861</f>
        <v>2594861</v>
      </c>
      <c r="U95" s="65">
        <f>236665</f>
        <v>236665</v>
      </c>
      <c r="V95" s="65">
        <f>15338565763</f>
        <v>15338565763</v>
      </c>
      <c r="W95" s="65">
        <f>1406556573</f>
        <v>1406556573</v>
      </c>
      <c r="X95" s="69">
        <f>21</f>
        <v>21</v>
      </c>
    </row>
    <row r="96" spans="1:24">
      <c r="A96" s="60" t="s">
        <v>895</v>
      </c>
      <c r="B96" s="60" t="s">
        <v>329</v>
      </c>
      <c r="C96" s="60" t="s">
        <v>330</v>
      </c>
      <c r="D96" s="60" t="s">
        <v>331</v>
      </c>
      <c r="E96" s="61" t="s">
        <v>46</v>
      </c>
      <c r="F96" s="62" t="s">
        <v>46</v>
      </c>
      <c r="G96" s="63" t="s">
        <v>46</v>
      </c>
      <c r="H96" s="64"/>
      <c r="I96" s="64" t="s">
        <v>47</v>
      </c>
      <c r="J96" s="65">
        <v>1</v>
      </c>
      <c r="K96" s="66">
        <f>3905</f>
        <v>3905</v>
      </c>
      <c r="L96" s="67" t="s">
        <v>853</v>
      </c>
      <c r="M96" s="66">
        <f>4090</f>
        <v>4090</v>
      </c>
      <c r="N96" s="67" t="s">
        <v>172</v>
      </c>
      <c r="O96" s="66">
        <f>3830</f>
        <v>3830</v>
      </c>
      <c r="P96" s="67" t="s">
        <v>49</v>
      </c>
      <c r="Q96" s="66">
        <f>3965</f>
        <v>3965</v>
      </c>
      <c r="R96" s="67" t="s">
        <v>873</v>
      </c>
      <c r="S96" s="68">
        <f>3961.9</f>
        <v>3961.9</v>
      </c>
      <c r="T96" s="65">
        <f>1061759</f>
        <v>1061759</v>
      </c>
      <c r="U96" s="65">
        <f>16</f>
        <v>16</v>
      </c>
      <c r="V96" s="65">
        <f>4216368710</f>
        <v>4216368710</v>
      </c>
      <c r="W96" s="65">
        <f>63795</f>
        <v>63795</v>
      </c>
      <c r="X96" s="69">
        <f>21</f>
        <v>21</v>
      </c>
    </row>
    <row r="97" spans="1:24">
      <c r="A97" s="60" t="s">
        <v>895</v>
      </c>
      <c r="B97" s="60" t="s">
        <v>332</v>
      </c>
      <c r="C97" s="60" t="s">
        <v>333</v>
      </c>
      <c r="D97" s="60" t="s">
        <v>334</v>
      </c>
      <c r="E97" s="61" t="s">
        <v>46</v>
      </c>
      <c r="F97" s="62" t="s">
        <v>46</v>
      </c>
      <c r="G97" s="63" t="s">
        <v>46</v>
      </c>
      <c r="H97" s="64"/>
      <c r="I97" s="64" t="s">
        <v>47</v>
      </c>
      <c r="J97" s="65">
        <v>1</v>
      </c>
      <c r="K97" s="66">
        <f>8220</f>
        <v>8220</v>
      </c>
      <c r="L97" s="67" t="s">
        <v>853</v>
      </c>
      <c r="M97" s="66">
        <f>8690</f>
        <v>8690</v>
      </c>
      <c r="N97" s="67" t="s">
        <v>132</v>
      </c>
      <c r="O97" s="66">
        <f>8160</f>
        <v>8160</v>
      </c>
      <c r="P97" s="67" t="s">
        <v>853</v>
      </c>
      <c r="Q97" s="66">
        <f>8520</f>
        <v>8520</v>
      </c>
      <c r="R97" s="67" t="s">
        <v>873</v>
      </c>
      <c r="S97" s="68">
        <f>8437.62</f>
        <v>8437.6200000000008</v>
      </c>
      <c r="T97" s="65">
        <f>253457</f>
        <v>253457</v>
      </c>
      <c r="U97" s="65">
        <f>1156</f>
        <v>1156</v>
      </c>
      <c r="V97" s="65">
        <f>2146029000</f>
        <v>2146029000</v>
      </c>
      <c r="W97" s="65">
        <f>9597340</f>
        <v>9597340</v>
      </c>
      <c r="X97" s="69">
        <f>21</f>
        <v>21</v>
      </c>
    </row>
    <row r="98" spans="1:24">
      <c r="A98" s="60" t="s">
        <v>895</v>
      </c>
      <c r="B98" s="60" t="s">
        <v>335</v>
      </c>
      <c r="C98" s="60" t="s">
        <v>336</v>
      </c>
      <c r="D98" s="60" t="s">
        <v>337</v>
      </c>
      <c r="E98" s="61" t="s">
        <v>46</v>
      </c>
      <c r="F98" s="62" t="s">
        <v>46</v>
      </c>
      <c r="G98" s="63" t="s">
        <v>46</v>
      </c>
      <c r="H98" s="64"/>
      <c r="I98" s="64" t="s">
        <v>47</v>
      </c>
      <c r="J98" s="65">
        <v>1</v>
      </c>
      <c r="K98" s="66">
        <f>86900</f>
        <v>86900</v>
      </c>
      <c r="L98" s="67" t="s">
        <v>853</v>
      </c>
      <c r="M98" s="66">
        <f>97200</f>
        <v>97200</v>
      </c>
      <c r="N98" s="67" t="s">
        <v>873</v>
      </c>
      <c r="O98" s="66">
        <f>83800</f>
        <v>83800</v>
      </c>
      <c r="P98" s="67" t="s">
        <v>859</v>
      </c>
      <c r="Q98" s="66">
        <f>97200</f>
        <v>97200</v>
      </c>
      <c r="R98" s="67" t="s">
        <v>873</v>
      </c>
      <c r="S98" s="68">
        <f>88680.95</f>
        <v>88680.95</v>
      </c>
      <c r="T98" s="65">
        <f>8136</f>
        <v>8136</v>
      </c>
      <c r="U98" s="65">
        <f>1</f>
        <v>1</v>
      </c>
      <c r="V98" s="65">
        <f>724332400</f>
        <v>724332400</v>
      </c>
      <c r="W98" s="65">
        <f>97200</f>
        <v>97200</v>
      </c>
      <c r="X98" s="69">
        <f>21</f>
        <v>21</v>
      </c>
    </row>
    <row r="99" spans="1:24">
      <c r="A99" s="60" t="s">
        <v>895</v>
      </c>
      <c r="B99" s="60" t="s">
        <v>338</v>
      </c>
      <c r="C99" s="60" t="s">
        <v>339</v>
      </c>
      <c r="D99" s="60" t="s">
        <v>340</v>
      </c>
      <c r="E99" s="61" t="s">
        <v>46</v>
      </c>
      <c r="F99" s="62" t="s">
        <v>46</v>
      </c>
      <c r="G99" s="63" t="s">
        <v>46</v>
      </c>
      <c r="H99" s="64"/>
      <c r="I99" s="64" t="s">
        <v>47</v>
      </c>
      <c r="J99" s="65">
        <v>1</v>
      </c>
      <c r="K99" s="66">
        <f>14730</f>
        <v>14730</v>
      </c>
      <c r="L99" s="67" t="s">
        <v>853</v>
      </c>
      <c r="M99" s="66">
        <f>15480</f>
        <v>15480</v>
      </c>
      <c r="N99" s="67" t="s">
        <v>613</v>
      </c>
      <c r="O99" s="66">
        <f>14700</f>
        <v>14700</v>
      </c>
      <c r="P99" s="67" t="s">
        <v>853</v>
      </c>
      <c r="Q99" s="66">
        <f>15320</f>
        <v>15320</v>
      </c>
      <c r="R99" s="67" t="s">
        <v>873</v>
      </c>
      <c r="S99" s="68">
        <f>15225.24</f>
        <v>15225.24</v>
      </c>
      <c r="T99" s="65">
        <f>2033406</f>
        <v>2033406</v>
      </c>
      <c r="U99" s="65">
        <f>36812</f>
        <v>36812</v>
      </c>
      <c r="V99" s="65">
        <f>30868683046</f>
        <v>30868683046</v>
      </c>
      <c r="W99" s="65">
        <f>559173206</f>
        <v>559173206</v>
      </c>
      <c r="X99" s="69">
        <f>21</f>
        <v>21</v>
      </c>
    </row>
    <row r="100" spans="1:24">
      <c r="A100" s="60" t="s">
        <v>895</v>
      </c>
      <c r="B100" s="60" t="s">
        <v>341</v>
      </c>
      <c r="C100" s="60" t="s">
        <v>342</v>
      </c>
      <c r="D100" s="60" t="s">
        <v>343</v>
      </c>
      <c r="E100" s="61" t="s">
        <v>46</v>
      </c>
      <c r="F100" s="62" t="s">
        <v>46</v>
      </c>
      <c r="G100" s="63" t="s">
        <v>46</v>
      </c>
      <c r="H100" s="64"/>
      <c r="I100" s="64" t="s">
        <v>47</v>
      </c>
      <c r="J100" s="65">
        <v>1</v>
      </c>
      <c r="K100" s="66">
        <f>35750</f>
        <v>35750</v>
      </c>
      <c r="L100" s="67" t="s">
        <v>853</v>
      </c>
      <c r="M100" s="66">
        <f>36300</f>
        <v>36300</v>
      </c>
      <c r="N100" s="67" t="s">
        <v>613</v>
      </c>
      <c r="O100" s="66">
        <f>35600</f>
        <v>35600</v>
      </c>
      <c r="P100" s="67" t="s">
        <v>268</v>
      </c>
      <c r="Q100" s="66">
        <f>36100</f>
        <v>36100</v>
      </c>
      <c r="R100" s="67" t="s">
        <v>873</v>
      </c>
      <c r="S100" s="68">
        <f>35995.24</f>
        <v>35995.24</v>
      </c>
      <c r="T100" s="65">
        <f>143535</f>
        <v>143535</v>
      </c>
      <c r="U100" s="65">
        <f>29510</f>
        <v>29510</v>
      </c>
      <c r="V100" s="65">
        <f>5162231950</f>
        <v>5162231950</v>
      </c>
      <c r="W100" s="65">
        <f>1057821850</f>
        <v>1057821850</v>
      </c>
      <c r="X100" s="69">
        <f>21</f>
        <v>21</v>
      </c>
    </row>
    <row r="101" spans="1:24">
      <c r="A101" s="60" t="s">
        <v>895</v>
      </c>
      <c r="B101" s="60" t="s">
        <v>344</v>
      </c>
      <c r="C101" s="60" t="s">
        <v>345</v>
      </c>
      <c r="D101" s="60" t="s">
        <v>346</v>
      </c>
      <c r="E101" s="61" t="s">
        <v>46</v>
      </c>
      <c r="F101" s="62" t="s">
        <v>46</v>
      </c>
      <c r="G101" s="63" t="s">
        <v>46</v>
      </c>
      <c r="H101" s="64"/>
      <c r="I101" s="64" t="s">
        <v>47</v>
      </c>
      <c r="J101" s="65">
        <v>10</v>
      </c>
      <c r="K101" s="66">
        <f>4780</f>
        <v>4780</v>
      </c>
      <c r="L101" s="67" t="s">
        <v>853</v>
      </c>
      <c r="M101" s="66">
        <f>4975</f>
        <v>4975</v>
      </c>
      <c r="N101" s="67" t="s">
        <v>873</v>
      </c>
      <c r="O101" s="66">
        <f>4765</f>
        <v>4765</v>
      </c>
      <c r="P101" s="67" t="s">
        <v>853</v>
      </c>
      <c r="Q101" s="66">
        <f>4945</f>
        <v>4945</v>
      </c>
      <c r="R101" s="67" t="s">
        <v>873</v>
      </c>
      <c r="S101" s="68">
        <f>4880.71</f>
        <v>4880.71</v>
      </c>
      <c r="T101" s="65">
        <f>1488560</f>
        <v>1488560</v>
      </c>
      <c r="U101" s="65">
        <f>229120</f>
        <v>229120</v>
      </c>
      <c r="V101" s="65">
        <f>7248052176</f>
        <v>7248052176</v>
      </c>
      <c r="W101" s="65">
        <f>1114835676</f>
        <v>1114835676</v>
      </c>
      <c r="X101" s="69">
        <f>21</f>
        <v>21</v>
      </c>
    </row>
    <row r="102" spans="1:24">
      <c r="A102" s="60" t="s">
        <v>895</v>
      </c>
      <c r="B102" s="60" t="s">
        <v>347</v>
      </c>
      <c r="C102" s="60" t="s">
        <v>348</v>
      </c>
      <c r="D102" s="60" t="s">
        <v>349</v>
      </c>
      <c r="E102" s="61" t="s">
        <v>46</v>
      </c>
      <c r="F102" s="62" t="s">
        <v>46</v>
      </c>
      <c r="G102" s="63" t="s">
        <v>46</v>
      </c>
      <c r="H102" s="64"/>
      <c r="I102" s="64" t="s">
        <v>47</v>
      </c>
      <c r="J102" s="65">
        <v>10</v>
      </c>
      <c r="K102" s="66">
        <f>3175</f>
        <v>3175</v>
      </c>
      <c r="L102" s="67" t="s">
        <v>853</v>
      </c>
      <c r="M102" s="66">
        <f>3325</f>
        <v>3325</v>
      </c>
      <c r="N102" s="67" t="s">
        <v>873</v>
      </c>
      <c r="O102" s="66">
        <f>3170</f>
        <v>3170</v>
      </c>
      <c r="P102" s="67" t="s">
        <v>853</v>
      </c>
      <c r="Q102" s="66">
        <f>3295</f>
        <v>3295</v>
      </c>
      <c r="R102" s="67" t="s">
        <v>873</v>
      </c>
      <c r="S102" s="68">
        <f>3256.19</f>
        <v>3256.19</v>
      </c>
      <c r="T102" s="65">
        <f>169020</f>
        <v>169020</v>
      </c>
      <c r="U102" s="65">
        <f>92060</f>
        <v>92060</v>
      </c>
      <c r="V102" s="65">
        <f>553341734</f>
        <v>553341734</v>
      </c>
      <c r="W102" s="65">
        <f>302582034</f>
        <v>302582034</v>
      </c>
      <c r="X102" s="69">
        <f>21</f>
        <v>21</v>
      </c>
    </row>
    <row r="103" spans="1:24">
      <c r="A103" s="60" t="s">
        <v>895</v>
      </c>
      <c r="B103" s="60" t="s">
        <v>350</v>
      </c>
      <c r="C103" s="60" t="s">
        <v>351</v>
      </c>
      <c r="D103" s="60" t="s">
        <v>352</v>
      </c>
      <c r="E103" s="61" t="s">
        <v>46</v>
      </c>
      <c r="F103" s="62" t="s">
        <v>46</v>
      </c>
      <c r="G103" s="63" t="s">
        <v>46</v>
      </c>
      <c r="H103" s="64"/>
      <c r="I103" s="64" t="s">
        <v>47</v>
      </c>
      <c r="J103" s="65">
        <v>10</v>
      </c>
      <c r="K103" s="66">
        <f>5470</f>
        <v>5470</v>
      </c>
      <c r="L103" s="67" t="s">
        <v>853</v>
      </c>
      <c r="M103" s="66">
        <f>5620</f>
        <v>5620</v>
      </c>
      <c r="N103" s="67" t="s">
        <v>131</v>
      </c>
      <c r="O103" s="66">
        <f>5280</f>
        <v>5280</v>
      </c>
      <c r="P103" s="67" t="s">
        <v>268</v>
      </c>
      <c r="Q103" s="66">
        <f>5370</f>
        <v>5370</v>
      </c>
      <c r="R103" s="67" t="s">
        <v>873</v>
      </c>
      <c r="S103" s="68">
        <f>5455.24</f>
        <v>5455.24</v>
      </c>
      <c r="T103" s="65">
        <f>15200</f>
        <v>15200</v>
      </c>
      <c r="U103" s="65" t="str">
        <f>"－"</f>
        <v>－</v>
      </c>
      <c r="V103" s="65">
        <f>83182000</f>
        <v>83182000</v>
      </c>
      <c r="W103" s="65" t="str">
        <f>"－"</f>
        <v>－</v>
      </c>
      <c r="X103" s="69">
        <f>21</f>
        <v>21</v>
      </c>
    </row>
    <row r="104" spans="1:24">
      <c r="A104" s="60" t="s">
        <v>895</v>
      </c>
      <c r="B104" s="60" t="s">
        <v>353</v>
      </c>
      <c r="C104" s="60" t="s">
        <v>354</v>
      </c>
      <c r="D104" s="60" t="s">
        <v>355</v>
      </c>
      <c r="E104" s="61" t="s">
        <v>46</v>
      </c>
      <c r="F104" s="62" t="s">
        <v>46</v>
      </c>
      <c r="G104" s="63" t="s">
        <v>46</v>
      </c>
      <c r="H104" s="64"/>
      <c r="I104" s="64" t="s">
        <v>47</v>
      </c>
      <c r="J104" s="65">
        <v>1</v>
      </c>
      <c r="K104" s="66">
        <f>4030</f>
        <v>4030</v>
      </c>
      <c r="L104" s="67" t="s">
        <v>853</v>
      </c>
      <c r="M104" s="66">
        <f>4055</f>
        <v>4055</v>
      </c>
      <c r="N104" s="67" t="s">
        <v>853</v>
      </c>
      <c r="O104" s="66">
        <f>3365</f>
        <v>3365</v>
      </c>
      <c r="P104" s="67" t="s">
        <v>88</v>
      </c>
      <c r="Q104" s="66">
        <f>3425</f>
        <v>3425</v>
      </c>
      <c r="R104" s="67" t="s">
        <v>873</v>
      </c>
      <c r="S104" s="68">
        <f>3604.29</f>
        <v>3604.29</v>
      </c>
      <c r="T104" s="65">
        <f>13905109</f>
        <v>13905109</v>
      </c>
      <c r="U104" s="65">
        <f>217857</f>
        <v>217857</v>
      </c>
      <c r="V104" s="65">
        <f>50317649528</f>
        <v>50317649528</v>
      </c>
      <c r="W104" s="65">
        <f>808370433</f>
        <v>808370433</v>
      </c>
      <c r="X104" s="69">
        <f>21</f>
        <v>21</v>
      </c>
    </row>
    <row r="105" spans="1:24">
      <c r="A105" s="60" t="s">
        <v>895</v>
      </c>
      <c r="B105" s="60" t="s">
        <v>356</v>
      </c>
      <c r="C105" s="60" t="s">
        <v>357</v>
      </c>
      <c r="D105" s="60" t="s">
        <v>358</v>
      </c>
      <c r="E105" s="61" t="s">
        <v>46</v>
      </c>
      <c r="F105" s="62" t="s">
        <v>46</v>
      </c>
      <c r="G105" s="63" t="s">
        <v>46</v>
      </c>
      <c r="H105" s="64"/>
      <c r="I105" s="64" t="s">
        <v>47</v>
      </c>
      <c r="J105" s="65">
        <v>10</v>
      </c>
      <c r="K105" s="66">
        <f>2748</f>
        <v>2748</v>
      </c>
      <c r="L105" s="67" t="s">
        <v>853</v>
      </c>
      <c r="M105" s="66">
        <f>2874</f>
        <v>2874</v>
      </c>
      <c r="N105" s="67" t="s">
        <v>873</v>
      </c>
      <c r="O105" s="66">
        <f>2741</f>
        <v>2741</v>
      </c>
      <c r="P105" s="67" t="s">
        <v>853</v>
      </c>
      <c r="Q105" s="66">
        <f>2865</f>
        <v>2865</v>
      </c>
      <c r="R105" s="67" t="s">
        <v>873</v>
      </c>
      <c r="S105" s="68">
        <f>2809.24</f>
        <v>2809.24</v>
      </c>
      <c r="T105" s="65">
        <f>63900</f>
        <v>63900</v>
      </c>
      <c r="U105" s="65">
        <f>30</f>
        <v>30</v>
      </c>
      <c r="V105" s="65">
        <f>179709310</f>
        <v>179709310</v>
      </c>
      <c r="W105" s="65">
        <f>83950</f>
        <v>83950</v>
      </c>
      <c r="X105" s="69">
        <f>21</f>
        <v>21</v>
      </c>
    </row>
    <row r="106" spans="1:24">
      <c r="A106" s="60" t="s">
        <v>895</v>
      </c>
      <c r="B106" s="60" t="s">
        <v>359</v>
      </c>
      <c r="C106" s="60" t="s">
        <v>360</v>
      </c>
      <c r="D106" s="60" t="s">
        <v>361</v>
      </c>
      <c r="E106" s="61" t="s">
        <v>46</v>
      </c>
      <c r="F106" s="62" t="s">
        <v>46</v>
      </c>
      <c r="G106" s="63" t="s">
        <v>46</v>
      </c>
      <c r="H106" s="64"/>
      <c r="I106" s="64" t="s">
        <v>47</v>
      </c>
      <c r="J106" s="65">
        <v>10</v>
      </c>
      <c r="K106" s="66">
        <f>1597</f>
        <v>1597</v>
      </c>
      <c r="L106" s="67" t="s">
        <v>853</v>
      </c>
      <c r="M106" s="66">
        <f>1665</f>
        <v>1665</v>
      </c>
      <c r="N106" s="67" t="s">
        <v>873</v>
      </c>
      <c r="O106" s="66">
        <f>1580</f>
        <v>1580</v>
      </c>
      <c r="P106" s="67" t="s">
        <v>853</v>
      </c>
      <c r="Q106" s="66">
        <f>1659</f>
        <v>1659</v>
      </c>
      <c r="R106" s="67" t="s">
        <v>873</v>
      </c>
      <c r="S106" s="68">
        <f>1624.14</f>
        <v>1624.14</v>
      </c>
      <c r="T106" s="65">
        <f>166610</f>
        <v>166610</v>
      </c>
      <c r="U106" s="65">
        <f>120</f>
        <v>120</v>
      </c>
      <c r="V106" s="65">
        <f>270128740</f>
        <v>270128740</v>
      </c>
      <c r="W106" s="65">
        <f>192270</f>
        <v>192270</v>
      </c>
      <c r="X106" s="69">
        <f>21</f>
        <v>21</v>
      </c>
    </row>
    <row r="107" spans="1:24">
      <c r="A107" s="60" t="s">
        <v>895</v>
      </c>
      <c r="B107" s="60" t="s">
        <v>362</v>
      </c>
      <c r="C107" s="60" t="s">
        <v>363</v>
      </c>
      <c r="D107" s="60" t="s">
        <v>364</v>
      </c>
      <c r="E107" s="61" t="s">
        <v>46</v>
      </c>
      <c r="F107" s="62" t="s">
        <v>46</v>
      </c>
      <c r="G107" s="63" t="s">
        <v>46</v>
      </c>
      <c r="H107" s="64"/>
      <c r="I107" s="64" t="s">
        <v>47</v>
      </c>
      <c r="J107" s="65">
        <v>1</v>
      </c>
      <c r="K107" s="66">
        <f>43950</f>
        <v>43950</v>
      </c>
      <c r="L107" s="67" t="s">
        <v>853</v>
      </c>
      <c r="M107" s="66">
        <f>45750</f>
        <v>45750</v>
      </c>
      <c r="N107" s="67" t="s">
        <v>873</v>
      </c>
      <c r="O107" s="66">
        <f>43800</f>
        <v>43800</v>
      </c>
      <c r="P107" s="67" t="s">
        <v>853</v>
      </c>
      <c r="Q107" s="66">
        <f>45550</f>
        <v>45550</v>
      </c>
      <c r="R107" s="67" t="s">
        <v>873</v>
      </c>
      <c r="S107" s="68">
        <f>44883.33</f>
        <v>44883.33</v>
      </c>
      <c r="T107" s="65">
        <f>260718</f>
        <v>260718</v>
      </c>
      <c r="U107" s="65">
        <f>88000</f>
        <v>88000</v>
      </c>
      <c r="V107" s="65">
        <f>11709160605</f>
        <v>11709160605</v>
      </c>
      <c r="W107" s="65">
        <f>3967473155</f>
        <v>3967473155</v>
      </c>
      <c r="X107" s="69">
        <f>21</f>
        <v>21</v>
      </c>
    </row>
    <row r="108" spans="1:24">
      <c r="A108" s="60" t="s">
        <v>895</v>
      </c>
      <c r="B108" s="60" t="s">
        <v>365</v>
      </c>
      <c r="C108" s="60" t="s">
        <v>366</v>
      </c>
      <c r="D108" s="60" t="s">
        <v>367</v>
      </c>
      <c r="E108" s="61" t="s">
        <v>46</v>
      </c>
      <c r="F108" s="62" t="s">
        <v>46</v>
      </c>
      <c r="G108" s="63" t="s">
        <v>46</v>
      </c>
      <c r="H108" s="64"/>
      <c r="I108" s="64" t="s">
        <v>47</v>
      </c>
      <c r="J108" s="65">
        <v>1</v>
      </c>
      <c r="K108" s="66">
        <f>3075</f>
        <v>3075</v>
      </c>
      <c r="L108" s="67" t="s">
        <v>853</v>
      </c>
      <c r="M108" s="66">
        <f>3135</f>
        <v>3135</v>
      </c>
      <c r="N108" s="67" t="s">
        <v>857</v>
      </c>
      <c r="O108" s="66">
        <f>2976</f>
        <v>2976</v>
      </c>
      <c r="P108" s="67" t="s">
        <v>874</v>
      </c>
      <c r="Q108" s="66">
        <f>3005</f>
        <v>3005</v>
      </c>
      <c r="R108" s="67" t="s">
        <v>873</v>
      </c>
      <c r="S108" s="68">
        <f>3033.43</f>
        <v>3033.43</v>
      </c>
      <c r="T108" s="65">
        <f>7110</f>
        <v>7110</v>
      </c>
      <c r="U108" s="65" t="str">
        <f>"－"</f>
        <v>－</v>
      </c>
      <c r="V108" s="65">
        <f>21564278</f>
        <v>21564278</v>
      </c>
      <c r="W108" s="65" t="str">
        <f>"－"</f>
        <v>－</v>
      </c>
      <c r="X108" s="69">
        <f>21</f>
        <v>21</v>
      </c>
    </row>
    <row r="109" spans="1:24">
      <c r="A109" s="60" t="s">
        <v>895</v>
      </c>
      <c r="B109" s="60" t="s">
        <v>368</v>
      </c>
      <c r="C109" s="60" t="s">
        <v>369</v>
      </c>
      <c r="D109" s="60" t="s">
        <v>370</v>
      </c>
      <c r="E109" s="61" t="s">
        <v>46</v>
      </c>
      <c r="F109" s="62" t="s">
        <v>46</v>
      </c>
      <c r="G109" s="63" t="s">
        <v>46</v>
      </c>
      <c r="H109" s="64"/>
      <c r="I109" s="64" t="s">
        <v>47</v>
      </c>
      <c r="J109" s="65">
        <v>1</v>
      </c>
      <c r="K109" s="66">
        <f>4165</f>
        <v>4165</v>
      </c>
      <c r="L109" s="67" t="s">
        <v>853</v>
      </c>
      <c r="M109" s="66">
        <f>4245</f>
        <v>4245</v>
      </c>
      <c r="N109" s="67" t="s">
        <v>84</v>
      </c>
      <c r="O109" s="66">
        <f>4115</f>
        <v>4115</v>
      </c>
      <c r="P109" s="67" t="s">
        <v>88</v>
      </c>
      <c r="Q109" s="66">
        <f>4165</f>
        <v>4165</v>
      </c>
      <c r="R109" s="67" t="s">
        <v>873</v>
      </c>
      <c r="S109" s="68">
        <f>4168.1</f>
        <v>4168.1000000000004</v>
      </c>
      <c r="T109" s="65">
        <f>2954</f>
        <v>2954</v>
      </c>
      <c r="U109" s="65" t="str">
        <f>"－"</f>
        <v>－</v>
      </c>
      <c r="V109" s="65">
        <f>12286200</f>
        <v>12286200</v>
      </c>
      <c r="W109" s="65" t="str">
        <f>"－"</f>
        <v>－</v>
      </c>
      <c r="X109" s="69">
        <f>21</f>
        <v>21</v>
      </c>
    </row>
    <row r="110" spans="1:24">
      <c r="A110" s="60" t="s">
        <v>895</v>
      </c>
      <c r="B110" s="60" t="s">
        <v>372</v>
      </c>
      <c r="C110" s="60" t="s">
        <v>373</v>
      </c>
      <c r="D110" s="60" t="s">
        <v>374</v>
      </c>
      <c r="E110" s="61" t="s">
        <v>46</v>
      </c>
      <c r="F110" s="62" t="s">
        <v>46</v>
      </c>
      <c r="G110" s="63" t="s">
        <v>46</v>
      </c>
      <c r="H110" s="64"/>
      <c r="I110" s="64" t="s">
        <v>47</v>
      </c>
      <c r="J110" s="65">
        <v>1</v>
      </c>
      <c r="K110" s="66">
        <f>3690</f>
        <v>3690</v>
      </c>
      <c r="L110" s="67" t="s">
        <v>853</v>
      </c>
      <c r="M110" s="66">
        <f>3785</f>
        <v>3785</v>
      </c>
      <c r="N110" s="67" t="s">
        <v>613</v>
      </c>
      <c r="O110" s="66">
        <f>3555</f>
        <v>3555</v>
      </c>
      <c r="P110" s="67" t="s">
        <v>88</v>
      </c>
      <c r="Q110" s="66">
        <f>3620</f>
        <v>3620</v>
      </c>
      <c r="R110" s="67" t="s">
        <v>873</v>
      </c>
      <c r="S110" s="68">
        <f>3683.1</f>
        <v>3683.1</v>
      </c>
      <c r="T110" s="65">
        <f>169528</f>
        <v>169528</v>
      </c>
      <c r="U110" s="65" t="str">
        <f>"－"</f>
        <v>－</v>
      </c>
      <c r="V110" s="65">
        <f>624501275</f>
        <v>624501275</v>
      </c>
      <c r="W110" s="65" t="str">
        <f>"－"</f>
        <v>－</v>
      </c>
      <c r="X110" s="69">
        <f>21</f>
        <v>21</v>
      </c>
    </row>
    <row r="111" spans="1:24">
      <c r="A111" s="60" t="s">
        <v>895</v>
      </c>
      <c r="B111" s="60" t="s">
        <v>375</v>
      </c>
      <c r="C111" s="60" t="s">
        <v>376</v>
      </c>
      <c r="D111" s="60" t="s">
        <v>377</v>
      </c>
      <c r="E111" s="61" t="s">
        <v>46</v>
      </c>
      <c r="F111" s="62" t="s">
        <v>46</v>
      </c>
      <c r="G111" s="63" t="s">
        <v>46</v>
      </c>
      <c r="H111" s="64"/>
      <c r="I111" s="64" t="s">
        <v>47</v>
      </c>
      <c r="J111" s="65">
        <v>1</v>
      </c>
      <c r="K111" s="66">
        <f>44150</f>
        <v>44150</v>
      </c>
      <c r="L111" s="67" t="s">
        <v>853</v>
      </c>
      <c r="M111" s="66">
        <f>44850</f>
        <v>44850</v>
      </c>
      <c r="N111" s="67" t="s">
        <v>873</v>
      </c>
      <c r="O111" s="66">
        <f>44000</f>
        <v>44000</v>
      </c>
      <c r="P111" s="67" t="s">
        <v>49</v>
      </c>
      <c r="Q111" s="66">
        <f>44700</f>
        <v>44700</v>
      </c>
      <c r="R111" s="67" t="s">
        <v>873</v>
      </c>
      <c r="S111" s="68">
        <f>44307.14</f>
        <v>44307.14</v>
      </c>
      <c r="T111" s="65">
        <f>12085</f>
        <v>12085</v>
      </c>
      <c r="U111" s="65">
        <f>2</f>
        <v>2</v>
      </c>
      <c r="V111" s="65">
        <f>535932500</f>
        <v>535932500</v>
      </c>
      <c r="W111" s="65">
        <f>88650</f>
        <v>88650</v>
      </c>
      <c r="X111" s="69">
        <f>21</f>
        <v>21</v>
      </c>
    </row>
    <row r="112" spans="1:24">
      <c r="A112" s="60" t="s">
        <v>895</v>
      </c>
      <c r="B112" s="60" t="s">
        <v>378</v>
      </c>
      <c r="C112" s="60" t="s">
        <v>379</v>
      </c>
      <c r="D112" s="60" t="s">
        <v>380</v>
      </c>
      <c r="E112" s="61" t="s">
        <v>46</v>
      </c>
      <c r="F112" s="62" t="s">
        <v>46</v>
      </c>
      <c r="G112" s="63" t="s">
        <v>46</v>
      </c>
      <c r="H112" s="64"/>
      <c r="I112" s="64" t="s">
        <v>47</v>
      </c>
      <c r="J112" s="65">
        <v>10</v>
      </c>
      <c r="K112" s="66">
        <f>1295</f>
        <v>1295</v>
      </c>
      <c r="L112" s="67" t="s">
        <v>77</v>
      </c>
      <c r="M112" s="66">
        <f>1304</f>
        <v>1304</v>
      </c>
      <c r="N112" s="67" t="s">
        <v>73</v>
      </c>
      <c r="O112" s="66">
        <f>1204</f>
        <v>1204</v>
      </c>
      <c r="P112" s="67" t="s">
        <v>77</v>
      </c>
      <c r="Q112" s="66">
        <f>1280</f>
        <v>1280</v>
      </c>
      <c r="R112" s="67" t="s">
        <v>88</v>
      </c>
      <c r="S112" s="68">
        <f>1252.29</f>
        <v>1252.29</v>
      </c>
      <c r="T112" s="65">
        <f>620</f>
        <v>620</v>
      </c>
      <c r="U112" s="65">
        <f>70</f>
        <v>70</v>
      </c>
      <c r="V112" s="65">
        <f>789850</f>
        <v>789850</v>
      </c>
      <c r="W112" s="65">
        <f>90160</f>
        <v>90160</v>
      </c>
      <c r="X112" s="69">
        <f>7</f>
        <v>7</v>
      </c>
    </row>
    <row r="113" spans="1:24">
      <c r="A113" s="60" t="s">
        <v>895</v>
      </c>
      <c r="B113" s="60" t="s">
        <v>381</v>
      </c>
      <c r="C113" s="60" t="s">
        <v>382</v>
      </c>
      <c r="D113" s="60" t="s">
        <v>383</v>
      </c>
      <c r="E113" s="61" t="s">
        <v>46</v>
      </c>
      <c r="F113" s="62" t="s">
        <v>46</v>
      </c>
      <c r="G113" s="63" t="s">
        <v>46</v>
      </c>
      <c r="H113" s="64"/>
      <c r="I113" s="64" t="s">
        <v>47</v>
      </c>
      <c r="J113" s="65">
        <v>10</v>
      </c>
      <c r="K113" s="66">
        <f>24710</f>
        <v>24710</v>
      </c>
      <c r="L113" s="67" t="s">
        <v>853</v>
      </c>
      <c r="M113" s="66">
        <f>25150</f>
        <v>25150</v>
      </c>
      <c r="N113" s="67" t="s">
        <v>77</v>
      </c>
      <c r="O113" s="66">
        <f>22410</f>
        <v>22410</v>
      </c>
      <c r="P113" s="67" t="s">
        <v>268</v>
      </c>
      <c r="Q113" s="66">
        <f>22840</f>
        <v>22840</v>
      </c>
      <c r="R113" s="67" t="s">
        <v>873</v>
      </c>
      <c r="S113" s="68">
        <f>23940</f>
        <v>23940</v>
      </c>
      <c r="T113" s="65">
        <f>4141470</f>
        <v>4141470</v>
      </c>
      <c r="U113" s="65">
        <f>24690</f>
        <v>24690</v>
      </c>
      <c r="V113" s="65">
        <f>98964347150</f>
        <v>98964347150</v>
      </c>
      <c r="W113" s="65">
        <f>607351750</f>
        <v>607351750</v>
      </c>
      <c r="X113" s="69">
        <f>21</f>
        <v>21</v>
      </c>
    </row>
    <row r="114" spans="1:24">
      <c r="A114" s="60" t="s">
        <v>895</v>
      </c>
      <c r="B114" s="60" t="s">
        <v>384</v>
      </c>
      <c r="C114" s="60" t="s">
        <v>385</v>
      </c>
      <c r="D114" s="60" t="s">
        <v>386</v>
      </c>
      <c r="E114" s="61" t="s">
        <v>46</v>
      </c>
      <c r="F114" s="62" t="s">
        <v>46</v>
      </c>
      <c r="G114" s="63" t="s">
        <v>46</v>
      </c>
      <c r="H114" s="64"/>
      <c r="I114" s="64" t="s">
        <v>47</v>
      </c>
      <c r="J114" s="65">
        <v>10</v>
      </c>
      <c r="K114" s="66">
        <f>2224</f>
        <v>2224</v>
      </c>
      <c r="L114" s="67" t="s">
        <v>853</v>
      </c>
      <c r="M114" s="66">
        <f>2327</f>
        <v>2327</v>
      </c>
      <c r="N114" s="67" t="s">
        <v>268</v>
      </c>
      <c r="O114" s="66">
        <f>2200</f>
        <v>2200</v>
      </c>
      <c r="P114" s="67" t="s">
        <v>77</v>
      </c>
      <c r="Q114" s="66">
        <f>2304</f>
        <v>2304</v>
      </c>
      <c r="R114" s="67" t="s">
        <v>873</v>
      </c>
      <c r="S114" s="68">
        <f>2254.67</f>
        <v>2254.67</v>
      </c>
      <c r="T114" s="65">
        <f>1432930</f>
        <v>1432930</v>
      </c>
      <c r="U114" s="65">
        <f>866650</f>
        <v>866650</v>
      </c>
      <c r="V114" s="65">
        <f>3198999970</f>
        <v>3198999970</v>
      </c>
      <c r="W114" s="65">
        <f>1926728500</f>
        <v>1926728500</v>
      </c>
      <c r="X114" s="69">
        <f>21</f>
        <v>21</v>
      </c>
    </row>
    <row r="115" spans="1:24">
      <c r="A115" s="60" t="s">
        <v>895</v>
      </c>
      <c r="B115" s="60" t="s">
        <v>387</v>
      </c>
      <c r="C115" s="60" t="s">
        <v>388</v>
      </c>
      <c r="D115" s="60" t="s">
        <v>389</v>
      </c>
      <c r="E115" s="61" t="s">
        <v>876</v>
      </c>
      <c r="F115" s="62" t="s">
        <v>877</v>
      </c>
      <c r="G115" s="63" t="s">
        <v>46</v>
      </c>
      <c r="H115" s="64"/>
      <c r="I115" s="64" t="s">
        <v>47</v>
      </c>
      <c r="J115" s="65">
        <v>1</v>
      </c>
      <c r="K115" s="66">
        <f>33250</f>
        <v>33250</v>
      </c>
      <c r="L115" s="67" t="s">
        <v>853</v>
      </c>
      <c r="M115" s="66">
        <f>35050</f>
        <v>35050</v>
      </c>
      <c r="N115" s="67" t="s">
        <v>77</v>
      </c>
      <c r="O115" s="66">
        <f>30900</f>
        <v>30900</v>
      </c>
      <c r="P115" s="67" t="s">
        <v>268</v>
      </c>
      <c r="Q115" s="66">
        <f>32500</f>
        <v>32500</v>
      </c>
      <c r="R115" s="67" t="s">
        <v>240</v>
      </c>
      <c r="S115" s="68">
        <f>33383.33</f>
        <v>33383.33</v>
      </c>
      <c r="T115" s="65">
        <f>48939291</f>
        <v>48939291</v>
      </c>
      <c r="U115" s="65">
        <f>65563</f>
        <v>65563</v>
      </c>
      <c r="V115" s="65">
        <f>1629845732305</f>
        <v>1629845732305</v>
      </c>
      <c r="W115" s="65">
        <f>2180632005</f>
        <v>2180632005</v>
      </c>
      <c r="X115" s="69">
        <f>18</f>
        <v>18</v>
      </c>
    </row>
    <row r="116" spans="1:24">
      <c r="A116" s="60" t="s">
        <v>895</v>
      </c>
      <c r="B116" s="60" t="s">
        <v>387</v>
      </c>
      <c r="C116" s="60" t="s">
        <v>388</v>
      </c>
      <c r="D116" s="60" t="s">
        <v>389</v>
      </c>
      <c r="E116" s="61" t="s">
        <v>876</v>
      </c>
      <c r="F116" s="62" t="s">
        <v>877</v>
      </c>
      <c r="G116" s="63" t="s">
        <v>46</v>
      </c>
      <c r="H116" s="64"/>
      <c r="I116" s="64" t="s">
        <v>47</v>
      </c>
      <c r="J116" s="65">
        <v>1</v>
      </c>
      <c r="K116" s="66">
        <f>16340</f>
        <v>16340</v>
      </c>
      <c r="L116" s="67" t="s">
        <v>73</v>
      </c>
      <c r="M116" s="66">
        <f>16340</f>
        <v>16340</v>
      </c>
      <c r="N116" s="67" t="s">
        <v>73</v>
      </c>
      <c r="O116" s="66">
        <f>15820</f>
        <v>15820</v>
      </c>
      <c r="P116" s="67" t="s">
        <v>873</v>
      </c>
      <c r="Q116" s="66">
        <f>15900</f>
        <v>15900</v>
      </c>
      <c r="R116" s="67" t="s">
        <v>873</v>
      </c>
      <c r="S116" s="68">
        <f>16040</f>
        <v>16040</v>
      </c>
      <c r="T116" s="65">
        <f>9473216</f>
        <v>9473216</v>
      </c>
      <c r="U116" s="65">
        <f>553</f>
        <v>553</v>
      </c>
      <c r="V116" s="65">
        <f>152350608310</f>
        <v>152350608310</v>
      </c>
      <c r="W116" s="65">
        <f>8903580</f>
        <v>8903580</v>
      </c>
      <c r="X116" s="69">
        <f>3</f>
        <v>3</v>
      </c>
    </row>
    <row r="117" spans="1:24">
      <c r="A117" s="60" t="s">
        <v>895</v>
      </c>
      <c r="B117" s="60" t="s">
        <v>390</v>
      </c>
      <c r="C117" s="60" t="s">
        <v>391</v>
      </c>
      <c r="D117" s="60" t="s">
        <v>392</v>
      </c>
      <c r="E117" s="61" t="s">
        <v>46</v>
      </c>
      <c r="F117" s="62" t="s">
        <v>46</v>
      </c>
      <c r="G117" s="63" t="s">
        <v>46</v>
      </c>
      <c r="H117" s="64"/>
      <c r="I117" s="64" t="s">
        <v>47</v>
      </c>
      <c r="J117" s="65">
        <v>1</v>
      </c>
      <c r="K117" s="66">
        <f>1002</f>
        <v>1002</v>
      </c>
      <c r="L117" s="67" t="s">
        <v>853</v>
      </c>
      <c r="M117" s="66">
        <f>1035</f>
        <v>1035</v>
      </c>
      <c r="N117" s="67" t="s">
        <v>268</v>
      </c>
      <c r="O117" s="66">
        <f>974</f>
        <v>974</v>
      </c>
      <c r="P117" s="67" t="s">
        <v>77</v>
      </c>
      <c r="Q117" s="66">
        <f>1019</f>
        <v>1019</v>
      </c>
      <c r="R117" s="67" t="s">
        <v>873</v>
      </c>
      <c r="S117" s="68">
        <f>1000.24</f>
        <v>1000.24</v>
      </c>
      <c r="T117" s="65">
        <f>13643284</f>
        <v>13643284</v>
      </c>
      <c r="U117" s="65">
        <f>1809771</f>
        <v>1809771</v>
      </c>
      <c r="V117" s="65">
        <f>13662667968</f>
        <v>13662667968</v>
      </c>
      <c r="W117" s="65">
        <f>1788106052</f>
        <v>1788106052</v>
      </c>
      <c r="X117" s="69">
        <f>21</f>
        <v>21</v>
      </c>
    </row>
    <row r="118" spans="1:24">
      <c r="A118" s="60" t="s">
        <v>895</v>
      </c>
      <c r="B118" s="60" t="s">
        <v>393</v>
      </c>
      <c r="C118" s="60" t="s">
        <v>394</v>
      </c>
      <c r="D118" s="60" t="s">
        <v>395</v>
      </c>
      <c r="E118" s="61" t="s">
        <v>46</v>
      </c>
      <c r="F118" s="62" t="s">
        <v>46</v>
      </c>
      <c r="G118" s="63" t="s">
        <v>46</v>
      </c>
      <c r="H118" s="64"/>
      <c r="I118" s="64" t="s">
        <v>47</v>
      </c>
      <c r="J118" s="65">
        <v>10</v>
      </c>
      <c r="K118" s="66">
        <f>11900</f>
        <v>11900</v>
      </c>
      <c r="L118" s="67" t="s">
        <v>853</v>
      </c>
      <c r="M118" s="66">
        <f>12790</f>
        <v>12790</v>
      </c>
      <c r="N118" s="67" t="s">
        <v>84</v>
      </c>
      <c r="O118" s="66">
        <f>11010</f>
        <v>11010</v>
      </c>
      <c r="P118" s="67" t="s">
        <v>268</v>
      </c>
      <c r="Q118" s="66">
        <f>11340</f>
        <v>11340</v>
      </c>
      <c r="R118" s="67" t="s">
        <v>873</v>
      </c>
      <c r="S118" s="68">
        <f>11711.43</f>
        <v>11711.43</v>
      </c>
      <c r="T118" s="65">
        <f>14230</f>
        <v>14230</v>
      </c>
      <c r="U118" s="65" t="str">
        <f>"－"</f>
        <v>－</v>
      </c>
      <c r="V118" s="65">
        <f>166624200</f>
        <v>166624200</v>
      </c>
      <c r="W118" s="65" t="str">
        <f>"－"</f>
        <v>－</v>
      </c>
      <c r="X118" s="69">
        <f>21</f>
        <v>21</v>
      </c>
    </row>
    <row r="119" spans="1:24">
      <c r="A119" s="60" t="s">
        <v>895</v>
      </c>
      <c r="B119" s="60" t="s">
        <v>396</v>
      </c>
      <c r="C119" s="60" t="s">
        <v>397</v>
      </c>
      <c r="D119" s="60" t="s">
        <v>398</v>
      </c>
      <c r="E119" s="61" t="s">
        <v>46</v>
      </c>
      <c r="F119" s="62" t="s">
        <v>46</v>
      </c>
      <c r="G119" s="63" t="s">
        <v>46</v>
      </c>
      <c r="H119" s="64"/>
      <c r="I119" s="64" t="s">
        <v>47</v>
      </c>
      <c r="J119" s="65">
        <v>10</v>
      </c>
      <c r="K119" s="66">
        <f>6660</f>
        <v>6660</v>
      </c>
      <c r="L119" s="67" t="s">
        <v>853</v>
      </c>
      <c r="M119" s="66">
        <f>6660</f>
        <v>6660</v>
      </c>
      <c r="N119" s="67" t="s">
        <v>853</v>
      </c>
      <c r="O119" s="66">
        <f>6400</f>
        <v>6400</v>
      </c>
      <c r="P119" s="67" t="s">
        <v>240</v>
      </c>
      <c r="Q119" s="66">
        <f>6560</f>
        <v>6560</v>
      </c>
      <c r="R119" s="67" t="s">
        <v>873</v>
      </c>
      <c r="S119" s="68">
        <f>6523.68</f>
        <v>6523.68</v>
      </c>
      <c r="T119" s="65">
        <f>1730</f>
        <v>1730</v>
      </c>
      <c r="U119" s="65">
        <f>40</f>
        <v>40</v>
      </c>
      <c r="V119" s="65">
        <f>11306400</f>
        <v>11306400</v>
      </c>
      <c r="W119" s="65">
        <f>262400</f>
        <v>262400</v>
      </c>
      <c r="X119" s="69">
        <f>19</f>
        <v>19</v>
      </c>
    </row>
    <row r="120" spans="1:24">
      <c r="A120" s="60" t="s">
        <v>895</v>
      </c>
      <c r="B120" s="60" t="s">
        <v>399</v>
      </c>
      <c r="C120" s="60" t="s">
        <v>400</v>
      </c>
      <c r="D120" s="60" t="s">
        <v>401</v>
      </c>
      <c r="E120" s="61" t="s">
        <v>46</v>
      </c>
      <c r="F120" s="62" t="s">
        <v>46</v>
      </c>
      <c r="G120" s="63" t="s">
        <v>46</v>
      </c>
      <c r="H120" s="64"/>
      <c r="I120" s="64" t="s">
        <v>47</v>
      </c>
      <c r="J120" s="65">
        <v>10</v>
      </c>
      <c r="K120" s="66">
        <f>1678</f>
        <v>1678</v>
      </c>
      <c r="L120" s="67" t="s">
        <v>84</v>
      </c>
      <c r="M120" s="66">
        <f>1680</f>
        <v>1680</v>
      </c>
      <c r="N120" s="67" t="s">
        <v>88</v>
      </c>
      <c r="O120" s="66">
        <f>1563</f>
        <v>1563</v>
      </c>
      <c r="P120" s="67" t="s">
        <v>371</v>
      </c>
      <c r="Q120" s="66">
        <f>1680</f>
        <v>1680</v>
      </c>
      <c r="R120" s="67" t="s">
        <v>88</v>
      </c>
      <c r="S120" s="68">
        <f>1615.57</f>
        <v>1615.57</v>
      </c>
      <c r="T120" s="65">
        <f>190</f>
        <v>190</v>
      </c>
      <c r="U120" s="65" t="str">
        <f>"－"</f>
        <v>－</v>
      </c>
      <c r="V120" s="65">
        <f>303970</f>
        <v>303970</v>
      </c>
      <c r="W120" s="65" t="str">
        <f>"－"</f>
        <v>－</v>
      </c>
      <c r="X120" s="69">
        <f>7</f>
        <v>7</v>
      </c>
    </row>
    <row r="121" spans="1:24">
      <c r="A121" s="60" t="s">
        <v>895</v>
      </c>
      <c r="B121" s="60" t="s">
        <v>402</v>
      </c>
      <c r="C121" s="60" t="s">
        <v>403</v>
      </c>
      <c r="D121" s="60" t="s">
        <v>404</v>
      </c>
      <c r="E121" s="61" t="s">
        <v>46</v>
      </c>
      <c r="F121" s="62" t="s">
        <v>46</v>
      </c>
      <c r="G121" s="63" t="s">
        <v>46</v>
      </c>
      <c r="H121" s="64"/>
      <c r="I121" s="64" t="s">
        <v>47</v>
      </c>
      <c r="J121" s="65">
        <v>10</v>
      </c>
      <c r="K121" s="66">
        <f>902</f>
        <v>902</v>
      </c>
      <c r="L121" s="67" t="s">
        <v>853</v>
      </c>
      <c r="M121" s="66">
        <f>907</f>
        <v>907</v>
      </c>
      <c r="N121" s="67" t="s">
        <v>84</v>
      </c>
      <c r="O121" s="66">
        <f>836</f>
        <v>836</v>
      </c>
      <c r="P121" s="67" t="s">
        <v>69</v>
      </c>
      <c r="Q121" s="66">
        <f>864</f>
        <v>864</v>
      </c>
      <c r="R121" s="67" t="s">
        <v>873</v>
      </c>
      <c r="S121" s="68">
        <f>866.38</f>
        <v>866.38</v>
      </c>
      <c r="T121" s="65">
        <f>24750</f>
        <v>24750</v>
      </c>
      <c r="U121" s="65">
        <f>50</f>
        <v>50</v>
      </c>
      <c r="V121" s="65">
        <f>21367480</f>
        <v>21367480</v>
      </c>
      <c r="W121" s="65">
        <f>40550</f>
        <v>40550</v>
      </c>
      <c r="X121" s="69">
        <f>21</f>
        <v>21</v>
      </c>
    </row>
    <row r="122" spans="1:24">
      <c r="A122" s="60" t="s">
        <v>895</v>
      </c>
      <c r="B122" s="60" t="s">
        <v>405</v>
      </c>
      <c r="C122" s="60" t="s">
        <v>406</v>
      </c>
      <c r="D122" s="60" t="s">
        <v>407</v>
      </c>
      <c r="E122" s="61" t="s">
        <v>46</v>
      </c>
      <c r="F122" s="62" t="s">
        <v>46</v>
      </c>
      <c r="G122" s="63" t="s">
        <v>46</v>
      </c>
      <c r="H122" s="64" t="s">
        <v>540</v>
      </c>
      <c r="I122" s="64" t="s">
        <v>47</v>
      </c>
      <c r="J122" s="65">
        <v>10</v>
      </c>
      <c r="K122" s="66">
        <f>822</f>
        <v>822</v>
      </c>
      <c r="L122" s="67" t="s">
        <v>853</v>
      </c>
      <c r="M122" s="66">
        <f>833</f>
        <v>833</v>
      </c>
      <c r="N122" s="67" t="s">
        <v>853</v>
      </c>
      <c r="O122" s="66">
        <f>752</f>
        <v>752</v>
      </c>
      <c r="P122" s="67" t="s">
        <v>69</v>
      </c>
      <c r="Q122" s="66">
        <f>813</f>
        <v>813</v>
      </c>
      <c r="R122" s="67" t="s">
        <v>873</v>
      </c>
      <c r="S122" s="68">
        <f>795.33</f>
        <v>795.33</v>
      </c>
      <c r="T122" s="65">
        <f>21550</f>
        <v>21550</v>
      </c>
      <c r="U122" s="65">
        <f>50</f>
        <v>50</v>
      </c>
      <c r="V122" s="65">
        <f>17223830</f>
        <v>17223830</v>
      </c>
      <c r="W122" s="65">
        <f>38000</f>
        <v>38000</v>
      </c>
      <c r="X122" s="69">
        <f>21</f>
        <v>21</v>
      </c>
    </row>
    <row r="123" spans="1:24">
      <c r="A123" s="60" t="s">
        <v>895</v>
      </c>
      <c r="B123" s="60" t="s">
        <v>408</v>
      </c>
      <c r="C123" s="60" t="s">
        <v>409</v>
      </c>
      <c r="D123" s="60" t="s">
        <v>410</v>
      </c>
      <c r="E123" s="61" t="s">
        <v>46</v>
      </c>
      <c r="F123" s="62" t="s">
        <v>46</v>
      </c>
      <c r="G123" s="63" t="s">
        <v>46</v>
      </c>
      <c r="H123" s="64"/>
      <c r="I123" s="64" t="s">
        <v>47</v>
      </c>
      <c r="J123" s="65">
        <v>1</v>
      </c>
      <c r="K123" s="66">
        <f>23750</f>
        <v>23750</v>
      </c>
      <c r="L123" s="67" t="s">
        <v>853</v>
      </c>
      <c r="M123" s="66">
        <f>23800</f>
        <v>23800</v>
      </c>
      <c r="N123" s="67" t="s">
        <v>853</v>
      </c>
      <c r="O123" s="66">
        <f>22000</f>
        <v>22000</v>
      </c>
      <c r="P123" s="67" t="s">
        <v>268</v>
      </c>
      <c r="Q123" s="66">
        <f>22280</f>
        <v>22280</v>
      </c>
      <c r="R123" s="67" t="s">
        <v>873</v>
      </c>
      <c r="S123" s="68">
        <f>22791.43</f>
        <v>22791.43</v>
      </c>
      <c r="T123" s="65">
        <f>45049</f>
        <v>45049</v>
      </c>
      <c r="U123" s="65">
        <f>5010</f>
        <v>5010</v>
      </c>
      <c r="V123" s="65">
        <f>1039059430</f>
        <v>1039059430</v>
      </c>
      <c r="W123" s="65">
        <f>115717130</f>
        <v>115717130</v>
      </c>
      <c r="X123" s="69">
        <f>21</f>
        <v>21</v>
      </c>
    </row>
    <row r="124" spans="1:24">
      <c r="A124" s="60" t="s">
        <v>895</v>
      </c>
      <c r="B124" s="60" t="s">
        <v>411</v>
      </c>
      <c r="C124" s="60" t="s">
        <v>412</v>
      </c>
      <c r="D124" s="60" t="s">
        <v>413</v>
      </c>
      <c r="E124" s="61" t="s">
        <v>46</v>
      </c>
      <c r="F124" s="62" t="s">
        <v>46</v>
      </c>
      <c r="G124" s="63" t="s">
        <v>46</v>
      </c>
      <c r="H124" s="64"/>
      <c r="I124" s="64" t="s">
        <v>47</v>
      </c>
      <c r="J124" s="65">
        <v>1</v>
      </c>
      <c r="K124" s="66">
        <f>2353</f>
        <v>2353</v>
      </c>
      <c r="L124" s="67" t="s">
        <v>853</v>
      </c>
      <c r="M124" s="66">
        <f>2416</f>
        <v>2416</v>
      </c>
      <c r="N124" s="67" t="s">
        <v>77</v>
      </c>
      <c r="O124" s="66">
        <f>2273</f>
        <v>2273</v>
      </c>
      <c r="P124" s="67" t="s">
        <v>268</v>
      </c>
      <c r="Q124" s="66">
        <f>2308</f>
        <v>2308</v>
      </c>
      <c r="R124" s="67" t="s">
        <v>873</v>
      </c>
      <c r="S124" s="68">
        <f>2354.57</f>
        <v>2354.5700000000002</v>
      </c>
      <c r="T124" s="65">
        <f>58366</f>
        <v>58366</v>
      </c>
      <c r="U124" s="65">
        <f>3</f>
        <v>3</v>
      </c>
      <c r="V124" s="65">
        <f>137327735</f>
        <v>137327735</v>
      </c>
      <c r="W124" s="65">
        <f>6981</f>
        <v>6981</v>
      </c>
      <c r="X124" s="69">
        <f>21</f>
        <v>21</v>
      </c>
    </row>
    <row r="125" spans="1:24">
      <c r="A125" s="60" t="s">
        <v>895</v>
      </c>
      <c r="B125" s="60" t="s">
        <v>414</v>
      </c>
      <c r="C125" s="60" t="s">
        <v>415</v>
      </c>
      <c r="D125" s="60" t="s">
        <v>416</v>
      </c>
      <c r="E125" s="61" t="s">
        <v>46</v>
      </c>
      <c r="F125" s="62" t="s">
        <v>46</v>
      </c>
      <c r="G125" s="63" t="s">
        <v>46</v>
      </c>
      <c r="H125" s="64"/>
      <c r="I125" s="64" t="s">
        <v>47</v>
      </c>
      <c r="J125" s="65">
        <v>10</v>
      </c>
      <c r="K125" s="66">
        <f>17730</f>
        <v>17730</v>
      </c>
      <c r="L125" s="67" t="s">
        <v>853</v>
      </c>
      <c r="M125" s="66">
        <f>18690</f>
        <v>18690</v>
      </c>
      <c r="N125" s="67" t="s">
        <v>77</v>
      </c>
      <c r="O125" s="66">
        <f>16470</f>
        <v>16470</v>
      </c>
      <c r="P125" s="67" t="s">
        <v>268</v>
      </c>
      <c r="Q125" s="66">
        <f>16960</f>
        <v>16960</v>
      </c>
      <c r="R125" s="67" t="s">
        <v>873</v>
      </c>
      <c r="S125" s="68">
        <f>17701.9</f>
        <v>17701.900000000001</v>
      </c>
      <c r="T125" s="65">
        <f>14809540</f>
        <v>14809540</v>
      </c>
      <c r="U125" s="65">
        <f>1290</f>
        <v>1290</v>
      </c>
      <c r="V125" s="65">
        <f>262351106990</f>
        <v>262351106990</v>
      </c>
      <c r="W125" s="65">
        <f>22161190</f>
        <v>22161190</v>
      </c>
      <c r="X125" s="69">
        <f>21</f>
        <v>21</v>
      </c>
    </row>
    <row r="126" spans="1:24">
      <c r="A126" s="60" t="s">
        <v>895</v>
      </c>
      <c r="B126" s="60" t="s">
        <v>417</v>
      </c>
      <c r="C126" s="60" t="s">
        <v>418</v>
      </c>
      <c r="D126" s="60" t="s">
        <v>419</v>
      </c>
      <c r="E126" s="61" t="s">
        <v>46</v>
      </c>
      <c r="F126" s="62" t="s">
        <v>46</v>
      </c>
      <c r="G126" s="63" t="s">
        <v>46</v>
      </c>
      <c r="H126" s="64"/>
      <c r="I126" s="64" t="s">
        <v>47</v>
      </c>
      <c r="J126" s="65">
        <v>10</v>
      </c>
      <c r="K126" s="66">
        <f>2667</f>
        <v>2667</v>
      </c>
      <c r="L126" s="67" t="s">
        <v>853</v>
      </c>
      <c r="M126" s="66">
        <f>2760</f>
        <v>2760</v>
      </c>
      <c r="N126" s="67" t="s">
        <v>268</v>
      </c>
      <c r="O126" s="66">
        <f>2598</f>
        <v>2598</v>
      </c>
      <c r="P126" s="67" t="s">
        <v>77</v>
      </c>
      <c r="Q126" s="66">
        <f>2717</f>
        <v>2717</v>
      </c>
      <c r="R126" s="67" t="s">
        <v>873</v>
      </c>
      <c r="S126" s="68">
        <f>2667</f>
        <v>2667</v>
      </c>
      <c r="T126" s="65">
        <f>2367990</f>
        <v>2367990</v>
      </c>
      <c r="U126" s="65">
        <f>555020</f>
        <v>555020</v>
      </c>
      <c r="V126" s="65">
        <f>6298706770</f>
        <v>6298706770</v>
      </c>
      <c r="W126" s="65">
        <f>1471064760</f>
        <v>1471064760</v>
      </c>
      <c r="X126" s="69">
        <f>21</f>
        <v>21</v>
      </c>
    </row>
    <row r="127" spans="1:24">
      <c r="A127" s="60" t="s">
        <v>895</v>
      </c>
      <c r="B127" s="60" t="s">
        <v>420</v>
      </c>
      <c r="C127" s="60" t="s">
        <v>421</v>
      </c>
      <c r="D127" s="60" t="s">
        <v>422</v>
      </c>
      <c r="E127" s="61" t="s">
        <v>46</v>
      </c>
      <c r="F127" s="62" t="s">
        <v>46</v>
      </c>
      <c r="G127" s="63" t="s">
        <v>46</v>
      </c>
      <c r="H127" s="64"/>
      <c r="I127" s="64" t="s">
        <v>47</v>
      </c>
      <c r="J127" s="65">
        <v>10</v>
      </c>
      <c r="K127" s="66">
        <f>970</f>
        <v>970</v>
      </c>
      <c r="L127" s="67" t="s">
        <v>853</v>
      </c>
      <c r="M127" s="66">
        <f>1017</f>
        <v>1017</v>
      </c>
      <c r="N127" s="67" t="s">
        <v>88</v>
      </c>
      <c r="O127" s="66">
        <f>961</f>
        <v>961</v>
      </c>
      <c r="P127" s="67" t="s">
        <v>857</v>
      </c>
      <c r="Q127" s="66">
        <f>974</f>
        <v>974</v>
      </c>
      <c r="R127" s="67" t="s">
        <v>873</v>
      </c>
      <c r="S127" s="68">
        <f>985.57</f>
        <v>985.57</v>
      </c>
      <c r="T127" s="65">
        <f>1790</f>
        <v>1790</v>
      </c>
      <c r="U127" s="65" t="str">
        <f>"－"</f>
        <v>－</v>
      </c>
      <c r="V127" s="65">
        <f>1768210</f>
        <v>1768210</v>
      </c>
      <c r="W127" s="65" t="str">
        <f>"－"</f>
        <v>－</v>
      </c>
      <c r="X127" s="69">
        <f>14</f>
        <v>14</v>
      </c>
    </row>
    <row r="128" spans="1:24">
      <c r="A128" s="60" t="s">
        <v>895</v>
      </c>
      <c r="B128" s="60" t="s">
        <v>423</v>
      </c>
      <c r="C128" s="60" t="s">
        <v>424</v>
      </c>
      <c r="D128" s="60" t="s">
        <v>425</v>
      </c>
      <c r="E128" s="61" t="s">
        <v>46</v>
      </c>
      <c r="F128" s="62" t="s">
        <v>46</v>
      </c>
      <c r="G128" s="63" t="s">
        <v>46</v>
      </c>
      <c r="H128" s="64"/>
      <c r="I128" s="64" t="s">
        <v>47</v>
      </c>
      <c r="J128" s="65">
        <v>10</v>
      </c>
      <c r="K128" s="66">
        <f>1553</f>
        <v>1553</v>
      </c>
      <c r="L128" s="67" t="s">
        <v>857</v>
      </c>
      <c r="M128" s="66">
        <f>1566</f>
        <v>1566</v>
      </c>
      <c r="N128" s="67" t="s">
        <v>77</v>
      </c>
      <c r="O128" s="66">
        <f>1487</f>
        <v>1487</v>
      </c>
      <c r="P128" s="67" t="s">
        <v>873</v>
      </c>
      <c r="Q128" s="66">
        <f>1487</f>
        <v>1487</v>
      </c>
      <c r="R128" s="67" t="s">
        <v>873</v>
      </c>
      <c r="S128" s="68">
        <f>1518.18</f>
        <v>1518.18</v>
      </c>
      <c r="T128" s="65">
        <f>69560</f>
        <v>69560</v>
      </c>
      <c r="U128" s="65">
        <f>52600</f>
        <v>52600</v>
      </c>
      <c r="V128" s="65">
        <f>106014513</f>
        <v>106014513</v>
      </c>
      <c r="W128" s="65">
        <f>79891823</f>
        <v>79891823</v>
      </c>
      <c r="X128" s="69">
        <f>11</f>
        <v>11</v>
      </c>
    </row>
    <row r="129" spans="1:24">
      <c r="A129" s="60" t="s">
        <v>895</v>
      </c>
      <c r="B129" s="60" t="s">
        <v>426</v>
      </c>
      <c r="C129" s="60" t="s">
        <v>427</v>
      </c>
      <c r="D129" s="60" t="s">
        <v>428</v>
      </c>
      <c r="E129" s="61" t="s">
        <v>46</v>
      </c>
      <c r="F129" s="62" t="s">
        <v>46</v>
      </c>
      <c r="G129" s="63" t="s">
        <v>46</v>
      </c>
      <c r="H129" s="64"/>
      <c r="I129" s="64" t="s">
        <v>47</v>
      </c>
      <c r="J129" s="65">
        <v>1</v>
      </c>
      <c r="K129" s="66">
        <f>1769</f>
        <v>1769</v>
      </c>
      <c r="L129" s="67" t="s">
        <v>853</v>
      </c>
      <c r="M129" s="66">
        <f>1776</f>
        <v>1776</v>
      </c>
      <c r="N129" s="67" t="s">
        <v>131</v>
      </c>
      <c r="O129" s="66">
        <f>1690</f>
        <v>1690</v>
      </c>
      <c r="P129" s="67" t="s">
        <v>874</v>
      </c>
      <c r="Q129" s="66">
        <f>1700</f>
        <v>1700</v>
      </c>
      <c r="R129" s="67" t="s">
        <v>873</v>
      </c>
      <c r="S129" s="68">
        <f>1728.17</f>
        <v>1728.17</v>
      </c>
      <c r="T129" s="65">
        <f>3385</f>
        <v>3385</v>
      </c>
      <c r="U129" s="65" t="str">
        <f>"－"</f>
        <v>－</v>
      </c>
      <c r="V129" s="65">
        <f>5852226</f>
        <v>5852226</v>
      </c>
      <c r="W129" s="65" t="str">
        <f>"－"</f>
        <v>－</v>
      </c>
      <c r="X129" s="69">
        <f>18</f>
        <v>18</v>
      </c>
    </row>
    <row r="130" spans="1:24">
      <c r="A130" s="60" t="s">
        <v>895</v>
      </c>
      <c r="B130" s="60" t="s">
        <v>429</v>
      </c>
      <c r="C130" s="60" t="s">
        <v>430</v>
      </c>
      <c r="D130" s="60" t="s">
        <v>431</v>
      </c>
      <c r="E130" s="61" t="s">
        <v>46</v>
      </c>
      <c r="F130" s="62" t="s">
        <v>46</v>
      </c>
      <c r="G130" s="63" t="s">
        <v>46</v>
      </c>
      <c r="H130" s="64"/>
      <c r="I130" s="64" t="s">
        <v>47</v>
      </c>
      <c r="J130" s="65">
        <v>1</v>
      </c>
      <c r="K130" s="66">
        <f>17990</f>
        <v>17990</v>
      </c>
      <c r="L130" s="67" t="s">
        <v>853</v>
      </c>
      <c r="M130" s="66">
        <f>18300</f>
        <v>18300</v>
      </c>
      <c r="N130" s="67" t="s">
        <v>132</v>
      </c>
      <c r="O130" s="66">
        <f>16980</f>
        <v>16980</v>
      </c>
      <c r="P130" s="67" t="s">
        <v>268</v>
      </c>
      <c r="Q130" s="66">
        <f>17140</f>
        <v>17140</v>
      </c>
      <c r="R130" s="67" t="s">
        <v>873</v>
      </c>
      <c r="S130" s="68">
        <f>17571.43</f>
        <v>17571.43</v>
      </c>
      <c r="T130" s="65">
        <f>171812</f>
        <v>171812</v>
      </c>
      <c r="U130" s="65">
        <f>56010</f>
        <v>56010</v>
      </c>
      <c r="V130" s="65">
        <f>3051387628</f>
        <v>3051387628</v>
      </c>
      <c r="W130" s="65">
        <f>1008165798</f>
        <v>1008165798</v>
      </c>
      <c r="X130" s="69">
        <f>21</f>
        <v>21</v>
      </c>
    </row>
    <row r="131" spans="1:24">
      <c r="A131" s="60" t="s">
        <v>895</v>
      </c>
      <c r="B131" s="60" t="s">
        <v>432</v>
      </c>
      <c r="C131" s="60" t="s">
        <v>433</v>
      </c>
      <c r="D131" s="60" t="s">
        <v>434</v>
      </c>
      <c r="E131" s="61" t="s">
        <v>46</v>
      </c>
      <c r="F131" s="62" t="s">
        <v>46</v>
      </c>
      <c r="G131" s="63" t="s">
        <v>46</v>
      </c>
      <c r="H131" s="64"/>
      <c r="I131" s="64" t="s">
        <v>47</v>
      </c>
      <c r="J131" s="65">
        <v>1</v>
      </c>
      <c r="K131" s="66">
        <f>1645</f>
        <v>1645</v>
      </c>
      <c r="L131" s="67" t="s">
        <v>853</v>
      </c>
      <c r="M131" s="66">
        <f>1659</f>
        <v>1659</v>
      </c>
      <c r="N131" s="67" t="s">
        <v>77</v>
      </c>
      <c r="O131" s="66">
        <f>1564</f>
        <v>1564</v>
      </c>
      <c r="P131" s="67" t="s">
        <v>268</v>
      </c>
      <c r="Q131" s="66">
        <f>1580</f>
        <v>1580</v>
      </c>
      <c r="R131" s="67" t="s">
        <v>873</v>
      </c>
      <c r="S131" s="68">
        <f>1616.48</f>
        <v>1616.48</v>
      </c>
      <c r="T131" s="65">
        <f>113361</f>
        <v>113361</v>
      </c>
      <c r="U131" s="65">
        <f>6</f>
        <v>6</v>
      </c>
      <c r="V131" s="65">
        <f>183567293</f>
        <v>183567293</v>
      </c>
      <c r="W131" s="65">
        <f>9501</f>
        <v>9501</v>
      </c>
      <c r="X131" s="69">
        <f>21</f>
        <v>21</v>
      </c>
    </row>
    <row r="132" spans="1:24">
      <c r="A132" s="60" t="s">
        <v>895</v>
      </c>
      <c r="B132" s="60" t="s">
        <v>435</v>
      </c>
      <c r="C132" s="60" t="s">
        <v>436</v>
      </c>
      <c r="D132" s="60" t="s">
        <v>437</v>
      </c>
      <c r="E132" s="61" t="s">
        <v>46</v>
      </c>
      <c r="F132" s="62" t="s">
        <v>46</v>
      </c>
      <c r="G132" s="63" t="s">
        <v>46</v>
      </c>
      <c r="H132" s="64"/>
      <c r="I132" s="64" t="s">
        <v>47</v>
      </c>
      <c r="J132" s="65">
        <v>1</v>
      </c>
      <c r="K132" s="66">
        <f>18300</f>
        <v>18300</v>
      </c>
      <c r="L132" s="67" t="s">
        <v>853</v>
      </c>
      <c r="M132" s="66">
        <f>18500</f>
        <v>18500</v>
      </c>
      <c r="N132" s="67" t="s">
        <v>77</v>
      </c>
      <c r="O132" s="66">
        <f>17460</f>
        <v>17460</v>
      </c>
      <c r="P132" s="67" t="s">
        <v>268</v>
      </c>
      <c r="Q132" s="66">
        <f>17630</f>
        <v>17630</v>
      </c>
      <c r="R132" s="67" t="s">
        <v>873</v>
      </c>
      <c r="S132" s="68">
        <f>18039.52</f>
        <v>18039.52</v>
      </c>
      <c r="T132" s="65">
        <f>50433</f>
        <v>50433</v>
      </c>
      <c r="U132" s="65">
        <f>28406</f>
        <v>28406</v>
      </c>
      <c r="V132" s="65">
        <f>898726000</f>
        <v>898726000</v>
      </c>
      <c r="W132" s="65">
        <f>501395940</f>
        <v>501395940</v>
      </c>
      <c r="X132" s="69">
        <f>21</f>
        <v>21</v>
      </c>
    </row>
    <row r="133" spans="1:24">
      <c r="A133" s="60" t="s">
        <v>895</v>
      </c>
      <c r="B133" s="60" t="s">
        <v>438</v>
      </c>
      <c r="C133" s="60" t="s">
        <v>439</v>
      </c>
      <c r="D133" s="60" t="s">
        <v>440</v>
      </c>
      <c r="E133" s="61" t="s">
        <v>46</v>
      </c>
      <c r="F133" s="62" t="s">
        <v>46</v>
      </c>
      <c r="G133" s="63" t="s">
        <v>46</v>
      </c>
      <c r="H133" s="64"/>
      <c r="I133" s="64" t="s">
        <v>47</v>
      </c>
      <c r="J133" s="65">
        <v>10</v>
      </c>
      <c r="K133" s="66">
        <f>2065</f>
        <v>2065</v>
      </c>
      <c r="L133" s="67" t="s">
        <v>853</v>
      </c>
      <c r="M133" s="66">
        <f>2119</f>
        <v>2119</v>
      </c>
      <c r="N133" s="67" t="s">
        <v>859</v>
      </c>
      <c r="O133" s="66">
        <f>2030</f>
        <v>2030</v>
      </c>
      <c r="P133" s="67" t="s">
        <v>853</v>
      </c>
      <c r="Q133" s="66">
        <f>2087</f>
        <v>2087</v>
      </c>
      <c r="R133" s="67" t="s">
        <v>873</v>
      </c>
      <c r="S133" s="68">
        <f>2075.38</f>
        <v>2075.38</v>
      </c>
      <c r="T133" s="65">
        <f>2147780</f>
        <v>2147780</v>
      </c>
      <c r="U133" s="65">
        <f>286020</f>
        <v>286020</v>
      </c>
      <c r="V133" s="65">
        <f>4472891940</f>
        <v>4472891940</v>
      </c>
      <c r="W133" s="65">
        <f>593983780</f>
        <v>593983780</v>
      </c>
      <c r="X133" s="69">
        <f>21</f>
        <v>21</v>
      </c>
    </row>
    <row r="134" spans="1:24">
      <c r="A134" s="60" t="s">
        <v>895</v>
      </c>
      <c r="B134" s="60" t="s">
        <v>441</v>
      </c>
      <c r="C134" s="60" t="s">
        <v>442</v>
      </c>
      <c r="D134" s="60" t="s">
        <v>443</v>
      </c>
      <c r="E134" s="61" t="s">
        <v>46</v>
      </c>
      <c r="F134" s="62" t="s">
        <v>46</v>
      </c>
      <c r="G134" s="63" t="s">
        <v>46</v>
      </c>
      <c r="H134" s="64"/>
      <c r="I134" s="64" t="s">
        <v>47</v>
      </c>
      <c r="J134" s="65">
        <v>10</v>
      </c>
      <c r="K134" s="66">
        <f>1745</f>
        <v>1745</v>
      </c>
      <c r="L134" s="67" t="s">
        <v>853</v>
      </c>
      <c r="M134" s="66">
        <f>1768</f>
        <v>1768</v>
      </c>
      <c r="N134" s="67" t="s">
        <v>77</v>
      </c>
      <c r="O134" s="66">
        <f>1715</f>
        <v>1715</v>
      </c>
      <c r="P134" s="67" t="s">
        <v>268</v>
      </c>
      <c r="Q134" s="66">
        <f>1715</f>
        <v>1715</v>
      </c>
      <c r="R134" s="67" t="s">
        <v>268</v>
      </c>
      <c r="S134" s="68">
        <f>1741.8</f>
        <v>1741.8</v>
      </c>
      <c r="T134" s="65">
        <f>11147800</f>
        <v>11147800</v>
      </c>
      <c r="U134" s="65">
        <f>11146480</f>
        <v>11146480</v>
      </c>
      <c r="V134" s="65">
        <f>19739094618</f>
        <v>19739094618</v>
      </c>
      <c r="W134" s="65">
        <f>19736785598</f>
        <v>19736785598</v>
      </c>
      <c r="X134" s="69">
        <f>5</f>
        <v>5</v>
      </c>
    </row>
    <row r="135" spans="1:24">
      <c r="A135" s="60" t="s">
        <v>895</v>
      </c>
      <c r="B135" s="60" t="s">
        <v>444</v>
      </c>
      <c r="C135" s="60" t="s">
        <v>445</v>
      </c>
      <c r="D135" s="60" t="s">
        <v>446</v>
      </c>
      <c r="E135" s="61" t="s">
        <v>46</v>
      </c>
      <c r="F135" s="62" t="s">
        <v>46</v>
      </c>
      <c r="G135" s="63" t="s">
        <v>46</v>
      </c>
      <c r="H135" s="64"/>
      <c r="I135" s="64" t="s">
        <v>47</v>
      </c>
      <c r="J135" s="65">
        <v>10</v>
      </c>
      <c r="K135" s="66">
        <f>2058</f>
        <v>2058</v>
      </c>
      <c r="L135" s="67" t="s">
        <v>853</v>
      </c>
      <c r="M135" s="66">
        <f>2117</f>
        <v>2117</v>
      </c>
      <c r="N135" s="67" t="s">
        <v>873</v>
      </c>
      <c r="O135" s="66">
        <f>2021</f>
        <v>2021</v>
      </c>
      <c r="P135" s="67" t="s">
        <v>853</v>
      </c>
      <c r="Q135" s="66">
        <f>2113</f>
        <v>2113</v>
      </c>
      <c r="R135" s="67" t="s">
        <v>873</v>
      </c>
      <c r="S135" s="68">
        <f>2084.52</f>
        <v>2084.52</v>
      </c>
      <c r="T135" s="65">
        <f>1876060</f>
        <v>1876060</v>
      </c>
      <c r="U135" s="65">
        <f>1425790</f>
        <v>1425790</v>
      </c>
      <c r="V135" s="65">
        <f>3918636757</f>
        <v>3918636757</v>
      </c>
      <c r="W135" s="65">
        <f>2981795287</f>
        <v>2981795287</v>
      </c>
      <c r="X135" s="69">
        <f>21</f>
        <v>21</v>
      </c>
    </row>
    <row r="136" spans="1:24">
      <c r="A136" s="60" t="s">
        <v>895</v>
      </c>
      <c r="B136" s="60" t="s">
        <v>447</v>
      </c>
      <c r="C136" s="60" t="s">
        <v>448</v>
      </c>
      <c r="D136" s="60" t="s">
        <v>449</v>
      </c>
      <c r="E136" s="61" t="s">
        <v>46</v>
      </c>
      <c r="F136" s="62" t="s">
        <v>46</v>
      </c>
      <c r="G136" s="63" t="s">
        <v>46</v>
      </c>
      <c r="H136" s="64"/>
      <c r="I136" s="64" t="s">
        <v>47</v>
      </c>
      <c r="J136" s="65">
        <v>1</v>
      </c>
      <c r="K136" s="66">
        <f>20520</f>
        <v>20520</v>
      </c>
      <c r="L136" s="67" t="s">
        <v>853</v>
      </c>
      <c r="M136" s="66">
        <f>20890</f>
        <v>20890</v>
      </c>
      <c r="N136" s="67" t="s">
        <v>854</v>
      </c>
      <c r="O136" s="66">
        <f>19530</f>
        <v>19530</v>
      </c>
      <c r="P136" s="67" t="s">
        <v>874</v>
      </c>
      <c r="Q136" s="66">
        <f>19530</f>
        <v>19530</v>
      </c>
      <c r="R136" s="67" t="s">
        <v>874</v>
      </c>
      <c r="S136" s="68">
        <f>20214</f>
        <v>20214</v>
      </c>
      <c r="T136" s="65">
        <f>73</f>
        <v>73</v>
      </c>
      <c r="U136" s="65" t="str">
        <f>"－"</f>
        <v>－</v>
      </c>
      <c r="V136" s="65">
        <f>1479500</f>
        <v>1479500</v>
      </c>
      <c r="W136" s="65" t="str">
        <f>"－"</f>
        <v>－</v>
      </c>
      <c r="X136" s="69">
        <f>10</f>
        <v>10</v>
      </c>
    </row>
    <row r="137" spans="1:24">
      <c r="A137" s="60" t="s">
        <v>895</v>
      </c>
      <c r="B137" s="60" t="s">
        <v>450</v>
      </c>
      <c r="C137" s="60" t="s">
        <v>451</v>
      </c>
      <c r="D137" s="60" t="s">
        <v>452</v>
      </c>
      <c r="E137" s="61" t="s">
        <v>46</v>
      </c>
      <c r="F137" s="62" t="s">
        <v>46</v>
      </c>
      <c r="G137" s="63" t="s">
        <v>46</v>
      </c>
      <c r="H137" s="64"/>
      <c r="I137" s="64" t="s">
        <v>47</v>
      </c>
      <c r="J137" s="65">
        <v>1</v>
      </c>
      <c r="K137" s="66">
        <f>18240</f>
        <v>18240</v>
      </c>
      <c r="L137" s="67" t="s">
        <v>853</v>
      </c>
      <c r="M137" s="66">
        <f>18310</f>
        <v>18310</v>
      </c>
      <c r="N137" s="67" t="s">
        <v>77</v>
      </c>
      <c r="O137" s="66">
        <f>17340</f>
        <v>17340</v>
      </c>
      <c r="P137" s="67" t="s">
        <v>268</v>
      </c>
      <c r="Q137" s="66">
        <f>17590</f>
        <v>17590</v>
      </c>
      <c r="R137" s="67" t="s">
        <v>873</v>
      </c>
      <c r="S137" s="68">
        <f>17857</f>
        <v>17857</v>
      </c>
      <c r="T137" s="65">
        <f>5667</f>
        <v>5667</v>
      </c>
      <c r="U137" s="65">
        <f>6</f>
        <v>6</v>
      </c>
      <c r="V137" s="65">
        <f>101516610</f>
        <v>101516610</v>
      </c>
      <c r="W137" s="65">
        <f>106760</f>
        <v>106760</v>
      </c>
      <c r="X137" s="69">
        <f>20</f>
        <v>20</v>
      </c>
    </row>
    <row r="138" spans="1:24">
      <c r="A138" s="60" t="s">
        <v>895</v>
      </c>
      <c r="B138" s="60" t="s">
        <v>453</v>
      </c>
      <c r="C138" s="60" t="s">
        <v>454</v>
      </c>
      <c r="D138" s="60" t="s">
        <v>455</v>
      </c>
      <c r="E138" s="61" t="s">
        <v>46</v>
      </c>
      <c r="F138" s="62" t="s">
        <v>46</v>
      </c>
      <c r="G138" s="63" t="s">
        <v>46</v>
      </c>
      <c r="H138" s="64"/>
      <c r="I138" s="64" t="s">
        <v>47</v>
      </c>
      <c r="J138" s="65">
        <v>100</v>
      </c>
      <c r="K138" s="66">
        <f>158</f>
        <v>158</v>
      </c>
      <c r="L138" s="67" t="s">
        <v>853</v>
      </c>
      <c r="M138" s="66">
        <f>160</f>
        <v>160</v>
      </c>
      <c r="N138" s="67" t="s">
        <v>84</v>
      </c>
      <c r="O138" s="66">
        <f>145</f>
        <v>145</v>
      </c>
      <c r="P138" s="67" t="s">
        <v>268</v>
      </c>
      <c r="Q138" s="66">
        <f>148</f>
        <v>148</v>
      </c>
      <c r="R138" s="67" t="s">
        <v>873</v>
      </c>
      <c r="S138" s="68">
        <f>151</f>
        <v>151</v>
      </c>
      <c r="T138" s="65">
        <f>61992900</f>
        <v>61992900</v>
      </c>
      <c r="U138" s="65">
        <f>340600</f>
        <v>340600</v>
      </c>
      <c r="V138" s="65">
        <f>9411644300</f>
        <v>9411644300</v>
      </c>
      <c r="W138" s="65">
        <f>50233800</f>
        <v>50233800</v>
      </c>
      <c r="X138" s="69">
        <f>21</f>
        <v>21</v>
      </c>
    </row>
    <row r="139" spans="1:24">
      <c r="A139" s="60" t="s">
        <v>895</v>
      </c>
      <c r="B139" s="60" t="s">
        <v>456</v>
      </c>
      <c r="C139" s="60" t="s">
        <v>457</v>
      </c>
      <c r="D139" s="60" t="s">
        <v>458</v>
      </c>
      <c r="E139" s="61" t="s">
        <v>46</v>
      </c>
      <c r="F139" s="62" t="s">
        <v>46</v>
      </c>
      <c r="G139" s="63" t="s">
        <v>46</v>
      </c>
      <c r="H139" s="64"/>
      <c r="I139" s="64" t="s">
        <v>47</v>
      </c>
      <c r="J139" s="65">
        <v>1</v>
      </c>
      <c r="K139" s="66">
        <f>27790</f>
        <v>27790</v>
      </c>
      <c r="L139" s="67" t="s">
        <v>853</v>
      </c>
      <c r="M139" s="66">
        <f>28300</f>
        <v>28300</v>
      </c>
      <c r="N139" s="67" t="s">
        <v>859</v>
      </c>
      <c r="O139" s="66">
        <f>26260</f>
        <v>26260</v>
      </c>
      <c r="P139" s="67" t="s">
        <v>268</v>
      </c>
      <c r="Q139" s="66">
        <f>26510</f>
        <v>26510</v>
      </c>
      <c r="R139" s="67" t="s">
        <v>873</v>
      </c>
      <c r="S139" s="68">
        <f>27085.71</f>
        <v>27085.71</v>
      </c>
      <c r="T139" s="65">
        <f>1919</f>
        <v>1919</v>
      </c>
      <c r="U139" s="65" t="str">
        <f t="shared" ref="U139:U149" si="4">"－"</f>
        <v>－</v>
      </c>
      <c r="V139" s="65">
        <f>52089740</f>
        <v>52089740</v>
      </c>
      <c r="W139" s="65" t="str">
        <f t="shared" ref="W139:W149" si="5">"－"</f>
        <v>－</v>
      </c>
      <c r="X139" s="69">
        <f>21</f>
        <v>21</v>
      </c>
    </row>
    <row r="140" spans="1:24">
      <c r="A140" s="60" t="s">
        <v>895</v>
      </c>
      <c r="B140" s="60" t="s">
        <v>459</v>
      </c>
      <c r="C140" s="60" t="s">
        <v>460</v>
      </c>
      <c r="D140" s="60" t="s">
        <v>461</v>
      </c>
      <c r="E140" s="61" t="s">
        <v>46</v>
      </c>
      <c r="F140" s="62" t="s">
        <v>46</v>
      </c>
      <c r="G140" s="63" t="s">
        <v>46</v>
      </c>
      <c r="H140" s="64"/>
      <c r="I140" s="64" t="s">
        <v>47</v>
      </c>
      <c r="J140" s="65">
        <v>1</v>
      </c>
      <c r="K140" s="66">
        <f>10400</f>
        <v>10400</v>
      </c>
      <c r="L140" s="67" t="s">
        <v>853</v>
      </c>
      <c r="M140" s="66">
        <f>10510</f>
        <v>10510</v>
      </c>
      <c r="N140" s="67" t="s">
        <v>853</v>
      </c>
      <c r="O140" s="66">
        <f>9680</f>
        <v>9680</v>
      </c>
      <c r="P140" s="67" t="s">
        <v>73</v>
      </c>
      <c r="Q140" s="66">
        <f>9950</f>
        <v>9950</v>
      </c>
      <c r="R140" s="67" t="s">
        <v>873</v>
      </c>
      <c r="S140" s="68">
        <f>10052.86</f>
        <v>10052.86</v>
      </c>
      <c r="T140" s="65">
        <f>8769</f>
        <v>8769</v>
      </c>
      <c r="U140" s="65" t="str">
        <f t="shared" si="4"/>
        <v>－</v>
      </c>
      <c r="V140" s="65">
        <f>88096360</f>
        <v>88096360</v>
      </c>
      <c r="W140" s="65" t="str">
        <f t="shared" si="5"/>
        <v>－</v>
      </c>
      <c r="X140" s="69">
        <f>21</f>
        <v>21</v>
      </c>
    </row>
    <row r="141" spans="1:24">
      <c r="A141" s="60" t="s">
        <v>895</v>
      </c>
      <c r="B141" s="60" t="s">
        <v>462</v>
      </c>
      <c r="C141" s="60" t="s">
        <v>463</v>
      </c>
      <c r="D141" s="60" t="s">
        <v>464</v>
      </c>
      <c r="E141" s="61" t="s">
        <v>46</v>
      </c>
      <c r="F141" s="62" t="s">
        <v>46</v>
      </c>
      <c r="G141" s="63" t="s">
        <v>46</v>
      </c>
      <c r="H141" s="64"/>
      <c r="I141" s="64" t="s">
        <v>47</v>
      </c>
      <c r="J141" s="65">
        <v>1</v>
      </c>
      <c r="K141" s="66">
        <f>23310</f>
        <v>23310</v>
      </c>
      <c r="L141" s="67" t="s">
        <v>853</v>
      </c>
      <c r="M141" s="66">
        <f>23520</f>
        <v>23520</v>
      </c>
      <c r="N141" s="67" t="s">
        <v>131</v>
      </c>
      <c r="O141" s="66">
        <f>22430</f>
        <v>22430</v>
      </c>
      <c r="P141" s="67" t="s">
        <v>873</v>
      </c>
      <c r="Q141" s="66">
        <f>22430</f>
        <v>22430</v>
      </c>
      <c r="R141" s="67" t="s">
        <v>873</v>
      </c>
      <c r="S141" s="68">
        <f>23063.33</f>
        <v>23063.33</v>
      </c>
      <c r="T141" s="65">
        <f>2172</f>
        <v>2172</v>
      </c>
      <c r="U141" s="65" t="str">
        <f t="shared" si="4"/>
        <v>－</v>
      </c>
      <c r="V141" s="65">
        <f>49895600</f>
        <v>49895600</v>
      </c>
      <c r="W141" s="65" t="str">
        <f t="shared" si="5"/>
        <v>－</v>
      </c>
      <c r="X141" s="69">
        <f>21</f>
        <v>21</v>
      </c>
    </row>
    <row r="142" spans="1:24">
      <c r="A142" s="60" t="s">
        <v>895</v>
      </c>
      <c r="B142" s="60" t="s">
        <v>465</v>
      </c>
      <c r="C142" s="60" t="s">
        <v>466</v>
      </c>
      <c r="D142" s="60" t="s">
        <v>467</v>
      </c>
      <c r="E142" s="61" t="s">
        <v>46</v>
      </c>
      <c r="F142" s="62" t="s">
        <v>46</v>
      </c>
      <c r="G142" s="63" t="s">
        <v>46</v>
      </c>
      <c r="H142" s="64"/>
      <c r="I142" s="64" t="s">
        <v>47</v>
      </c>
      <c r="J142" s="65">
        <v>1</v>
      </c>
      <c r="K142" s="66">
        <f>28210</f>
        <v>28210</v>
      </c>
      <c r="L142" s="67" t="s">
        <v>853</v>
      </c>
      <c r="M142" s="66">
        <f>28810</f>
        <v>28810</v>
      </c>
      <c r="N142" s="67" t="s">
        <v>131</v>
      </c>
      <c r="O142" s="66">
        <f>27220</f>
        <v>27220</v>
      </c>
      <c r="P142" s="67" t="s">
        <v>88</v>
      </c>
      <c r="Q142" s="66">
        <f>27410</f>
        <v>27410</v>
      </c>
      <c r="R142" s="67" t="s">
        <v>873</v>
      </c>
      <c r="S142" s="68">
        <f>28065.24</f>
        <v>28065.24</v>
      </c>
      <c r="T142" s="65">
        <f>1658</f>
        <v>1658</v>
      </c>
      <c r="U142" s="65" t="str">
        <f t="shared" si="4"/>
        <v>－</v>
      </c>
      <c r="V142" s="65">
        <f>46674310</f>
        <v>46674310</v>
      </c>
      <c r="W142" s="65" t="str">
        <f t="shared" si="5"/>
        <v>－</v>
      </c>
      <c r="X142" s="69">
        <f>21</f>
        <v>21</v>
      </c>
    </row>
    <row r="143" spans="1:24">
      <c r="A143" s="60" t="s">
        <v>895</v>
      </c>
      <c r="B143" s="60" t="s">
        <v>468</v>
      </c>
      <c r="C143" s="60" t="s">
        <v>469</v>
      </c>
      <c r="D143" s="60" t="s">
        <v>470</v>
      </c>
      <c r="E143" s="61" t="s">
        <v>46</v>
      </c>
      <c r="F143" s="62" t="s">
        <v>46</v>
      </c>
      <c r="G143" s="63" t="s">
        <v>46</v>
      </c>
      <c r="H143" s="64"/>
      <c r="I143" s="64" t="s">
        <v>47</v>
      </c>
      <c r="J143" s="65">
        <v>1</v>
      </c>
      <c r="K143" s="66">
        <f>25270</f>
        <v>25270</v>
      </c>
      <c r="L143" s="67" t="s">
        <v>853</v>
      </c>
      <c r="M143" s="66">
        <f>25590</f>
        <v>25590</v>
      </c>
      <c r="N143" s="67" t="s">
        <v>857</v>
      </c>
      <c r="O143" s="66">
        <f>22870</f>
        <v>22870</v>
      </c>
      <c r="P143" s="67" t="s">
        <v>873</v>
      </c>
      <c r="Q143" s="66">
        <f>23070</f>
        <v>23070</v>
      </c>
      <c r="R143" s="67" t="s">
        <v>873</v>
      </c>
      <c r="S143" s="68">
        <f>23924.76</f>
        <v>23924.76</v>
      </c>
      <c r="T143" s="65">
        <f>6434</f>
        <v>6434</v>
      </c>
      <c r="U143" s="65" t="str">
        <f t="shared" si="4"/>
        <v>－</v>
      </c>
      <c r="V143" s="65">
        <f>153511550</f>
        <v>153511550</v>
      </c>
      <c r="W143" s="65" t="str">
        <f t="shared" si="5"/>
        <v>－</v>
      </c>
      <c r="X143" s="69">
        <f>21</f>
        <v>21</v>
      </c>
    </row>
    <row r="144" spans="1:24">
      <c r="A144" s="60" t="s">
        <v>895</v>
      </c>
      <c r="B144" s="60" t="s">
        <v>471</v>
      </c>
      <c r="C144" s="60" t="s">
        <v>472</v>
      </c>
      <c r="D144" s="60" t="s">
        <v>473</v>
      </c>
      <c r="E144" s="61" t="s">
        <v>46</v>
      </c>
      <c r="F144" s="62" t="s">
        <v>46</v>
      </c>
      <c r="G144" s="63" t="s">
        <v>46</v>
      </c>
      <c r="H144" s="64"/>
      <c r="I144" s="64" t="s">
        <v>47</v>
      </c>
      <c r="J144" s="65">
        <v>1</v>
      </c>
      <c r="K144" s="66">
        <f>22730</f>
        <v>22730</v>
      </c>
      <c r="L144" s="67" t="s">
        <v>853</v>
      </c>
      <c r="M144" s="66">
        <f>22870</f>
        <v>22870</v>
      </c>
      <c r="N144" s="67" t="s">
        <v>853</v>
      </c>
      <c r="O144" s="66">
        <f>21230</f>
        <v>21230</v>
      </c>
      <c r="P144" s="67" t="s">
        <v>873</v>
      </c>
      <c r="Q144" s="66">
        <f>21350</f>
        <v>21350</v>
      </c>
      <c r="R144" s="67" t="s">
        <v>873</v>
      </c>
      <c r="S144" s="68">
        <f>21970</f>
        <v>21970</v>
      </c>
      <c r="T144" s="65">
        <f>3426</f>
        <v>3426</v>
      </c>
      <c r="U144" s="65" t="str">
        <f t="shared" si="4"/>
        <v>－</v>
      </c>
      <c r="V144" s="65">
        <f>75615290</f>
        <v>75615290</v>
      </c>
      <c r="W144" s="65" t="str">
        <f t="shared" si="5"/>
        <v>－</v>
      </c>
      <c r="X144" s="69">
        <f>21</f>
        <v>21</v>
      </c>
    </row>
    <row r="145" spans="1:24">
      <c r="A145" s="60" t="s">
        <v>895</v>
      </c>
      <c r="B145" s="60" t="s">
        <v>474</v>
      </c>
      <c r="C145" s="60" t="s">
        <v>475</v>
      </c>
      <c r="D145" s="60" t="s">
        <v>476</v>
      </c>
      <c r="E145" s="61" t="s">
        <v>46</v>
      </c>
      <c r="F145" s="62" t="s">
        <v>46</v>
      </c>
      <c r="G145" s="63" t="s">
        <v>46</v>
      </c>
      <c r="H145" s="64"/>
      <c r="I145" s="64" t="s">
        <v>47</v>
      </c>
      <c r="J145" s="65">
        <v>1</v>
      </c>
      <c r="K145" s="66">
        <f>16170</f>
        <v>16170</v>
      </c>
      <c r="L145" s="67" t="s">
        <v>853</v>
      </c>
      <c r="M145" s="66">
        <f>16660</f>
        <v>16660</v>
      </c>
      <c r="N145" s="67" t="s">
        <v>69</v>
      </c>
      <c r="O145" s="66">
        <f>15510</f>
        <v>15510</v>
      </c>
      <c r="P145" s="67" t="s">
        <v>268</v>
      </c>
      <c r="Q145" s="66">
        <f>16300</f>
        <v>16300</v>
      </c>
      <c r="R145" s="67" t="s">
        <v>873</v>
      </c>
      <c r="S145" s="68">
        <f>16140</f>
        <v>16140</v>
      </c>
      <c r="T145" s="65">
        <f>5543</f>
        <v>5543</v>
      </c>
      <c r="U145" s="65" t="str">
        <f t="shared" si="4"/>
        <v>－</v>
      </c>
      <c r="V145" s="65">
        <f>89207200</f>
        <v>89207200</v>
      </c>
      <c r="W145" s="65" t="str">
        <f t="shared" si="5"/>
        <v>－</v>
      </c>
      <c r="X145" s="69">
        <f>21</f>
        <v>21</v>
      </c>
    </row>
    <row r="146" spans="1:24">
      <c r="A146" s="60" t="s">
        <v>895</v>
      </c>
      <c r="B146" s="60" t="s">
        <v>477</v>
      </c>
      <c r="C146" s="60" t="s">
        <v>478</v>
      </c>
      <c r="D146" s="60" t="s">
        <v>479</v>
      </c>
      <c r="E146" s="61" t="s">
        <v>46</v>
      </c>
      <c r="F146" s="62" t="s">
        <v>46</v>
      </c>
      <c r="G146" s="63" t="s">
        <v>46</v>
      </c>
      <c r="H146" s="64"/>
      <c r="I146" s="64" t="s">
        <v>47</v>
      </c>
      <c r="J146" s="65">
        <v>1</v>
      </c>
      <c r="K146" s="66">
        <f>41900</f>
        <v>41900</v>
      </c>
      <c r="L146" s="67" t="s">
        <v>853</v>
      </c>
      <c r="M146" s="66">
        <f>43500</f>
        <v>43500</v>
      </c>
      <c r="N146" s="67" t="s">
        <v>371</v>
      </c>
      <c r="O146" s="66">
        <f>40150</f>
        <v>40150</v>
      </c>
      <c r="P146" s="67" t="s">
        <v>268</v>
      </c>
      <c r="Q146" s="66">
        <f>40750</f>
        <v>40750</v>
      </c>
      <c r="R146" s="67" t="s">
        <v>873</v>
      </c>
      <c r="S146" s="68">
        <f>41719.05</f>
        <v>41719.050000000003</v>
      </c>
      <c r="T146" s="65">
        <f>3187</f>
        <v>3187</v>
      </c>
      <c r="U146" s="65" t="str">
        <f t="shared" si="4"/>
        <v>－</v>
      </c>
      <c r="V146" s="65">
        <f>133841100</f>
        <v>133841100</v>
      </c>
      <c r="W146" s="65" t="str">
        <f t="shared" si="5"/>
        <v>－</v>
      </c>
      <c r="X146" s="69">
        <f>21</f>
        <v>21</v>
      </c>
    </row>
    <row r="147" spans="1:24">
      <c r="A147" s="60" t="s">
        <v>895</v>
      </c>
      <c r="B147" s="60" t="s">
        <v>480</v>
      </c>
      <c r="C147" s="60" t="s">
        <v>481</v>
      </c>
      <c r="D147" s="60" t="s">
        <v>482</v>
      </c>
      <c r="E147" s="61" t="s">
        <v>46</v>
      </c>
      <c r="F147" s="62" t="s">
        <v>46</v>
      </c>
      <c r="G147" s="63" t="s">
        <v>46</v>
      </c>
      <c r="H147" s="64"/>
      <c r="I147" s="64" t="s">
        <v>47</v>
      </c>
      <c r="J147" s="65">
        <v>1</v>
      </c>
      <c r="K147" s="66">
        <f>28230</f>
        <v>28230</v>
      </c>
      <c r="L147" s="67" t="s">
        <v>853</v>
      </c>
      <c r="M147" s="66">
        <f>29200</f>
        <v>29200</v>
      </c>
      <c r="N147" s="67" t="s">
        <v>859</v>
      </c>
      <c r="O147" s="66">
        <f>27450</f>
        <v>27450</v>
      </c>
      <c r="P147" s="67" t="s">
        <v>268</v>
      </c>
      <c r="Q147" s="66">
        <f>27720</f>
        <v>27720</v>
      </c>
      <c r="R147" s="67" t="s">
        <v>873</v>
      </c>
      <c r="S147" s="68">
        <f>28406.67</f>
        <v>28406.67</v>
      </c>
      <c r="T147" s="65">
        <f>9426</f>
        <v>9426</v>
      </c>
      <c r="U147" s="65" t="str">
        <f t="shared" si="4"/>
        <v>－</v>
      </c>
      <c r="V147" s="65">
        <f>269580600</f>
        <v>269580600</v>
      </c>
      <c r="W147" s="65" t="str">
        <f t="shared" si="5"/>
        <v>－</v>
      </c>
      <c r="X147" s="69">
        <f>21</f>
        <v>21</v>
      </c>
    </row>
    <row r="148" spans="1:24">
      <c r="A148" s="60" t="s">
        <v>895</v>
      </c>
      <c r="B148" s="60" t="s">
        <v>483</v>
      </c>
      <c r="C148" s="60" t="s">
        <v>484</v>
      </c>
      <c r="D148" s="60" t="s">
        <v>485</v>
      </c>
      <c r="E148" s="61" t="s">
        <v>46</v>
      </c>
      <c r="F148" s="62" t="s">
        <v>46</v>
      </c>
      <c r="G148" s="63" t="s">
        <v>46</v>
      </c>
      <c r="H148" s="64"/>
      <c r="I148" s="64" t="s">
        <v>47</v>
      </c>
      <c r="J148" s="65">
        <v>1</v>
      </c>
      <c r="K148" s="66">
        <f>31150</f>
        <v>31150</v>
      </c>
      <c r="L148" s="67" t="s">
        <v>853</v>
      </c>
      <c r="M148" s="66">
        <f>31550</f>
        <v>31550</v>
      </c>
      <c r="N148" s="67" t="s">
        <v>84</v>
      </c>
      <c r="O148" s="66">
        <f>30200</f>
        <v>30200</v>
      </c>
      <c r="P148" s="67" t="s">
        <v>268</v>
      </c>
      <c r="Q148" s="66">
        <f>30300</f>
        <v>30300</v>
      </c>
      <c r="R148" s="67" t="s">
        <v>873</v>
      </c>
      <c r="S148" s="68">
        <f>31016.67</f>
        <v>31016.67</v>
      </c>
      <c r="T148" s="65">
        <f>2764</f>
        <v>2764</v>
      </c>
      <c r="U148" s="65" t="str">
        <f t="shared" si="4"/>
        <v>－</v>
      </c>
      <c r="V148" s="65">
        <f>85762650</f>
        <v>85762650</v>
      </c>
      <c r="W148" s="65" t="str">
        <f t="shared" si="5"/>
        <v>－</v>
      </c>
      <c r="X148" s="69">
        <f>21</f>
        <v>21</v>
      </c>
    </row>
    <row r="149" spans="1:24">
      <c r="A149" s="60" t="s">
        <v>895</v>
      </c>
      <c r="B149" s="60" t="s">
        <v>486</v>
      </c>
      <c r="C149" s="60" t="s">
        <v>487</v>
      </c>
      <c r="D149" s="60" t="s">
        <v>488</v>
      </c>
      <c r="E149" s="61" t="s">
        <v>46</v>
      </c>
      <c r="F149" s="62" t="s">
        <v>46</v>
      </c>
      <c r="G149" s="63" t="s">
        <v>46</v>
      </c>
      <c r="H149" s="64"/>
      <c r="I149" s="64" t="s">
        <v>47</v>
      </c>
      <c r="J149" s="65">
        <v>1</v>
      </c>
      <c r="K149" s="66">
        <f>6930</f>
        <v>6930</v>
      </c>
      <c r="L149" s="67" t="s">
        <v>853</v>
      </c>
      <c r="M149" s="66">
        <f>6930</f>
        <v>6930</v>
      </c>
      <c r="N149" s="67" t="s">
        <v>853</v>
      </c>
      <c r="O149" s="66">
        <f>6270</f>
        <v>6270</v>
      </c>
      <c r="P149" s="67" t="s">
        <v>268</v>
      </c>
      <c r="Q149" s="66">
        <f>6330</f>
        <v>6330</v>
      </c>
      <c r="R149" s="67" t="s">
        <v>873</v>
      </c>
      <c r="S149" s="68">
        <f>6500.48</f>
        <v>6500.48</v>
      </c>
      <c r="T149" s="65">
        <f>12872</f>
        <v>12872</v>
      </c>
      <c r="U149" s="65" t="str">
        <f t="shared" si="4"/>
        <v>－</v>
      </c>
      <c r="V149" s="65">
        <f>84214220</f>
        <v>84214220</v>
      </c>
      <c r="W149" s="65" t="str">
        <f t="shared" si="5"/>
        <v>－</v>
      </c>
      <c r="X149" s="69">
        <f>21</f>
        <v>21</v>
      </c>
    </row>
    <row r="150" spans="1:24">
      <c r="A150" s="60" t="s">
        <v>895</v>
      </c>
      <c r="B150" s="60" t="s">
        <v>489</v>
      </c>
      <c r="C150" s="60" t="s">
        <v>490</v>
      </c>
      <c r="D150" s="60" t="s">
        <v>491</v>
      </c>
      <c r="E150" s="61" t="s">
        <v>46</v>
      </c>
      <c r="F150" s="62" t="s">
        <v>46</v>
      </c>
      <c r="G150" s="63" t="s">
        <v>46</v>
      </c>
      <c r="H150" s="64"/>
      <c r="I150" s="64" t="s">
        <v>47</v>
      </c>
      <c r="J150" s="65">
        <v>1</v>
      </c>
      <c r="K150" s="66">
        <f>15310</f>
        <v>15310</v>
      </c>
      <c r="L150" s="67" t="s">
        <v>853</v>
      </c>
      <c r="M150" s="66">
        <f>15460</f>
        <v>15460</v>
      </c>
      <c r="N150" s="67" t="s">
        <v>77</v>
      </c>
      <c r="O150" s="66">
        <f>14020</f>
        <v>14020</v>
      </c>
      <c r="P150" s="67" t="s">
        <v>268</v>
      </c>
      <c r="Q150" s="66">
        <f>14800</f>
        <v>14800</v>
      </c>
      <c r="R150" s="67" t="s">
        <v>873</v>
      </c>
      <c r="S150" s="68">
        <f>14791.9</f>
        <v>14791.9</v>
      </c>
      <c r="T150" s="65">
        <f>34722</f>
        <v>34722</v>
      </c>
      <c r="U150" s="65">
        <f>16</f>
        <v>16</v>
      </c>
      <c r="V150" s="65">
        <f>515131480</f>
        <v>515131480</v>
      </c>
      <c r="W150" s="65">
        <f>236710</f>
        <v>236710</v>
      </c>
      <c r="X150" s="69">
        <f>21</f>
        <v>21</v>
      </c>
    </row>
    <row r="151" spans="1:24">
      <c r="A151" s="60" t="s">
        <v>895</v>
      </c>
      <c r="B151" s="60" t="s">
        <v>492</v>
      </c>
      <c r="C151" s="60" t="s">
        <v>493</v>
      </c>
      <c r="D151" s="60" t="s">
        <v>494</v>
      </c>
      <c r="E151" s="61" t="s">
        <v>46</v>
      </c>
      <c r="F151" s="62" t="s">
        <v>46</v>
      </c>
      <c r="G151" s="63" t="s">
        <v>46</v>
      </c>
      <c r="H151" s="64"/>
      <c r="I151" s="64" t="s">
        <v>47</v>
      </c>
      <c r="J151" s="65">
        <v>1</v>
      </c>
      <c r="K151" s="66">
        <f>40200</f>
        <v>40200</v>
      </c>
      <c r="L151" s="67" t="s">
        <v>853</v>
      </c>
      <c r="M151" s="66">
        <f>40400</f>
        <v>40400</v>
      </c>
      <c r="N151" s="67" t="s">
        <v>92</v>
      </c>
      <c r="O151" s="66">
        <f>38250</f>
        <v>38250</v>
      </c>
      <c r="P151" s="67" t="s">
        <v>268</v>
      </c>
      <c r="Q151" s="66">
        <f>38650</f>
        <v>38650</v>
      </c>
      <c r="R151" s="67" t="s">
        <v>873</v>
      </c>
      <c r="S151" s="68">
        <f>39292.86</f>
        <v>39292.86</v>
      </c>
      <c r="T151" s="65">
        <f>4643</f>
        <v>4643</v>
      </c>
      <c r="U151" s="65" t="str">
        <f>"－"</f>
        <v>－</v>
      </c>
      <c r="V151" s="65">
        <f>182354900</f>
        <v>182354900</v>
      </c>
      <c r="W151" s="65" t="str">
        <f>"－"</f>
        <v>－</v>
      </c>
      <c r="X151" s="69">
        <f>21</f>
        <v>21</v>
      </c>
    </row>
    <row r="152" spans="1:24">
      <c r="A152" s="60" t="s">
        <v>895</v>
      </c>
      <c r="B152" s="60" t="s">
        <v>495</v>
      </c>
      <c r="C152" s="60" t="s">
        <v>496</v>
      </c>
      <c r="D152" s="60" t="s">
        <v>497</v>
      </c>
      <c r="E152" s="61" t="s">
        <v>46</v>
      </c>
      <c r="F152" s="62" t="s">
        <v>46</v>
      </c>
      <c r="G152" s="63" t="s">
        <v>46</v>
      </c>
      <c r="H152" s="64"/>
      <c r="I152" s="64" t="s">
        <v>47</v>
      </c>
      <c r="J152" s="65">
        <v>1</v>
      </c>
      <c r="K152" s="66">
        <f>24400</f>
        <v>24400</v>
      </c>
      <c r="L152" s="67" t="s">
        <v>853</v>
      </c>
      <c r="M152" s="66">
        <f>24650</f>
        <v>24650</v>
      </c>
      <c r="N152" s="67" t="s">
        <v>77</v>
      </c>
      <c r="O152" s="66">
        <f>23100</f>
        <v>23100</v>
      </c>
      <c r="P152" s="67" t="s">
        <v>268</v>
      </c>
      <c r="Q152" s="66">
        <f>23340</f>
        <v>23340</v>
      </c>
      <c r="R152" s="67" t="s">
        <v>88</v>
      </c>
      <c r="S152" s="68">
        <f>23942.86</f>
        <v>23942.86</v>
      </c>
      <c r="T152" s="65">
        <f>89</f>
        <v>89</v>
      </c>
      <c r="U152" s="65" t="str">
        <f>"－"</f>
        <v>－</v>
      </c>
      <c r="V152" s="65">
        <f>2124330</f>
        <v>2124330</v>
      </c>
      <c r="W152" s="65" t="str">
        <f>"－"</f>
        <v>－</v>
      </c>
      <c r="X152" s="69">
        <f>14</f>
        <v>14</v>
      </c>
    </row>
    <row r="153" spans="1:24">
      <c r="A153" s="60" t="s">
        <v>895</v>
      </c>
      <c r="B153" s="60" t="s">
        <v>498</v>
      </c>
      <c r="C153" s="60" t="s">
        <v>499</v>
      </c>
      <c r="D153" s="60" t="s">
        <v>500</v>
      </c>
      <c r="E153" s="61" t="s">
        <v>46</v>
      </c>
      <c r="F153" s="62" t="s">
        <v>46</v>
      </c>
      <c r="G153" s="63" t="s">
        <v>46</v>
      </c>
      <c r="H153" s="64"/>
      <c r="I153" s="64" t="s">
        <v>47</v>
      </c>
      <c r="J153" s="65">
        <v>1</v>
      </c>
      <c r="K153" s="66">
        <f>8210</f>
        <v>8210</v>
      </c>
      <c r="L153" s="67" t="s">
        <v>853</v>
      </c>
      <c r="M153" s="66">
        <f>8300</f>
        <v>8300</v>
      </c>
      <c r="N153" s="67" t="s">
        <v>84</v>
      </c>
      <c r="O153" s="66">
        <f>7570</f>
        <v>7570</v>
      </c>
      <c r="P153" s="67" t="s">
        <v>268</v>
      </c>
      <c r="Q153" s="66">
        <f>7810</f>
        <v>7810</v>
      </c>
      <c r="R153" s="67" t="s">
        <v>873</v>
      </c>
      <c r="S153" s="68">
        <f>7886.19</f>
        <v>7886.19</v>
      </c>
      <c r="T153" s="65">
        <f>46004</f>
        <v>46004</v>
      </c>
      <c r="U153" s="65">
        <f>3</f>
        <v>3</v>
      </c>
      <c r="V153" s="65">
        <f>362889305</f>
        <v>362889305</v>
      </c>
      <c r="W153" s="65">
        <f>23515</f>
        <v>23515</v>
      </c>
      <c r="X153" s="69">
        <f>21</f>
        <v>21</v>
      </c>
    </row>
    <row r="154" spans="1:24">
      <c r="A154" s="60" t="s">
        <v>895</v>
      </c>
      <c r="B154" s="60" t="s">
        <v>501</v>
      </c>
      <c r="C154" s="60" t="s">
        <v>502</v>
      </c>
      <c r="D154" s="60" t="s">
        <v>503</v>
      </c>
      <c r="E154" s="61" t="s">
        <v>46</v>
      </c>
      <c r="F154" s="62" t="s">
        <v>46</v>
      </c>
      <c r="G154" s="63" t="s">
        <v>46</v>
      </c>
      <c r="H154" s="64"/>
      <c r="I154" s="64" t="s">
        <v>47</v>
      </c>
      <c r="J154" s="65">
        <v>1</v>
      </c>
      <c r="K154" s="66">
        <f>13460</f>
        <v>13460</v>
      </c>
      <c r="L154" s="67" t="s">
        <v>853</v>
      </c>
      <c r="M154" s="66">
        <f>13520</f>
        <v>13520</v>
      </c>
      <c r="N154" s="67" t="s">
        <v>77</v>
      </c>
      <c r="O154" s="66">
        <f>12780</f>
        <v>12780</v>
      </c>
      <c r="P154" s="67" t="s">
        <v>268</v>
      </c>
      <c r="Q154" s="66">
        <f>13010</f>
        <v>13010</v>
      </c>
      <c r="R154" s="67" t="s">
        <v>873</v>
      </c>
      <c r="S154" s="68">
        <f>13191.9</f>
        <v>13191.9</v>
      </c>
      <c r="T154" s="65">
        <f>3772</f>
        <v>3772</v>
      </c>
      <c r="U154" s="65" t="str">
        <f>"－"</f>
        <v>－</v>
      </c>
      <c r="V154" s="65">
        <f>49584590</f>
        <v>49584590</v>
      </c>
      <c r="W154" s="65" t="str">
        <f>"－"</f>
        <v>－</v>
      </c>
      <c r="X154" s="69">
        <f>21</f>
        <v>21</v>
      </c>
    </row>
    <row r="155" spans="1:24">
      <c r="A155" s="60" t="s">
        <v>895</v>
      </c>
      <c r="B155" s="60" t="s">
        <v>504</v>
      </c>
      <c r="C155" s="60" t="s">
        <v>505</v>
      </c>
      <c r="D155" s="60" t="s">
        <v>506</v>
      </c>
      <c r="E155" s="61" t="s">
        <v>46</v>
      </c>
      <c r="F155" s="62" t="s">
        <v>46</v>
      </c>
      <c r="G155" s="63" t="s">
        <v>46</v>
      </c>
      <c r="H155" s="64"/>
      <c r="I155" s="64" t="s">
        <v>47</v>
      </c>
      <c r="J155" s="65">
        <v>1</v>
      </c>
      <c r="K155" s="66">
        <f>30150</f>
        <v>30150</v>
      </c>
      <c r="L155" s="67" t="s">
        <v>853</v>
      </c>
      <c r="M155" s="66">
        <f>30600</f>
        <v>30600</v>
      </c>
      <c r="N155" s="67" t="s">
        <v>857</v>
      </c>
      <c r="O155" s="66">
        <f>28000</f>
        <v>28000</v>
      </c>
      <c r="P155" s="67" t="s">
        <v>268</v>
      </c>
      <c r="Q155" s="66">
        <f>28720</f>
        <v>28720</v>
      </c>
      <c r="R155" s="67" t="s">
        <v>873</v>
      </c>
      <c r="S155" s="68">
        <f>29443.33</f>
        <v>29443.33</v>
      </c>
      <c r="T155" s="65">
        <f>2062</f>
        <v>2062</v>
      </c>
      <c r="U155" s="65" t="str">
        <f>"－"</f>
        <v>－</v>
      </c>
      <c r="V155" s="65">
        <f>60945060</f>
        <v>60945060</v>
      </c>
      <c r="W155" s="65" t="str">
        <f>"－"</f>
        <v>－</v>
      </c>
      <c r="X155" s="69">
        <f>21</f>
        <v>21</v>
      </c>
    </row>
    <row r="156" spans="1:24">
      <c r="A156" s="60" t="s">
        <v>895</v>
      </c>
      <c r="B156" s="60" t="s">
        <v>507</v>
      </c>
      <c r="C156" s="60" t="s">
        <v>508</v>
      </c>
      <c r="D156" s="60" t="s">
        <v>509</v>
      </c>
      <c r="E156" s="61" t="s">
        <v>46</v>
      </c>
      <c r="F156" s="62" t="s">
        <v>46</v>
      </c>
      <c r="G156" s="63" t="s">
        <v>46</v>
      </c>
      <c r="H156" s="64"/>
      <c r="I156" s="64" t="s">
        <v>47</v>
      </c>
      <c r="J156" s="65">
        <v>10</v>
      </c>
      <c r="K156" s="66">
        <f>1099</f>
        <v>1099</v>
      </c>
      <c r="L156" s="67" t="s">
        <v>853</v>
      </c>
      <c r="M156" s="66">
        <f>1102</f>
        <v>1102</v>
      </c>
      <c r="N156" s="67" t="s">
        <v>77</v>
      </c>
      <c r="O156" s="66">
        <f>1038</f>
        <v>1038</v>
      </c>
      <c r="P156" s="67" t="s">
        <v>268</v>
      </c>
      <c r="Q156" s="66">
        <f>1052</f>
        <v>1052</v>
      </c>
      <c r="R156" s="67" t="s">
        <v>873</v>
      </c>
      <c r="S156" s="68">
        <f>1071.19</f>
        <v>1071.19</v>
      </c>
      <c r="T156" s="65">
        <f>359010</f>
        <v>359010</v>
      </c>
      <c r="U156" s="65">
        <f>70</f>
        <v>70</v>
      </c>
      <c r="V156" s="65">
        <f>383552370</f>
        <v>383552370</v>
      </c>
      <c r="W156" s="65">
        <f>73990</f>
        <v>73990</v>
      </c>
      <c r="X156" s="69">
        <f>21</f>
        <v>21</v>
      </c>
    </row>
    <row r="157" spans="1:24">
      <c r="A157" s="60" t="s">
        <v>895</v>
      </c>
      <c r="B157" s="60" t="s">
        <v>510</v>
      </c>
      <c r="C157" s="60" t="s">
        <v>511</v>
      </c>
      <c r="D157" s="60" t="s">
        <v>512</v>
      </c>
      <c r="E157" s="61" t="s">
        <v>46</v>
      </c>
      <c r="F157" s="62" t="s">
        <v>46</v>
      </c>
      <c r="G157" s="63" t="s">
        <v>46</v>
      </c>
      <c r="H157" s="64"/>
      <c r="I157" s="64" t="s">
        <v>47</v>
      </c>
      <c r="J157" s="65">
        <v>10</v>
      </c>
      <c r="K157" s="66">
        <f>2438</f>
        <v>2438</v>
      </c>
      <c r="L157" s="67" t="s">
        <v>853</v>
      </c>
      <c r="M157" s="66">
        <f>2462</f>
        <v>2462</v>
      </c>
      <c r="N157" s="67" t="s">
        <v>84</v>
      </c>
      <c r="O157" s="66">
        <f>2326</f>
        <v>2326</v>
      </c>
      <c r="P157" s="67" t="s">
        <v>268</v>
      </c>
      <c r="Q157" s="66">
        <f>2351</f>
        <v>2351</v>
      </c>
      <c r="R157" s="67" t="s">
        <v>873</v>
      </c>
      <c r="S157" s="68">
        <f>2397.43</f>
        <v>2397.4299999999998</v>
      </c>
      <c r="T157" s="65">
        <f>29830</f>
        <v>29830</v>
      </c>
      <c r="U157" s="65" t="str">
        <f>"－"</f>
        <v>－</v>
      </c>
      <c r="V157" s="65">
        <f>72427550</f>
        <v>72427550</v>
      </c>
      <c r="W157" s="65" t="str">
        <f>"－"</f>
        <v>－</v>
      </c>
      <c r="X157" s="69">
        <f>14</f>
        <v>14</v>
      </c>
    </row>
    <row r="158" spans="1:24">
      <c r="A158" s="60" t="s">
        <v>895</v>
      </c>
      <c r="B158" s="60" t="s">
        <v>513</v>
      </c>
      <c r="C158" s="60" t="s">
        <v>514</v>
      </c>
      <c r="D158" s="60" t="s">
        <v>515</v>
      </c>
      <c r="E158" s="61" t="s">
        <v>46</v>
      </c>
      <c r="F158" s="62" t="s">
        <v>46</v>
      </c>
      <c r="G158" s="63" t="s">
        <v>46</v>
      </c>
      <c r="H158" s="64"/>
      <c r="I158" s="64" t="s">
        <v>47</v>
      </c>
      <c r="J158" s="65">
        <v>10</v>
      </c>
      <c r="K158" s="66">
        <f>2517</f>
        <v>2517</v>
      </c>
      <c r="L158" s="67" t="s">
        <v>853</v>
      </c>
      <c r="M158" s="66">
        <f>2536</f>
        <v>2536</v>
      </c>
      <c r="N158" s="67" t="s">
        <v>77</v>
      </c>
      <c r="O158" s="66">
        <f>2385</f>
        <v>2385</v>
      </c>
      <c r="P158" s="67" t="s">
        <v>268</v>
      </c>
      <c r="Q158" s="66">
        <f>2406</f>
        <v>2406</v>
      </c>
      <c r="R158" s="67" t="s">
        <v>873</v>
      </c>
      <c r="S158" s="68">
        <f>2464.9</f>
        <v>2464.9</v>
      </c>
      <c r="T158" s="65">
        <f>29880</f>
        <v>29880</v>
      </c>
      <c r="U158" s="65" t="str">
        <f>"－"</f>
        <v>－</v>
      </c>
      <c r="V158" s="65">
        <f>73629290</f>
        <v>73629290</v>
      </c>
      <c r="W158" s="65" t="str">
        <f>"－"</f>
        <v>－</v>
      </c>
      <c r="X158" s="69">
        <f>21</f>
        <v>21</v>
      </c>
    </row>
    <row r="159" spans="1:24">
      <c r="A159" s="60" t="s">
        <v>895</v>
      </c>
      <c r="B159" s="60" t="s">
        <v>516</v>
      </c>
      <c r="C159" s="60" t="s">
        <v>517</v>
      </c>
      <c r="D159" s="60" t="s">
        <v>518</v>
      </c>
      <c r="E159" s="61" t="s">
        <v>46</v>
      </c>
      <c r="F159" s="62" t="s">
        <v>46</v>
      </c>
      <c r="G159" s="63" t="s">
        <v>46</v>
      </c>
      <c r="H159" s="64"/>
      <c r="I159" s="64" t="s">
        <v>47</v>
      </c>
      <c r="J159" s="65">
        <v>10</v>
      </c>
      <c r="K159" s="66">
        <f>1515</f>
        <v>1515</v>
      </c>
      <c r="L159" s="67" t="s">
        <v>853</v>
      </c>
      <c r="M159" s="66">
        <f>1527</f>
        <v>1527</v>
      </c>
      <c r="N159" s="67" t="s">
        <v>84</v>
      </c>
      <c r="O159" s="66">
        <f>1441</f>
        <v>1441</v>
      </c>
      <c r="P159" s="67" t="s">
        <v>268</v>
      </c>
      <c r="Q159" s="66">
        <f>1460</f>
        <v>1460</v>
      </c>
      <c r="R159" s="67" t="s">
        <v>873</v>
      </c>
      <c r="S159" s="68">
        <f>1491.41</f>
        <v>1491.41</v>
      </c>
      <c r="T159" s="65">
        <f>76000</f>
        <v>76000</v>
      </c>
      <c r="U159" s="65" t="str">
        <f>"－"</f>
        <v>－</v>
      </c>
      <c r="V159" s="65">
        <f>114877540</f>
        <v>114877540</v>
      </c>
      <c r="W159" s="65" t="str">
        <f>"－"</f>
        <v>－</v>
      </c>
      <c r="X159" s="69">
        <f>17</f>
        <v>17</v>
      </c>
    </row>
    <row r="160" spans="1:24">
      <c r="A160" s="60" t="s">
        <v>895</v>
      </c>
      <c r="B160" s="60" t="s">
        <v>519</v>
      </c>
      <c r="C160" s="60" t="s">
        <v>520</v>
      </c>
      <c r="D160" s="60" t="s">
        <v>521</v>
      </c>
      <c r="E160" s="61" t="s">
        <v>46</v>
      </c>
      <c r="F160" s="62" t="s">
        <v>46</v>
      </c>
      <c r="G160" s="63" t="s">
        <v>46</v>
      </c>
      <c r="H160" s="64"/>
      <c r="I160" s="64" t="s">
        <v>47</v>
      </c>
      <c r="J160" s="65">
        <v>1</v>
      </c>
      <c r="K160" s="66">
        <f>3160</f>
        <v>3160</v>
      </c>
      <c r="L160" s="67" t="s">
        <v>853</v>
      </c>
      <c r="M160" s="66">
        <f>3285</f>
        <v>3285</v>
      </c>
      <c r="N160" s="67" t="s">
        <v>873</v>
      </c>
      <c r="O160" s="66">
        <f>3145</f>
        <v>3145</v>
      </c>
      <c r="P160" s="67" t="s">
        <v>853</v>
      </c>
      <c r="Q160" s="66">
        <f>3270</f>
        <v>3270</v>
      </c>
      <c r="R160" s="67" t="s">
        <v>873</v>
      </c>
      <c r="S160" s="68">
        <f>3221.43</f>
        <v>3221.43</v>
      </c>
      <c r="T160" s="65">
        <f>2503874</f>
        <v>2503874</v>
      </c>
      <c r="U160" s="65">
        <f>305018</f>
        <v>305018</v>
      </c>
      <c r="V160" s="65">
        <f>8067709080</f>
        <v>8067709080</v>
      </c>
      <c r="W160" s="65">
        <f>987353090</f>
        <v>987353090</v>
      </c>
      <c r="X160" s="69">
        <f>21</f>
        <v>21</v>
      </c>
    </row>
    <row r="161" spans="1:24">
      <c r="A161" s="60" t="s">
        <v>895</v>
      </c>
      <c r="B161" s="60" t="s">
        <v>522</v>
      </c>
      <c r="C161" s="60" t="s">
        <v>523</v>
      </c>
      <c r="D161" s="60" t="s">
        <v>524</v>
      </c>
      <c r="E161" s="61" t="s">
        <v>46</v>
      </c>
      <c r="F161" s="62" t="s">
        <v>46</v>
      </c>
      <c r="G161" s="63" t="s">
        <v>46</v>
      </c>
      <c r="H161" s="64"/>
      <c r="I161" s="64" t="s">
        <v>47</v>
      </c>
      <c r="J161" s="65">
        <v>1</v>
      </c>
      <c r="K161" s="66">
        <f>2593</f>
        <v>2593</v>
      </c>
      <c r="L161" s="67" t="s">
        <v>853</v>
      </c>
      <c r="M161" s="66">
        <f>2602</f>
        <v>2602</v>
      </c>
      <c r="N161" s="67" t="s">
        <v>857</v>
      </c>
      <c r="O161" s="66">
        <f>2540</f>
        <v>2540</v>
      </c>
      <c r="P161" s="67" t="s">
        <v>240</v>
      </c>
      <c r="Q161" s="66">
        <f>2557</f>
        <v>2557</v>
      </c>
      <c r="R161" s="67" t="s">
        <v>873</v>
      </c>
      <c r="S161" s="68">
        <f>2566.1</f>
        <v>2566.1</v>
      </c>
      <c r="T161" s="65">
        <f>683526</f>
        <v>683526</v>
      </c>
      <c r="U161" s="65">
        <f>184827</f>
        <v>184827</v>
      </c>
      <c r="V161" s="65">
        <f>1754456883</f>
        <v>1754456883</v>
      </c>
      <c r="W161" s="65">
        <f>471742596</f>
        <v>471742596</v>
      </c>
      <c r="X161" s="69">
        <f>21</f>
        <v>21</v>
      </c>
    </row>
    <row r="162" spans="1:24">
      <c r="A162" s="60" t="s">
        <v>895</v>
      </c>
      <c r="B162" s="60" t="s">
        <v>525</v>
      </c>
      <c r="C162" s="60" t="s">
        <v>526</v>
      </c>
      <c r="D162" s="60" t="s">
        <v>527</v>
      </c>
      <c r="E162" s="61" t="s">
        <v>46</v>
      </c>
      <c r="F162" s="62" t="s">
        <v>46</v>
      </c>
      <c r="G162" s="63" t="s">
        <v>46</v>
      </c>
      <c r="H162" s="64"/>
      <c r="I162" s="64" t="s">
        <v>47</v>
      </c>
      <c r="J162" s="65">
        <v>1</v>
      </c>
      <c r="K162" s="66">
        <f>2834</f>
        <v>2834</v>
      </c>
      <c r="L162" s="67" t="s">
        <v>853</v>
      </c>
      <c r="M162" s="66">
        <f>3045</f>
        <v>3045</v>
      </c>
      <c r="N162" s="67" t="s">
        <v>873</v>
      </c>
      <c r="O162" s="66">
        <f>2817</f>
        <v>2817</v>
      </c>
      <c r="P162" s="67" t="s">
        <v>853</v>
      </c>
      <c r="Q162" s="66">
        <f>2930</f>
        <v>2930</v>
      </c>
      <c r="R162" s="67" t="s">
        <v>873</v>
      </c>
      <c r="S162" s="68">
        <f>2883.38</f>
        <v>2883.38</v>
      </c>
      <c r="T162" s="65">
        <f>426447</f>
        <v>426447</v>
      </c>
      <c r="U162" s="65">
        <f>318453</f>
        <v>318453</v>
      </c>
      <c r="V162" s="65">
        <f>1227490419</f>
        <v>1227490419</v>
      </c>
      <c r="W162" s="65">
        <f>914533094</f>
        <v>914533094</v>
      </c>
      <c r="X162" s="69">
        <f>21</f>
        <v>21</v>
      </c>
    </row>
    <row r="163" spans="1:24">
      <c r="A163" s="60" t="s">
        <v>895</v>
      </c>
      <c r="B163" s="60" t="s">
        <v>528</v>
      </c>
      <c r="C163" s="60" t="s">
        <v>529</v>
      </c>
      <c r="D163" s="60" t="s">
        <v>530</v>
      </c>
      <c r="E163" s="61" t="s">
        <v>46</v>
      </c>
      <c r="F163" s="62" t="s">
        <v>46</v>
      </c>
      <c r="G163" s="63" t="s">
        <v>46</v>
      </c>
      <c r="H163" s="64"/>
      <c r="I163" s="64" t="s">
        <v>47</v>
      </c>
      <c r="J163" s="65">
        <v>1</v>
      </c>
      <c r="K163" s="66">
        <f>2380</f>
        <v>2380</v>
      </c>
      <c r="L163" s="67" t="s">
        <v>853</v>
      </c>
      <c r="M163" s="66">
        <f>2426</f>
        <v>2426</v>
      </c>
      <c r="N163" s="67" t="s">
        <v>873</v>
      </c>
      <c r="O163" s="66">
        <f>2330</f>
        <v>2330</v>
      </c>
      <c r="P163" s="67" t="s">
        <v>268</v>
      </c>
      <c r="Q163" s="66">
        <f>2397</f>
        <v>2397</v>
      </c>
      <c r="R163" s="67" t="s">
        <v>873</v>
      </c>
      <c r="S163" s="68">
        <f>2378.81</f>
        <v>2378.81</v>
      </c>
      <c r="T163" s="65">
        <f>86202</f>
        <v>86202</v>
      </c>
      <c r="U163" s="65">
        <f>7</f>
        <v>7</v>
      </c>
      <c r="V163" s="65">
        <f>204706420</f>
        <v>204706420</v>
      </c>
      <c r="W163" s="65">
        <f>16663</f>
        <v>16663</v>
      </c>
      <c r="X163" s="69">
        <f>21</f>
        <v>21</v>
      </c>
    </row>
    <row r="164" spans="1:24">
      <c r="A164" s="60" t="s">
        <v>895</v>
      </c>
      <c r="B164" s="60" t="s">
        <v>531</v>
      </c>
      <c r="C164" s="60" t="s">
        <v>532</v>
      </c>
      <c r="D164" s="60" t="s">
        <v>533</v>
      </c>
      <c r="E164" s="61" t="s">
        <v>46</v>
      </c>
      <c r="F164" s="62" t="s">
        <v>46</v>
      </c>
      <c r="G164" s="63" t="s">
        <v>46</v>
      </c>
      <c r="H164" s="64"/>
      <c r="I164" s="64" t="s">
        <v>47</v>
      </c>
      <c r="J164" s="65">
        <v>1</v>
      </c>
      <c r="K164" s="66">
        <f>2200</f>
        <v>2200</v>
      </c>
      <c r="L164" s="67" t="s">
        <v>853</v>
      </c>
      <c r="M164" s="66">
        <f>2302</f>
        <v>2302</v>
      </c>
      <c r="N164" s="67" t="s">
        <v>873</v>
      </c>
      <c r="O164" s="66">
        <f>2179</f>
        <v>2179</v>
      </c>
      <c r="P164" s="67" t="s">
        <v>853</v>
      </c>
      <c r="Q164" s="66">
        <f>2296</f>
        <v>2296</v>
      </c>
      <c r="R164" s="67" t="s">
        <v>873</v>
      </c>
      <c r="S164" s="68">
        <f>2230.9</f>
        <v>2230.9</v>
      </c>
      <c r="T164" s="65">
        <f>238498</f>
        <v>238498</v>
      </c>
      <c r="U164" s="65">
        <f>9</f>
        <v>9</v>
      </c>
      <c r="V164" s="65">
        <f>531565134</f>
        <v>531565134</v>
      </c>
      <c r="W164" s="65">
        <f>20137</f>
        <v>20137</v>
      </c>
      <c r="X164" s="69">
        <f>21</f>
        <v>21</v>
      </c>
    </row>
    <row r="165" spans="1:24">
      <c r="A165" s="60" t="s">
        <v>895</v>
      </c>
      <c r="B165" s="60" t="s">
        <v>534</v>
      </c>
      <c r="C165" s="60" t="s">
        <v>535</v>
      </c>
      <c r="D165" s="60" t="s">
        <v>536</v>
      </c>
      <c r="E165" s="61" t="s">
        <v>46</v>
      </c>
      <c r="F165" s="62" t="s">
        <v>46</v>
      </c>
      <c r="G165" s="63" t="s">
        <v>46</v>
      </c>
      <c r="H165" s="64"/>
      <c r="I165" s="64" t="s">
        <v>47</v>
      </c>
      <c r="J165" s="65">
        <v>1</v>
      </c>
      <c r="K165" s="66">
        <f>11610</f>
        <v>11610</v>
      </c>
      <c r="L165" s="67" t="s">
        <v>853</v>
      </c>
      <c r="M165" s="66">
        <f>11890</f>
        <v>11890</v>
      </c>
      <c r="N165" s="67" t="s">
        <v>172</v>
      </c>
      <c r="O165" s="66">
        <f>11420</f>
        <v>11420</v>
      </c>
      <c r="P165" s="67" t="s">
        <v>853</v>
      </c>
      <c r="Q165" s="66">
        <f>11740</f>
        <v>11740</v>
      </c>
      <c r="R165" s="67" t="s">
        <v>873</v>
      </c>
      <c r="S165" s="68">
        <f>11660</f>
        <v>11660</v>
      </c>
      <c r="T165" s="65">
        <f>23236</f>
        <v>23236</v>
      </c>
      <c r="U165" s="65">
        <f>4</f>
        <v>4</v>
      </c>
      <c r="V165" s="65">
        <f>271556630</f>
        <v>271556630</v>
      </c>
      <c r="W165" s="65">
        <f>46990</f>
        <v>46990</v>
      </c>
      <c r="X165" s="69">
        <f>21</f>
        <v>21</v>
      </c>
    </row>
    <row r="166" spans="1:24">
      <c r="A166" s="60" t="s">
        <v>895</v>
      </c>
      <c r="B166" s="60" t="s">
        <v>537</v>
      </c>
      <c r="C166" s="60" t="s">
        <v>538</v>
      </c>
      <c r="D166" s="60" t="s">
        <v>539</v>
      </c>
      <c r="E166" s="61" t="s">
        <v>896</v>
      </c>
      <c r="F166" s="62" t="s">
        <v>897</v>
      </c>
      <c r="G166" s="63" t="s">
        <v>898</v>
      </c>
      <c r="H166" s="64" t="s">
        <v>878</v>
      </c>
      <c r="I166" s="64"/>
      <c r="J166" s="65">
        <v>100</v>
      </c>
      <c r="K166" s="66">
        <f>140</f>
        <v>140</v>
      </c>
      <c r="L166" s="67" t="s">
        <v>853</v>
      </c>
      <c r="M166" s="66">
        <f>143</f>
        <v>143</v>
      </c>
      <c r="N166" s="67" t="s">
        <v>859</v>
      </c>
      <c r="O166" s="66">
        <f>139</f>
        <v>139</v>
      </c>
      <c r="P166" s="67" t="s">
        <v>853</v>
      </c>
      <c r="Q166" s="66">
        <f>143</f>
        <v>143</v>
      </c>
      <c r="R166" s="67" t="s">
        <v>854</v>
      </c>
      <c r="S166" s="68">
        <f>141.17</f>
        <v>141.16999999999999</v>
      </c>
      <c r="T166" s="65">
        <f>417000</f>
        <v>417000</v>
      </c>
      <c r="U166" s="65" t="str">
        <f>"－"</f>
        <v>－</v>
      </c>
      <c r="V166" s="65">
        <f>59134000</f>
        <v>59134000</v>
      </c>
      <c r="W166" s="65" t="str">
        <f>"－"</f>
        <v>－</v>
      </c>
      <c r="X166" s="69">
        <f>12</f>
        <v>12</v>
      </c>
    </row>
    <row r="167" spans="1:24">
      <c r="A167" s="60" t="s">
        <v>895</v>
      </c>
      <c r="B167" s="60" t="s">
        <v>541</v>
      </c>
      <c r="C167" s="60" t="s">
        <v>542</v>
      </c>
      <c r="D167" s="60" t="s">
        <v>543</v>
      </c>
      <c r="E167" s="61" t="s">
        <v>46</v>
      </c>
      <c r="F167" s="62" t="s">
        <v>46</v>
      </c>
      <c r="G167" s="63" t="s">
        <v>46</v>
      </c>
      <c r="H167" s="64"/>
      <c r="I167" s="64" t="s">
        <v>47</v>
      </c>
      <c r="J167" s="65">
        <v>1</v>
      </c>
      <c r="K167" s="66">
        <f>1267</f>
        <v>1267</v>
      </c>
      <c r="L167" s="67" t="s">
        <v>853</v>
      </c>
      <c r="M167" s="66">
        <f>1352</f>
        <v>1352</v>
      </c>
      <c r="N167" s="67" t="s">
        <v>873</v>
      </c>
      <c r="O167" s="66">
        <f>1241</f>
        <v>1241</v>
      </c>
      <c r="P167" s="67" t="s">
        <v>77</v>
      </c>
      <c r="Q167" s="66">
        <f>1343</f>
        <v>1343</v>
      </c>
      <c r="R167" s="67" t="s">
        <v>873</v>
      </c>
      <c r="S167" s="68">
        <f>1284.48</f>
        <v>1284.48</v>
      </c>
      <c r="T167" s="65">
        <f>25494387</f>
        <v>25494387</v>
      </c>
      <c r="U167" s="65">
        <f>43256</f>
        <v>43256</v>
      </c>
      <c r="V167" s="65">
        <f>32855039653</f>
        <v>32855039653</v>
      </c>
      <c r="W167" s="65">
        <f>54188281</f>
        <v>54188281</v>
      </c>
      <c r="X167" s="69">
        <f>21</f>
        <v>21</v>
      </c>
    </row>
    <row r="168" spans="1:24">
      <c r="A168" s="60" t="s">
        <v>895</v>
      </c>
      <c r="B168" s="60" t="s">
        <v>544</v>
      </c>
      <c r="C168" s="60" t="s">
        <v>545</v>
      </c>
      <c r="D168" s="60" t="s">
        <v>546</v>
      </c>
      <c r="E168" s="61" t="s">
        <v>46</v>
      </c>
      <c r="F168" s="62" t="s">
        <v>46</v>
      </c>
      <c r="G168" s="63" t="s">
        <v>46</v>
      </c>
      <c r="H168" s="64"/>
      <c r="I168" s="64" t="s">
        <v>47</v>
      </c>
      <c r="J168" s="65">
        <v>1</v>
      </c>
      <c r="K168" s="66">
        <f>17880</f>
        <v>17880</v>
      </c>
      <c r="L168" s="67" t="s">
        <v>853</v>
      </c>
      <c r="M168" s="66">
        <f>18360</f>
        <v>18360</v>
      </c>
      <c r="N168" s="67" t="s">
        <v>613</v>
      </c>
      <c r="O168" s="66">
        <f>17700</f>
        <v>17700</v>
      </c>
      <c r="P168" s="67" t="s">
        <v>853</v>
      </c>
      <c r="Q168" s="66">
        <f>18100</f>
        <v>18100</v>
      </c>
      <c r="R168" s="67" t="s">
        <v>873</v>
      </c>
      <c r="S168" s="68">
        <f>18120</f>
        <v>18120</v>
      </c>
      <c r="T168" s="65">
        <f>5182</f>
        <v>5182</v>
      </c>
      <c r="U168" s="65" t="str">
        <f t="shared" ref="U168:U173" si="6">"－"</f>
        <v>－</v>
      </c>
      <c r="V168" s="65">
        <f>93896520</f>
        <v>93896520</v>
      </c>
      <c r="W168" s="65" t="str">
        <f t="shared" ref="W168:W173" si="7">"－"</f>
        <v>－</v>
      </c>
      <c r="X168" s="69">
        <f>21</f>
        <v>21</v>
      </c>
    </row>
    <row r="169" spans="1:24">
      <c r="A169" s="60" t="s">
        <v>895</v>
      </c>
      <c r="B169" s="60" t="s">
        <v>547</v>
      </c>
      <c r="C169" s="60" t="s">
        <v>548</v>
      </c>
      <c r="D169" s="60" t="s">
        <v>549</v>
      </c>
      <c r="E169" s="61" t="s">
        <v>46</v>
      </c>
      <c r="F169" s="62" t="s">
        <v>46</v>
      </c>
      <c r="G169" s="63" t="s">
        <v>46</v>
      </c>
      <c r="H169" s="64"/>
      <c r="I169" s="64" t="s">
        <v>47</v>
      </c>
      <c r="J169" s="65">
        <v>10</v>
      </c>
      <c r="K169" s="66">
        <f>2510</f>
        <v>2510</v>
      </c>
      <c r="L169" s="67" t="s">
        <v>853</v>
      </c>
      <c r="M169" s="66">
        <f>2673</f>
        <v>2673</v>
      </c>
      <c r="N169" s="67" t="s">
        <v>77</v>
      </c>
      <c r="O169" s="66">
        <f>2510</f>
        <v>2510</v>
      </c>
      <c r="P169" s="67" t="s">
        <v>853</v>
      </c>
      <c r="Q169" s="66">
        <f>2624</f>
        <v>2624</v>
      </c>
      <c r="R169" s="67" t="s">
        <v>873</v>
      </c>
      <c r="S169" s="68">
        <f>2598.05</f>
        <v>2598.0500000000002</v>
      </c>
      <c r="T169" s="65">
        <f>33640</f>
        <v>33640</v>
      </c>
      <c r="U169" s="65" t="str">
        <f t="shared" si="6"/>
        <v>－</v>
      </c>
      <c r="V169" s="65">
        <f>87362130</f>
        <v>87362130</v>
      </c>
      <c r="W169" s="65" t="str">
        <f t="shared" si="7"/>
        <v>－</v>
      </c>
      <c r="X169" s="69">
        <f>21</f>
        <v>21</v>
      </c>
    </row>
    <row r="170" spans="1:24">
      <c r="A170" s="60" t="s">
        <v>895</v>
      </c>
      <c r="B170" s="60" t="s">
        <v>550</v>
      </c>
      <c r="C170" s="60" t="s">
        <v>551</v>
      </c>
      <c r="D170" s="60" t="s">
        <v>552</v>
      </c>
      <c r="E170" s="61" t="s">
        <v>46</v>
      </c>
      <c r="F170" s="62" t="s">
        <v>46</v>
      </c>
      <c r="G170" s="63" t="s">
        <v>46</v>
      </c>
      <c r="H170" s="64"/>
      <c r="I170" s="64" t="s">
        <v>47</v>
      </c>
      <c r="J170" s="65">
        <v>1</v>
      </c>
      <c r="K170" s="66">
        <f>12210</f>
        <v>12210</v>
      </c>
      <c r="L170" s="67" t="s">
        <v>853</v>
      </c>
      <c r="M170" s="66">
        <f>12750</f>
        <v>12750</v>
      </c>
      <c r="N170" s="67" t="s">
        <v>172</v>
      </c>
      <c r="O170" s="66">
        <f>11750</f>
        <v>11750</v>
      </c>
      <c r="P170" s="67" t="s">
        <v>49</v>
      </c>
      <c r="Q170" s="66">
        <f>12200</f>
        <v>12200</v>
      </c>
      <c r="R170" s="67" t="s">
        <v>873</v>
      </c>
      <c r="S170" s="68">
        <f>12261.43</f>
        <v>12261.43</v>
      </c>
      <c r="T170" s="65">
        <f>8650</f>
        <v>8650</v>
      </c>
      <c r="U170" s="65" t="str">
        <f t="shared" si="6"/>
        <v>－</v>
      </c>
      <c r="V170" s="65">
        <f>106645470</f>
        <v>106645470</v>
      </c>
      <c r="W170" s="65" t="str">
        <f t="shared" si="7"/>
        <v>－</v>
      </c>
      <c r="X170" s="69">
        <f>21</f>
        <v>21</v>
      </c>
    </row>
    <row r="171" spans="1:24">
      <c r="A171" s="60" t="s">
        <v>895</v>
      </c>
      <c r="B171" s="60" t="s">
        <v>553</v>
      </c>
      <c r="C171" s="60" t="s">
        <v>554</v>
      </c>
      <c r="D171" s="60" t="s">
        <v>555</v>
      </c>
      <c r="E171" s="61" t="s">
        <v>46</v>
      </c>
      <c r="F171" s="62" t="s">
        <v>46</v>
      </c>
      <c r="G171" s="63" t="s">
        <v>46</v>
      </c>
      <c r="H171" s="64"/>
      <c r="I171" s="64" t="s">
        <v>47</v>
      </c>
      <c r="J171" s="65">
        <v>1</v>
      </c>
      <c r="K171" s="66">
        <f>27240</f>
        <v>27240</v>
      </c>
      <c r="L171" s="67" t="s">
        <v>853</v>
      </c>
      <c r="M171" s="66">
        <f>29990</f>
        <v>29990</v>
      </c>
      <c r="N171" s="67" t="s">
        <v>873</v>
      </c>
      <c r="O171" s="66">
        <f>26460</f>
        <v>26460</v>
      </c>
      <c r="P171" s="67" t="s">
        <v>857</v>
      </c>
      <c r="Q171" s="66">
        <f>29990</f>
        <v>29990</v>
      </c>
      <c r="R171" s="67" t="s">
        <v>873</v>
      </c>
      <c r="S171" s="68">
        <f>28061.43</f>
        <v>28061.43</v>
      </c>
      <c r="T171" s="65">
        <f>3773</f>
        <v>3773</v>
      </c>
      <c r="U171" s="65" t="str">
        <f t="shared" si="6"/>
        <v>－</v>
      </c>
      <c r="V171" s="65">
        <f>106863790</f>
        <v>106863790</v>
      </c>
      <c r="W171" s="65" t="str">
        <f t="shared" si="7"/>
        <v>－</v>
      </c>
      <c r="X171" s="69">
        <f>21</f>
        <v>21</v>
      </c>
    </row>
    <row r="172" spans="1:24">
      <c r="A172" s="60" t="s">
        <v>895</v>
      </c>
      <c r="B172" s="60" t="s">
        <v>556</v>
      </c>
      <c r="C172" s="60" t="s">
        <v>557</v>
      </c>
      <c r="D172" s="60" t="s">
        <v>558</v>
      </c>
      <c r="E172" s="61" t="s">
        <v>46</v>
      </c>
      <c r="F172" s="62" t="s">
        <v>46</v>
      </c>
      <c r="G172" s="63" t="s">
        <v>46</v>
      </c>
      <c r="H172" s="64"/>
      <c r="I172" s="64" t="s">
        <v>47</v>
      </c>
      <c r="J172" s="65">
        <v>1</v>
      </c>
      <c r="K172" s="66">
        <f>16770</f>
        <v>16770</v>
      </c>
      <c r="L172" s="67" t="s">
        <v>853</v>
      </c>
      <c r="M172" s="66">
        <f>18460</f>
        <v>18460</v>
      </c>
      <c r="N172" s="67" t="s">
        <v>873</v>
      </c>
      <c r="O172" s="66">
        <f>16770</f>
        <v>16770</v>
      </c>
      <c r="P172" s="67" t="s">
        <v>853</v>
      </c>
      <c r="Q172" s="66">
        <f>18370</f>
        <v>18370</v>
      </c>
      <c r="R172" s="67" t="s">
        <v>873</v>
      </c>
      <c r="S172" s="68">
        <f>17650</f>
        <v>17650</v>
      </c>
      <c r="T172" s="65">
        <f>173</f>
        <v>173</v>
      </c>
      <c r="U172" s="65" t="str">
        <f t="shared" si="6"/>
        <v>－</v>
      </c>
      <c r="V172" s="65">
        <f>3100400</f>
        <v>3100400</v>
      </c>
      <c r="W172" s="65" t="str">
        <f t="shared" si="7"/>
        <v>－</v>
      </c>
      <c r="X172" s="69">
        <f>11</f>
        <v>11</v>
      </c>
    </row>
    <row r="173" spans="1:24">
      <c r="A173" s="60" t="s">
        <v>895</v>
      </c>
      <c r="B173" s="60" t="s">
        <v>559</v>
      </c>
      <c r="C173" s="60" t="s">
        <v>560</v>
      </c>
      <c r="D173" s="60" t="s">
        <v>561</v>
      </c>
      <c r="E173" s="61" t="s">
        <v>46</v>
      </c>
      <c r="F173" s="62" t="s">
        <v>46</v>
      </c>
      <c r="G173" s="63" t="s">
        <v>46</v>
      </c>
      <c r="H173" s="64"/>
      <c r="I173" s="64" t="s">
        <v>47</v>
      </c>
      <c r="J173" s="65">
        <v>10</v>
      </c>
      <c r="K173" s="66">
        <f>51600</f>
        <v>51600</v>
      </c>
      <c r="L173" s="67" t="s">
        <v>853</v>
      </c>
      <c r="M173" s="66">
        <f>51800</f>
        <v>51800</v>
      </c>
      <c r="N173" s="67" t="s">
        <v>857</v>
      </c>
      <c r="O173" s="66">
        <f>51100</f>
        <v>51100</v>
      </c>
      <c r="P173" s="67" t="s">
        <v>371</v>
      </c>
      <c r="Q173" s="66">
        <f>51500</f>
        <v>51500</v>
      </c>
      <c r="R173" s="67" t="s">
        <v>873</v>
      </c>
      <c r="S173" s="68">
        <f>51495.24</f>
        <v>51495.24</v>
      </c>
      <c r="T173" s="65">
        <f>3330</f>
        <v>3330</v>
      </c>
      <c r="U173" s="65" t="str">
        <f t="shared" si="6"/>
        <v>－</v>
      </c>
      <c r="V173" s="65">
        <f>171503000</f>
        <v>171503000</v>
      </c>
      <c r="W173" s="65" t="str">
        <f t="shared" si="7"/>
        <v>－</v>
      </c>
      <c r="X173" s="69">
        <f>21</f>
        <v>21</v>
      </c>
    </row>
    <row r="174" spans="1:24">
      <c r="A174" s="60" t="s">
        <v>895</v>
      </c>
      <c r="B174" s="60" t="s">
        <v>562</v>
      </c>
      <c r="C174" s="60" t="s">
        <v>563</v>
      </c>
      <c r="D174" s="60" t="s">
        <v>564</v>
      </c>
      <c r="E174" s="61" t="s">
        <v>46</v>
      </c>
      <c r="F174" s="62" t="s">
        <v>46</v>
      </c>
      <c r="G174" s="63" t="s">
        <v>46</v>
      </c>
      <c r="H174" s="64"/>
      <c r="I174" s="64" t="s">
        <v>47</v>
      </c>
      <c r="J174" s="65">
        <v>100</v>
      </c>
      <c r="K174" s="66">
        <f>200</f>
        <v>200</v>
      </c>
      <c r="L174" s="67" t="s">
        <v>853</v>
      </c>
      <c r="M174" s="66">
        <f>203</f>
        <v>203</v>
      </c>
      <c r="N174" s="67" t="s">
        <v>84</v>
      </c>
      <c r="O174" s="66">
        <f>180</f>
        <v>180</v>
      </c>
      <c r="P174" s="67" t="s">
        <v>268</v>
      </c>
      <c r="Q174" s="66">
        <f>193</f>
        <v>193</v>
      </c>
      <c r="R174" s="67" t="s">
        <v>873</v>
      </c>
      <c r="S174" s="68">
        <f>191.1</f>
        <v>191.1</v>
      </c>
      <c r="T174" s="65">
        <f>13358000</f>
        <v>13358000</v>
      </c>
      <c r="U174" s="65">
        <f>26300</f>
        <v>26300</v>
      </c>
      <c r="V174" s="65">
        <f>2559135500</f>
        <v>2559135500</v>
      </c>
      <c r="W174" s="65">
        <f>4954900</f>
        <v>4954900</v>
      </c>
      <c r="X174" s="69">
        <f>21</f>
        <v>21</v>
      </c>
    </row>
    <row r="175" spans="1:24">
      <c r="A175" s="60" t="s">
        <v>895</v>
      </c>
      <c r="B175" s="60" t="s">
        <v>565</v>
      </c>
      <c r="C175" s="60" t="s">
        <v>566</v>
      </c>
      <c r="D175" s="60" t="s">
        <v>567</v>
      </c>
      <c r="E175" s="61" t="s">
        <v>46</v>
      </c>
      <c r="F175" s="62" t="s">
        <v>46</v>
      </c>
      <c r="G175" s="63" t="s">
        <v>46</v>
      </c>
      <c r="H175" s="64"/>
      <c r="I175" s="64" t="s">
        <v>47</v>
      </c>
      <c r="J175" s="65">
        <v>10</v>
      </c>
      <c r="K175" s="66">
        <f>32300</f>
        <v>32300</v>
      </c>
      <c r="L175" s="67" t="s">
        <v>853</v>
      </c>
      <c r="M175" s="66">
        <f>32650</f>
        <v>32650</v>
      </c>
      <c r="N175" s="67" t="s">
        <v>92</v>
      </c>
      <c r="O175" s="66">
        <f>32050</f>
        <v>32050</v>
      </c>
      <c r="P175" s="67" t="s">
        <v>268</v>
      </c>
      <c r="Q175" s="66">
        <f>32500</f>
        <v>32500</v>
      </c>
      <c r="R175" s="67" t="s">
        <v>873</v>
      </c>
      <c r="S175" s="68">
        <f>32402.38</f>
        <v>32402.38</v>
      </c>
      <c r="T175" s="65">
        <f>6430</f>
        <v>6430</v>
      </c>
      <c r="U175" s="65">
        <f>20</f>
        <v>20</v>
      </c>
      <c r="V175" s="65">
        <f>208135000</f>
        <v>208135000</v>
      </c>
      <c r="W175" s="65">
        <f>650500</f>
        <v>650500</v>
      </c>
      <c r="X175" s="69">
        <f>21</f>
        <v>21</v>
      </c>
    </row>
    <row r="176" spans="1:24">
      <c r="A176" s="60" t="s">
        <v>895</v>
      </c>
      <c r="B176" s="60" t="s">
        <v>568</v>
      </c>
      <c r="C176" s="60" t="s">
        <v>569</v>
      </c>
      <c r="D176" s="60" t="s">
        <v>570</v>
      </c>
      <c r="E176" s="61" t="s">
        <v>46</v>
      </c>
      <c r="F176" s="62" t="s">
        <v>46</v>
      </c>
      <c r="G176" s="63" t="s">
        <v>46</v>
      </c>
      <c r="H176" s="64"/>
      <c r="I176" s="64" t="s">
        <v>47</v>
      </c>
      <c r="J176" s="65">
        <v>10</v>
      </c>
      <c r="K176" s="66">
        <f>3250</f>
        <v>3250</v>
      </c>
      <c r="L176" s="67" t="s">
        <v>853</v>
      </c>
      <c r="M176" s="66">
        <f>3375</f>
        <v>3375</v>
      </c>
      <c r="N176" s="67" t="s">
        <v>873</v>
      </c>
      <c r="O176" s="66">
        <f>3245</f>
        <v>3245</v>
      </c>
      <c r="P176" s="67" t="s">
        <v>853</v>
      </c>
      <c r="Q176" s="66">
        <f>3365</f>
        <v>3365</v>
      </c>
      <c r="R176" s="67" t="s">
        <v>873</v>
      </c>
      <c r="S176" s="68">
        <f>3311.67</f>
        <v>3311.67</v>
      </c>
      <c r="T176" s="65">
        <f>69300</f>
        <v>69300</v>
      </c>
      <c r="U176" s="65">
        <f>60</f>
        <v>60</v>
      </c>
      <c r="V176" s="65">
        <f>229561300</f>
        <v>229561300</v>
      </c>
      <c r="W176" s="65">
        <f>199150</f>
        <v>199150</v>
      </c>
      <c r="X176" s="69">
        <f>21</f>
        <v>21</v>
      </c>
    </row>
    <row r="177" spans="1:24">
      <c r="A177" s="60" t="s">
        <v>895</v>
      </c>
      <c r="B177" s="60" t="s">
        <v>571</v>
      </c>
      <c r="C177" s="60" t="s">
        <v>572</v>
      </c>
      <c r="D177" s="60" t="s">
        <v>573</v>
      </c>
      <c r="E177" s="61" t="s">
        <v>46</v>
      </c>
      <c r="F177" s="62" t="s">
        <v>46</v>
      </c>
      <c r="G177" s="63" t="s">
        <v>46</v>
      </c>
      <c r="H177" s="64"/>
      <c r="I177" s="64" t="s">
        <v>47</v>
      </c>
      <c r="J177" s="65">
        <v>10</v>
      </c>
      <c r="K177" s="66">
        <f>1828</f>
        <v>1828</v>
      </c>
      <c r="L177" s="67" t="s">
        <v>853</v>
      </c>
      <c r="M177" s="66">
        <f>1867</f>
        <v>1867</v>
      </c>
      <c r="N177" s="67" t="s">
        <v>857</v>
      </c>
      <c r="O177" s="66">
        <f>1792</f>
        <v>1792</v>
      </c>
      <c r="P177" s="67" t="s">
        <v>268</v>
      </c>
      <c r="Q177" s="66">
        <f>1841</f>
        <v>1841</v>
      </c>
      <c r="R177" s="67" t="s">
        <v>873</v>
      </c>
      <c r="S177" s="68">
        <f>1832.29</f>
        <v>1832.29</v>
      </c>
      <c r="T177" s="65">
        <f>240300</f>
        <v>240300</v>
      </c>
      <c r="U177" s="65">
        <f>50</f>
        <v>50</v>
      </c>
      <c r="V177" s="65">
        <f>439203760</f>
        <v>439203760</v>
      </c>
      <c r="W177" s="65">
        <f>92050</f>
        <v>92050</v>
      </c>
      <c r="X177" s="69">
        <f>21</f>
        <v>21</v>
      </c>
    </row>
    <row r="178" spans="1:24">
      <c r="A178" s="60" t="s">
        <v>895</v>
      </c>
      <c r="B178" s="60" t="s">
        <v>574</v>
      </c>
      <c r="C178" s="60" t="s">
        <v>575</v>
      </c>
      <c r="D178" s="60" t="s">
        <v>576</v>
      </c>
      <c r="E178" s="61" t="s">
        <v>46</v>
      </c>
      <c r="F178" s="62" t="s">
        <v>46</v>
      </c>
      <c r="G178" s="63" t="s">
        <v>46</v>
      </c>
      <c r="H178" s="64"/>
      <c r="I178" s="64" t="s">
        <v>47</v>
      </c>
      <c r="J178" s="65">
        <v>100</v>
      </c>
      <c r="K178" s="66">
        <f>222</f>
        <v>222</v>
      </c>
      <c r="L178" s="67" t="s">
        <v>853</v>
      </c>
      <c r="M178" s="66">
        <f>234</f>
        <v>234</v>
      </c>
      <c r="N178" s="67" t="s">
        <v>73</v>
      </c>
      <c r="O178" s="66">
        <f>218</f>
        <v>218</v>
      </c>
      <c r="P178" s="67" t="s">
        <v>49</v>
      </c>
      <c r="Q178" s="66">
        <f>225</f>
        <v>225</v>
      </c>
      <c r="R178" s="67" t="s">
        <v>873</v>
      </c>
      <c r="S178" s="68">
        <f>225.71</f>
        <v>225.71</v>
      </c>
      <c r="T178" s="65">
        <f>522600</f>
        <v>522600</v>
      </c>
      <c r="U178" s="65" t="str">
        <f>"－"</f>
        <v>－</v>
      </c>
      <c r="V178" s="65">
        <f>118662600</f>
        <v>118662600</v>
      </c>
      <c r="W178" s="65" t="str">
        <f>"－"</f>
        <v>－</v>
      </c>
      <c r="X178" s="69">
        <f>21</f>
        <v>21</v>
      </c>
    </row>
    <row r="179" spans="1:24">
      <c r="A179" s="60" t="s">
        <v>895</v>
      </c>
      <c r="B179" s="60" t="s">
        <v>577</v>
      </c>
      <c r="C179" s="60" t="s">
        <v>578</v>
      </c>
      <c r="D179" s="60" t="s">
        <v>579</v>
      </c>
      <c r="E179" s="61" t="s">
        <v>46</v>
      </c>
      <c r="F179" s="62" t="s">
        <v>46</v>
      </c>
      <c r="G179" s="63" t="s">
        <v>46</v>
      </c>
      <c r="H179" s="64"/>
      <c r="I179" s="64" t="s">
        <v>47</v>
      </c>
      <c r="J179" s="65">
        <v>10</v>
      </c>
      <c r="K179" s="66">
        <f>1101</f>
        <v>1101</v>
      </c>
      <c r="L179" s="67" t="s">
        <v>857</v>
      </c>
      <c r="M179" s="66">
        <f>1101</f>
        <v>1101</v>
      </c>
      <c r="N179" s="67" t="s">
        <v>857</v>
      </c>
      <c r="O179" s="66">
        <f>940</f>
        <v>940</v>
      </c>
      <c r="P179" s="67" t="s">
        <v>857</v>
      </c>
      <c r="Q179" s="66">
        <f>1001</f>
        <v>1001</v>
      </c>
      <c r="R179" s="67" t="s">
        <v>873</v>
      </c>
      <c r="S179" s="68">
        <f>970.82</f>
        <v>970.82</v>
      </c>
      <c r="T179" s="65">
        <f>2040</f>
        <v>2040</v>
      </c>
      <c r="U179" s="65">
        <f>20</f>
        <v>20</v>
      </c>
      <c r="V179" s="65">
        <f>1985130</f>
        <v>1985130</v>
      </c>
      <c r="W179" s="65">
        <f>19220</f>
        <v>19220</v>
      </c>
      <c r="X179" s="69">
        <f>11</f>
        <v>11</v>
      </c>
    </row>
    <row r="180" spans="1:24">
      <c r="A180" s="60" t="s">
        <v>895</v>
      </c>
      <c r="B180" s="60" t="s">
        <v>580</v>
      </c>
      <c r="C180" s="60" t="s">
        <v>581</v>
      </c>
      <c r="D180" s="60" t="s">
        <v>582</v>
      </c>
      <c r="E180" s="61" t="s">
        <v>46</v>
      </c>
      <c r="F180" s="62" t="s">
        <v>46</v>
      </c>
      <c r="G180" s="63" t="s">
        <v>46</v>
      </c>
      <c r="H180" s="64"/>
      <c r="I180" s="64" t="s">
        <v>47</v>
      </c>
      <c r="J180" s="65">
        <v>10</v>
      </c>
      <c r="K180" s="66">
        <f>284</f>
        <v>284</v>
      </c>
      <c r="L180" s="67" t="s">
        <v>853</v>
      </c>
      <c r="M180" s="66">
        <f>297</f>
        <v>297</v>
      </c>
      <c r="N180" s="67" t="s">
        <v>873</v>
      </c>
      <c r="O180" s="66">
        <f>267</f>
        <v>267</v>
      </c>
      <c r="P180" s="67" t="s">
        <v>857</v>
      </c>
      <c r="Q180" s="66">
        <f>297</f>
        <v>297</v>
      </c>
      <c r="R180" s="67" t="s">
        <v>873</v>
      </c>
      <c r="S180" s="68">
        <f>282.67</f>
        <v>282.67</v>
      </c>
      <c r="T180" s="65">
        <f>25180</f>
        <v>25180</v>
      </c>
      <c r="U180" s="65" t="str">
        <f t="shared" ref="U180:U190" si="8">"－"</f>
        <v>－</v>
      </c>
      <c r="V180" s="65">
        <f>7152080</f>
        <v>7152080</v>
      </c>
      <c r="W180" s="65" t="str">
        <f t="shared" ref="W180:W190" si="9">"－"</f>
        <v>－</v>
      </c>
      <c r="X180" s="69">
        <f>21</f>
        <v>21</v>
      </c>
    </row>
    <row r="181" spans="1:24">
      <c r="A181" s="60" t="s">
        <v>895</v>
      </c>
      <c r="B181" s="60" t="s">
        <v>583</v>
      </c>
      <c r="C181" s="60" t="s">
        <v>584</v>
      </c>
      <c r="D181" s="60" t="s">
        <v>585</v>
      </c>
      <c r="E181" s="61" t="s">
        <v>46</v>
      </c>
      <c r="F181" s="62" t="s">
        <v>46</v>
      </c>
      <c r="G181" s="63" t="s">
        <v>46</v>
      </c>
      <c r="H181" s="64"/>
      <c r="I181" s="64" t="s">
        <v>47</v>
      </c>
      <c r="J181" s="65">
        <v>10</v>
      </c>
      <c r="K181" s="66">
        <f>1553</f>
        <v>1553</v>
      </c>
      <c r="L181" s="67" t="s">
        <v>853</v>
      </c>
      <c r="M181" s="66">
        <f>1655</f>
        <v>1655</v>
      </c>
      <c r="N181" s="67" t="s">
        <v>873</v>
      </c>
      <c r="O181" s="66">
        <f>1529</f>
        <v>1529</v>
      </c>
      <c r="P181" s="67" t="s">
        <v>131</v>
      </c>
      <c r="Q181" s="66">
        <f>1654</f>
        <v>1654</v>
      </c>
      <c r="R181" s="67" t="s">
        <v>873</v>
      </c>
      <c r="S181" s="68">
        <f>1584</f>
        <v>1584</v>
      </c>
      <c r="T181" s="65">
        <f>13550</f>
        <v>13550</v>
      </c>
      <c r="U181" s="65" t="str">
        <f t="shared" si="8"/>
        <v>－</v>
      </c>
      <c r="V181" s="65">
        <f>21394670</f>
        <v>21394670</v>
      </c>
      <c r="W181" s="65" t="str">
        <f t="shared" si="9"/>
        <v>－</v>
      </c>
      <c r="X181" s="69">
        <f>20</f>
        <v>20</v>
      </c>
    </row>
    <row r="182" spans="1:24">
      <c r="A182" s="60" t="s">
        <v>895</v>
      </c>
      <c r="B182" s="60" t="s">
        <v>586</v>
      </c>
      <c r="C182" s="60" t="s">
        <v>587</v>
      </c>
      <c r="D182" s="60" t="s">
        <v>588</v>
      </c>
      <c r="E182" s="61" t="s">
        <v>46</v>
      </c>
      <c r="F182" s="62" t="s">
        <v>46</v>
      </c>
      <c r="G182" s="63" t="s">
        <v>46</v>
      </c>
      <c r="H182" s="64"/>
      <c r="I182" s="64" t="s">
        <v>47</v>
      </c>
      <c r="J182" s="65">
        <v>10</v>
      </c>
      <c r="K182" s="66">
        <f>553</f>
        <v>553</v>
      </c>
      <c r="L182" s="67" t="s">
        <v>853</v>
      </c>
      <c r="M182" s="66">
        <f>636</f>
        <v>636</v>
      </c>
      <c r="N182" s="67" t="s">
        <v>88</v>
      </c>
      <c r="O182" s="66">
        <f>547</f>
        <v>547</v>
      </c>
      <c r="P182" s="67" t="s">
        <v>859</v>
      </c>
      <c r="Q182" s="66">
        <f>613</f>
        <v>613</v>
      </c>
      <c r="R182" s="67" t="s">
        <v>873</v>
      </c>
      <c r="S182" s="68">
        <f>575.05</f>
        <v>575.04999999999995</v>
      </c>
      <c r="T182" s="65">
        <f>110070</f>
        <v>110070</v>
      </c>
      <c r="U182" s="65" t="str">
        <f t="shared" si="8"/>
        <v>－</v>
      </c>
      <c r="V182" s="65">
        <f>64971550</f>
        <v>64971550</v>
      </c>
      <c r="W182" s="65" t="str">
        <f t="shared" si="9"/>
        <v>－</v>
      </c>
      <c r="X182" s="69">
        <f>21</f>
        <v>21</v>
      </c>
    </row>
    <row r="183" spans="1:24">
      <c r="A183" s="60" t="s">
        <v>895</v>
      </c>
      <c r="B183" s="60" t="s">
        <v>589</v>
      </c>
      <c r="C183" s="60" t="s">
        <v>590</v>
      </c>
      <c r="D183" s="60" t="s">
        <v>591</v>
      </c>
      <c r="E183" s="61" t="s">
        <v>46</v>
      </c>
      <c r="F183" s="62" t="s">
        <v>46</v>
      </c>
      <c r="G183" s="63" t="s">
        <v>46</v>
      </c>
      <c r="H183" s="64"/>
      <c r="I183" s="64" t="s">
        <v>47</v>
      </c>
      <c r="J183" s="65">
        <v>10</v>
      </c>
      <c r="K183" s="66">
        <f>423</f>
        <v>423</v>
      </c>
      <c r="L183" s="67" t="s">
        <v>853</v>
      </c>
      <c r="M183" s="66">
        <f>481</f>
        <v>481</v>
      </c>
      <c r="N183" s="67" t="s">
        <v>73</v>
      </c>
      <c r="O183" s="66">
        <f>412</f>
        <v>412</v>
      </c>
      <c r="P183" s="67" t="s">
        <v>172</v>
      </c>
      <c r="Q183" s="66">
        <f>470</f>
        <v>470</v>
      </c>
      <c r="R183" s="67" t="s">
        <v>873</v>
      </c>
      <c r="S183" s="68">
        <f>433.52</f>
        <v>433.52</v>
      </c>
      <c r="T183" s="65">
        <f>404480</f>
        <v>404480</v>
      </c>
      <c r="U183" s="65" t="str">
        <f t="shared" si="8"/>
        <v>－</v>
      </c>
      <c r="V183" s="65">
        <f>179488990</f>
        <v>179488990</v>
      </c>
      <c r="W183" s="65" t="str">
        <f t="shared" si="9"/>
        <v>－</v>
      </c>
      <c r="X183" s="69">
        <f>21</f>
        <v>21</v>
      </c>
    </row>
    <row r="184" spans="1:24">
      <c r="A184" s="60" t="s">
        <v>895</v>
      </c>
      <c r="B184" s="60" t="s">
        <v>592</v>
      </c>
      <c r="C184" s="60" t="s">
        <v>593</v>
      </c>
      <c r="D184" s="60" t="s">
        <v>594</v>
      </c>
      <c r="E184" s="61" t="s">
        <v>46</v>
      </c>
      <c r="F184" s="62" t="s">
        <v>46</v>
      </c>
      <c r="G184" s="63" t="s">
        <v>46</v>
      </c>
      <c r="H184" s="64"/>
      <c r="I184" s="64" t="s">
        <v>47</v>
      </c>
      <c r="J184" s="65">
        <v>100</v>
      </c>
      <c r="K184" s="66">
        <f>1</f>
        <v>1</v>
      </c>
      <c r="L184" s="67" t="s">
        <v>853</v>
      </c>
      <c r="M184" s="66">
        <f>2</f>
        <v>2</v>
      </c>
      <c r="N184" s="67" t="s">
        <v>853</v>
      </c>
      <c r="O184" s="66">
        <f>1</f>
        <v>1</v>
      </c>
      <c r="P184" s="67" t="s">
        <v>853</v>
      </c>
      <c r="Q184" s="66">
        <f>1</f>
        <v>1</v>
      </c>
      <c r="R184" s="67" t="s">
        <v>873</v>
      </c>
      <c r="S184" s="68">
        <f>1.62</f>
        <v>1.62</v>
      </c>
      <c r="T184" s="65">
        <f>143716000</f>
        <v>143716000</v>
      </c>
      <c r="U184" s="65" t="str">
        <f t="shared" si="8"/>
        <v>－</v>
      </c>
      <c r="V184" s="65">
        <f>215464700</f>
        <v>215464700</v>
      </c>
      <c r="W184" s="65" t="str">
        <f t="shared" si="9"/>
        <v>－</v>
      </c>
      <c r="X184" s="69">
        <f>21</f>
        <v>21</v>
      </c>
    </row>
    <row r="185" spans="1:24">
      <c r="A185" s="60" t="s">
        <v>895</v>
      </c>
      <c r="B185" s="60" t="s">
        <v>595</v>
      </c>
      <c r="C185" s="60" t="s">
        <v>596</v>
      </c>
      <c r="D185" s="60" t="s">
        <v>597</v>
      </c>
      <c r="E185" s="61" t="s">
        <v>46</v>
      </c>
      <c r="F185" s="62" t="s">
        <v>46</v>
      </c>
      <c r="G185" s="63" t="s">
        <v>46</v>
      </c>
      <c r="H185" s="64"/>
      <c r="I185" s="64" t="s">
        <v>47</v>
      </c>
      <c r="J185" s="65">
        <v>10</v>
      </c>
      <c r="K185" s="66">
        <f>596</f>
        <v>596</v>
      </c>
      <c r="L185" s="67" t="s">
        <v>853</v>
      </c>
      <c r="M185" s="66">
        <f>634</f>
        <v>634</v>
      </c>
      <c r="N185" s="67" t="s">
        <v>873</v>
      </c>
      <c r="O185" s="66">
        <f>582</f>
        <v>582</v>
      </c>
      <c r="P185" s="67" t="s">
        <v>131</v>
      </c>
      <c r="Q185" s="66">
        <f>628</f>
        <v>628</v>
      </c>
      <c r="R185" s="67" t="s">
        <v>873</v>
      </c>
      <c r="S185" s="68">
        <f>602.24</f>
        <v>602.24</v>
      </c>
      <c r="T185" s="65">
        <f>650100</f>
        <v>650100</v>
      </c>
      <c r="U185" s="65" t="str">
        <f t="shared" si="8"/>
        <v>－</v>
      </c>
      <c r="V185" s="65">
        <f>397831680</f>
        <v>397831680</v>
      </c>
      <c r="W185" s="65" t="str">
        <f t="shared" si="9"/>
        <v>－</v>
      </c>
      <c r="X185" s="69">
        <f>21</f>
        <v>21</v>
      </c>
    </row>
    <row r="186" spans="1:24">
      <c r="A186" s="60" t="s">
        <v>895</v>
      </c>
      <c r="B186" s="60" t="s">
        <v>598</v>
      </c>
      <c r="C186" s="60" t="s">
        <v>599</v>
      </c>
      <c r="D186" s="60" t="s">
        <v>600</v>
      </c>
      <c r="E186" s="61" t="s">
        <v>46</v>
      </c>
      <c r="F186" s="62" t="s">
        <v>46</v>
      </c>
      <c r="G186" s="63" t="s">
        <v>46</v>
      </c>
      <c r="H186" s="64"/>
      <c r="I186" s="64" t="s">
        <v>47</v>
      </c>
      <c r="J186" s="65">
        <v>1</v>
      </c>
      <c r="K186" s="66">
        <f>2739</f>
        <v>2739</v>
      </c>
      <c r="L186" s="67" t="s">
        <v>853</v>
      </c>
      <c r="M186" s="66">
        <f>2835</f>
        <v>2835</v>
      </c>
      <c r="N186" s="67" t="s">
        <v>873</v>
      </c>
      <c r="O186" s="66">
        <f>2627</f>
        <v>2627</v>
      </c>
      <c r="P186" s="67" t="s">
        <v>96</v>
      </c>
      <c r="Q186" s="66">
        <f>2807</f>
        <v>2807</v>
      </c>
      <c r="R186" s="67" t="s">
        <v>873</v>
      </c>
      <c r="S186" s="68">
        <f>2712.44</f>
        <v>2712.44</v>
      </c>
      <c r="T186" s="65">
        <f>1190</f>
        <v>1190</v>
      </c>
      <c r="U186" s="65" t="str">
        <f t="shared" si="8"/>
        <v>－</v>
      </c>
      <c r="V186" s="65">
        <f>3229636</f>
        <v>3229636</v>
      </c>
      <c r="W186" s="65" t="str">
        <f t="shared" si="9"/>
        <v>－</v>
      </c>
      <c r="X186" s="69">
        <f>18</f>
        <v>18</v>
      </c>
    </row>
    <row r="187" spans="1:24">
      <c r="A187" s="60" t="s">
        <v>895</v>
      </c>
      <c r="B187" s="60" t="s">
        <v>601</v>
      </c>
      <c r="C187" s="60" t="s">
        <v>602</v>
      </c>
      <c r="D187" s="60" t="s">
        <v>603</v>
      </c>
      <c r="E187" s="61" t="s">
        <v>46</v>
      </c>
      <c r="F187" s="62" t="s">
        <v>46</v>
      </c>
      <c r="G187" s="63" t="s">
        <v>46</v>
      </c>
      <c r="H187" s="64"/>
      <c r="I187" s="64" t="s">
        <v>47</v>
      </c>
      <c r="J187" s="65">
        <v>100</v>
      </c>
      <c r="K187" s="66">
        <f>348</f>
        <v>348</v>
      </c>
      <c r="L187" s="67" t="s">
        <v>853</v>
      </c>
      <c r="M187" s="66">
        <f>375</f>
        <v>375</v>
      </c>
      <c r="N187" s="67" t="s">
        <v>73</v>
      </c>
      <c r="O187" s="66">
        <f>341</f>
        <v>341</v>
      </c>
      <c r="P187" s="67" t="s">
        <v>857</v>
      </c>
      <c r="Q187" s="66">
        <f>372</f>
        <v>372</v>
      </c>
      <c r="R187" s="67" t="s">
        <v>873</v>
      </c>
      <c r="S187" s="68">
        <f>355.74</f>
        <v>355.74</v>
      </c>
      <c r="T187" s="65">
        <f>25500</f>
        <v>25500</v>
      </c>
      <c r="U187" s="65" t="str">
        <f t="shared" si="8"/>
        <v>－</v>
      </c>
      <c r="V187" s="65">
        <f>9279500</f>
        <v>9279500</v>
      </c>
      <c r="W187" s="65" t="str">
        <f t="shared" si="9"/>
        <v>－</v>
      </c>
      <c r="X187" s="69">
        <f>19</f>
        <v>19</v>
      </c>
    </row>
    <row r="188" spans="1:24">
      <c r="A188" s="60" t="s">
        <v>895</v>
      </c>
      <c r="B188" s="60" t="s">
        <v>604</v>
      </c>
      <c r="C188" s="60" t="s">
        <v>605</v>
      </c>
      <c r="D188" s="60" t="s">
        <v>606</v>
      </c>
      <c r="E188" s="61" t="s">
        <v>46</v>
      </c>
      <c r="F188" s="62" t="s">
        <v>46</v>
      </c>
      <c r="G188" s="63" t="s">
        <v>46</v>
      </c>
      <c r="H188" s="64"/>
      <c r="I188" s="64" t="s">
        <v>47</v>
      </c>
      <c r="J188" s="65">
        <v>10</v>
      </c>
      <c r="K188" s="66">
        <f>3980</f>
        <v>3980</v>
      </c>
      <c r="L188" s="67" t="s">
        <v>853</v>
      </c>
      <c r="M188" s="66">
        <f>4400</f>
        <v>4400</v>
      </c>
      <c r="N188" s="67" t="s">
        <v>88</v>
      </c>
      <c r="O188" s="66">
        <f>3900</f>
        <v>3900</v>
      </c>
      <c r="P188" s="67" t="s">
        <v>131</v>
      </c>
      <c r="Q188" s="66">
        <f>4305</f>
        <v>4305</v>
      </c>
      <c r="R188" s="67" t="s">
        <v>873</v>
      </c>
      <c r="S188" s="68">
        <f>4066.9</f>
        <v>4066.9</v>
      </c>
      <c r="T188" s="65">
        <f>44080</f>
        <v>44080</v>
      </c>
      <c r="U188" s="65" t="str">
        <f t="shared" si="8"/>
        <v>－</v>
      </c>
      <c r="V188" s="65">
        <f>182900400</f>
        <v>182900400</v>
      </c>
      <c r="W188" s="65" t="str">
        <f t="shared" si="9"/>
        <v>－</v>
      </c>
      <c r="X188" s="69">
        <f>21</f>
        <v>21</v>
      </c>
    </row>
    <row r="189" spans="1:24">
      <c r="A189" s="60" t="s">
        <v>895</v>
      </c>
      <c r="B189" s="60" t="s">
        <v>607</v>
      </c>
      <c r="C189" s="60" t="s">
        <v>608</v>
      </c>
      <c r="D189" s="60" t="s">
        <v>609</v>
      </c>
      <c r="E189" s="61" t="s">
        <v>46</v>
      </c>
      <c r="F189" s="62" t="s">
        <v>46</v>
      </c>
      <c r="G189" s="63" t="s">
        <v>46</v>
      </c>
      <c r="H189" s="64"/>
      <c r="I189" s="64" t="s">
        <v>47</v>
      </c>
      <c r="J189" s="65">
        <v>10</v>
      </c>
      <c r="K189" s="66">
        <f>1672</f>
        <v>1672</v>
      </c>
      <c r="L189" s="67" t="s">
        <v>853</v>
      </c>
      <c r="M189" s="66">
        <f>1864</f>
        <v>1864</v>
      </c>
      <c r="N189" s="67" t="s">
        <v>172</v>
      </c>
      <c r="O189" s="66">
        <f>1600</f>
        <v>1600</v>
      </c>
      <c r="P189" s="67" t="s">
        <v>874</v>
      </c>
      <c r="Q189" s="66">
        <f>1757</f>
        <v>1757</v>
      </c>
      <c r="R189" s="67" t="s">
        <v>873</v>
      </c>
      <c r="S189" s="68">
        <f>1689.19</f>
        <v>1689.19</v>
      </c>
      <c r="T189" s="65">
        <f>46200</f>
        <v>46200</v>
      </c>
      <c r="U189" s="65" t="str">
        <f t="shared" si="8"/>
        <v>－</v>
      </c>
      <c r="V189" s="65">
        <f>78067460</f>
        <v>78067460</v>
      </c>
      <c r="W189" s="65" t="str">
        <f t="shared" si="9"/>
        <v>－</v>
      </c>
      <c r="X189" s="69">
        <f>21</f>
        <v>21</v>
      </c>
    </row>
    <row r="190" spans="1:24">
      <c r="A190" s="60" t="s">
        <v>895</v>
      </c>
      <c r="B190" s="60" t="s">
        <v>610</v>
      </c>
      <c r="C190" s="60" t="s">
        <v>611</v>
      </c>
      <c r="D190" s="60" t="s">
        <v>612</v>
      </c>
      <c r="E190" s="61" t="s">
        <v>46</v>
      </c>
      <c r="F190" s="62" t="s">
        <v>46</v>
      </c>
      <c r="G190" s="63" t="s">
        <v>46</v>
      </c>
      <c r="H190" s="64"/>
      <c r="I190" s="64" t="s">
        <v>47</v>
      </c>
      <c r="J190" s="65">
        <v>100</v>
      </c>
      <c r="K190" s="66">
        <f>76</f>
        <v>76</v>
      </c>
      <c r="L190" s="67" t="s">
        <v>853</v>
      </c>
      <c r="M190" s="66">
        <f>90</f>
        <v>90</v>
      </c>
      <c r="N190" s="67" t="s">
        <v>73</v>
      </c>
      <c r="O190" s="66">
        <f>75</f>
        <v>75</v>
      </c>
      <c r="P190" s="67" t="s">
        <v>857</v>
      </c>
      <c r="Q190" s="66">
        <f>87</f>
        <v>87</v>
      </c>
      <c r="R190" s="67" t="s">
        <v>873</v>
      </c>
      <c r="S190" s="68">
        <f>79.71</f>
        <v>79.709999999999994</v>
      </c>
      <c r="T190" s="65">
        <f>8444700</f>
        <v>8444700</v>
      </c>
      <c r="U190" s="65" t="str">
        <f t="shared" si="8"/>
        <v>－</v>
      </c>
      <c r="V190" s="65">
        <f>697006500</f>
        <v>697006500</v>
      </c>
      <c r="W190" s="65" t="str">
        <f t="shared" si="9"/>
        <v>－</v>
      </c>
      <c r="X190" s="69">
        <f>21</f>
        <v>21</v>
      </c>
    </row>
    <row r="191" spans="1:24">
      <c r="A191" s="60" t="s">
        <v>895</v>
      </c>
      <c r="B191" s="60" t="s">
        <v>614</v>
      </c>
      <c r="C191" s="60" t="s">
        <v>615</v>
      </c>
      <c r="D191" s="60" t="s">
        <v>616</v>
      </c>
      <c r="E191" s="61" t="s">
        <v>46</v>
      </c>
      <c r="F191" s="62" t="s">
        <v>46</v>
      </c>
      <c r="G191" s="63" t="s">
        <v>46</v>
      </c>
      <c r="H191" s="64"/>
      <c r="I191" s="64" t="s">
        <v>47</v>
      </c>
      <c r="J191" s="65">
        <v>100</v>
      </c>
      <c r="K191" s="66">
        <f>110</f>
        <v>110</v>
      </c>
      <c r="L191" s="67" t="s">
        <v>853</v>
      </c>
      <c r="M191" s="66">
        <f>128</f>
        <v>128</v>
      </c>
      <c r="N191" s="67" t="s">
        <v>73</v>
      </c>
      <c r="O191" s="66">
        <f>105</f>
        <v>105</v>
      </c>
      <c r="P191" s="67" t="s">
        <v>77</v>
      </c>
      <c r="Q191" s="66">
        <f>125</f>
        <v>125</v>
      </c>
      <c r="R191" s="67" t="s">
        <v>873</v>
      </c>
      <c r="S191" s="68">
        <f>113.33</f>
        <v>113.33</v>
      </c>
      <c r="T191" s="65">
        <f>5450800</f>
        <v>5450800</v>
      </c>
      <c r="U191" s="65">
        <f>4200</f>
        <v>4200</v>
      </c>
      <c r="V191" s="65">
        <f>632238600</f>
        <v>632238600</v>
      </c>
      <c r="W191" s="65">
        <f>456600</f>
        <v>456600</v>
      </c>
      <c r="X191" s="69">
        <f>21</f>
        <v>21</v>
      </c>
    </row>
    <row r="192" spans="1:24">
      <c r="A192" s="60" t="s">
        <v>895</v>
      </c>
      <c r="B192" s="60" t="s">
        <v>617</v>
      </c>
      <c r="C192" s="60" t="s">
        <v>618</v>
      </c>
      <c r="D192" s="60" t="s">
        <v>619</v>
      </c>
      <c r="E192" s="61" t="s">
        <v>46</v>
      </c>
      <c r="F192" s="62" t="s">
        <v>46</v>
      </c>
      <c r="G192" s="63" t="s">
        <v>46</v>
      </c>
      <c r="H192" s="64"/>
      <c r="I192" s="64" t="s">
        <v>47</v>
      </c>
      <c r="J192" s="65">
        <v>10</v>
      </c>
      <c r="K192" s="66">
        <f>2673</f>
        <v>2673</v>
      </c>
      <c r="L192" s="67" t="s">
        <v>853</v>
      </c>
      <c r="M192" s="66">
        <f>2922</f>
        <v>2922</v>
      </c>
      <c r="N192" s="67" t="s">
        <v>73</v>
      </c>
      <c r="O192" s="66">
        <f>2620</f>
        <v>2620</v>
      </c>
      <c r="P192" s="67" t="s">
        <v>92</v>
      </c>
      <c r="Q192" s="66">
        <f>2828</f>
        <v>2828</v>
      </c>
      <c r="R192" s="67" t="s">
        <v>873</v>
      </c>
      <c r="S192" s="68">
        <f>2739.24</f>
        <v>2739.24</v>
      </c>
      <c r="T192" s="65">
        <f>34870</f>
        <v>34870</v>
      </c>
      <c r="U192" s="65" t="str">
        <f>"－"</f>
        <v>－</v>
      </c>
      <c r="V192" s="65">
        <f>96843400</f>
        <v>96843400</v>
      </c>
      <c r="W192" s="65" t="str">
        <f>"－"</f>
        <v>－</v>
      </c>
      <c r="X192" s="69">
        <f>21</f>
        <v>21</v>
      </c>
    </row>
    <row r="193" spans="1:24">
      <c r="A193" s="60" t="s">
        <v>895</v>
      </c>
      <c r="B193" s="60" t="s">
        <v>620</v>
      </c>
      <c r="C193" s="60" t="s">
        <v>621</v>
      </c>
      <c r="D193" s="60" t="s">
        <v>622</v>
      </c>
      <c r="E193" s="61" t="s">
        <v>46</v>
      </c>
      <c r="F193" s="62" t="s">
        <v>46</v>
      </c>
      <c r="G193" s="63" t="s">
        <v>46</v>
      </c>
      <c r="H193" s="64"/>
      <c r="I193" s="64" t="s">
        <v>47</v>
      </c>
      <c r="J193" s="65">
        <v>10</v>
      </c>
      <c r="K193" s="66">
        <f>1815</f>
        <v>1815</v>
      </c>
      <c r="L193" s="67" t="s">
        <v>853</v>
      </c>
      <c r="M193" s="66">
        <f>1815</f>
        <v>1815</v>
      </c>
      <c r="N193" s="67" t="s">
        <v>853</v>
      </c>
      <c r="O193" s="66">
        <f>1715</f>
        <v>1715</v>
      </c>
      <c r="P193" s="67" t="s">
        <v>268</v>
      </c>
      <c r="Q193" s="66">
        <f>1751</f>
        <v>1751</v>
      </c>
      <c r="R193" s="67" t="s">
        <v>873</v>
      </c>
      <c r="S193" s="68">
        <f>1766.81</f>
        <v>1766.81</v>
      </c>
      <c r="T193" s="65">
        <f>34640</f>
        <v>34640</v>
      </c>
      <c r="U193" s="65">
        <f>60</f>
        <v>60</v>
      </c>
      <c r="V193" s="65">
        <f>61424790</f>
        <v>61424790</v>
      </c>
      <c r="W193" s="65">
        <f>106330</f>
        <v>106330</v>
      </c>
      <c r="X193" s="69">
        <f>21</f>
        <v>21</v>
      </c>
    </row>
    <row r="194" spans="1:24">
      <c r="A194" s="60" t="s">
        <v>895</v>
      </c>
      <c r="B194" s="60" t="s">
        <v>623</v>
      </c>
      <c r="C194" s="60" t="s">
        <v>624</v>
      </c>
      <c r="D194" s="60" t="s">
        <v>625</v>
      </c>
      <c r="E194" s="61" t="s">
        <v>46</v>
      </c>
      <c r="F194" s="62" t="s">
        <v>46</v>
      </c>
      <c r="G194" s="63" t="s">
        <v>46</v>
      </c>
      <c r="H194" s="64"/>
      <c r="I194" s="64" t="s">
        <v>47</v>
      </c>
      <c r="J194" s="65">
        <v>10</v>
      </c>
      <c r="K194" s="66">
        <f>156</f>
        <v>156</v>
      </c>
      <c r="L194" s="67" t="s">
        <v>853</v>
      </c>
      <c r="M194" s="66">
        <f>168</f>
        <v>168</v>
      </c>
      <c r="N194" s="67" t="s">
        <v>873</v>
      </c>
      <c r="O194" s="66">
        <f>153</f>
        <v>153</v>
      </c>
      <c r="P194" s="67" t="s">
        <v>77</v>
      </c>
      <c r="Q194" s="66">
        <f>166</f>
        <v>166</v>
      </c>
      <c r="R194" s="67" t="s">
        <v>873</v>
      </c>
      <c r="S194" s="68">
        <f>158.71</f>
        <v>158.71</v>
      </c>
      <c r="T194" s="65">
        <f>112175000</f>
        <v>112175000</v>
      </c>
      <c r="U194" s="65">
        <f>198860</f>
        <v>198860</v>
      </c>
      <c r="V194" s="65">
        <f>17972016990</f>
        <v>17972016990</v>
      </c>
      <c r="W194" s="65">
        <f>31267230</f>
        <v>31267230</v>
      </c>
      <c r="X194" s="69">
        <f>21</f>
        <v>21</v>
      </c>
    </row>
    <row r="195" spans="1:24">
      <c r="A195" s="60" t="s">
        <v>895</v>
      </c>
      <c r="B195" s="60" t="s">
        <v>626</v>
      </c>
      <c r="C195" s="60" t="s">
        <v>627</v>
      </c>
      <c r="D195" s="60" t="s">
        <v>628</v>
      </c>
      <c r="E195" s="61" t="s">
        <v>46</v>
      </c>
      <c r="F195" s="62" t="s">
        <v>46</v>
      </c>
      <c r="G195" s="63" t="s">
        <v>46</v>
      </c>
      <c r="H195" s="64"/>
      <c r="I195" s="64" t="s">
        <v>629</v>
      </c>
      <c r="J195" s="65">
        <v>1</v>
      </c>
      <c r="K195" s="66">
        <f>12220</f>
        <v>12220</v>
      </c>
      <c r="L195" s="67" t="s">
        <v>853</v>
      </c>
      <c r="M195" s="66">
        <f>12440</f>
        <v>12440</v>
      </c>
      <c r="N195" s="67" t="s">
        <v>77</v>
      </c>
      <c r="O195" s="66">
        <f>11460</f>
        <v>11460</v>
      </c>
      <c r="P195" s="67" t="s">
        <v>96</v>
      </c>
      <c r="Q195" s="66">
        <f>11870</f>
        <v>11870</v>
      </c>
      <c r="R195" s="67" t="s">
        <v>873</v>
      </c>
      <c r="S195" s="68">
        <f>11939.05</f>
        <v>11939.05</v>
      </c>
      <c r="T195" s="65">
        <f>6998</f>
        <v>6998</v>
      </c>
      <c r="U195" s="65" t="str">
        <f>"－"</f>
        <v>－</v>
      </c>
      <c r="V195" s="65">
        <f>83502790</f>
        <v>83502790</v>
      </c>
      <c r="W195" s="65" t="str">
        <f>"－"</f>
        <v>－</v>
      </c>
      <c r="X195" s="69">
        <f>21</f>
        <v>21</v>
      </c>
    </row>
    <row r="196" spans="1:24">
      <c r="A196" s="60" t="s">
        <v>895</v>
      </c>
      <c r="B196" s="60" t="s">
        <v>630</v>
      </c>
      <c r="C196" s="60" t="s">
        <v>631</v>
      </c>
      <c r="D196" s="60" t="s">
        <v>632</v>
      </c>
      <c r="E196" s="61" t="s">
        <v>46</v>
      </c>
      <c r="F196" s="62" t="s">
        <v>46</v>
      </c>
      <c r="G196" s="63" t="s">
        <v>46</v>
      </c>
      <c r="H196" s="64"/>
      <c r="I196" s="64" t="s">
        <v>629</v>
      </c>
      <c r="J196" s="65">
        <v>1</v>
      </c>
      <c r="K196" s="66">
        <f>5370</f>
        <v>5370</v>
      </c>
      <c r="L196" s="67" t="s">
        <v>853</v>
      </c>
      <c r="M196" s="66">
        <f>5400</f>
        <v>5400</v>
      </c>
      <c r="N196" s="67" t="s">
        <v>853</v>
      </c>
      <c r="O196" s="66">
        <f>5170</f>
        <v>5170</v>
      </c>
      <c r="P196" s="67" t="s">
        <v>371</v>
      </c>
      <c r="Q196" s="66">
        <f>5210</f>
        <v>5210</v>
      </c>
      <c r="R196" s="67" t="s">
        <v>873</v>
      </c>
      <c r="S196" s="68">
        <f>5248.1</f>
        <v>5248.1</v>
      </c>
      <c r="T196" s="65">
        <f>1345</f>
        <v>1345</v>
      </c>
      <c r="U196" s="65" t="str">
        <f>"－"</f>
        <v>－</v>
      </c>
      <c r="V196" s="65">
        <f>7098990</f>
        <v>7098990</v>
      </c>
      <c r="W196" s="65" t="str">
        <f>"－"</f>
        <v>－</v>
      </c>
      <c r="X196" s="69">
        <f>21</f>
        <v>21</v>
      </c>
    </row>
    <row r="197" spans="1:24">
      <c r="A197" s="60" t="s">
        <v>895</v>
      </c>
      <c r="B197" s="60" t="s">
        <v>633</v>
      </c>
      <c r="C197" s="60" t="s">
        <v>634</v>
      </c>
      <c r="D197" s="60" t="s">
        <v>635</v>
      </c>
      <c r="E197" s="61" t="s">
        <v>46</v>
      </c>
      <c r="F197" s="62" t="s">
        <v>46</v>
      </c>
      <c r="G197" s="63" t="s">
        <v>46</v>
      </c>
      <c r="H197" s="64"/>
      <c r="I197" s="64" t="s">
        <v>629</v>
      </c>
      <c r="J197" s="65">
        <v>1</v>
      </c>
      <c r="K197" s="66">
        <f>18590</f>
        <v>18590</v>
      </c>
      <c r="L197" s="67" t="s">
        <v>853</v>
      </c>
      <c r="M197" s="66">
        <f>20300</f>
        <v>20300</v>
      </c>
      <c r="N197" s="67" t="s">
        <v>613</v>
      </c>
      <c r="O197" s="66">
        <f>18590</f>
        <v>18590</v>
      </c>
      <c r="P197" s="67" t="s">
        <v>853</v>
      </c>
      <c r="Q197" s="66">
        <f>19550</f>
        <v>19550</v>
      </c>
      <c r="R197" s="67" t="s">
        <v>873</v>
      </c>
      <c r="S197" s="68">
        <f>19716.84</f>
        <v>19716.84</v>
      </c>
      <c r="T197" s="65">
        <f>888</f>
        <v>888</v>
      </c>
      <c r="U197" s="65" t="str">
        <f>"－"</f>
        <v>－</v>
      </c>
      <c r="V197" s="65">
        <f>17428590</f>
        <v>17428590</v>
      </c>
      <c r="W197" s="65" t="str">
        <f>"－"</f>
        <v>－</v>
      </c>
      <c r="X197" s="69">
        <f>19</f>
        <v>19</v>
      </c>
    </row>
    <row r="198" spans="1:24">
      <c r="A198" s="60" t="s">
        <v>895</v>
      </c>
      <c r="B198" s="60" t="s">
        <v>636</v>
      </c>
      <c r="C198" s="60" t="s">
        <v>637</v>
      </c>
      <c r="D198" s="60" t="s">
        <v>638</v>
      </c>
      <c r="E198" s="61" t="s">
        <v>46</v>
      </c>
      <c r="F198" s="62" t="s">
        <v>46</v>
      </c>
      <c r="G198" s="63" t="s">
        <v>46</v>
      </c>
      <c r="H198" s="64"/>
      <c r="I198" s="64" t="s">
        <v>629</v>
      </c>
      <c r="J198" s="65">
        <v>1</v>
      </c>
      <c r="K198" s="66">
        <f>6050</f>
        <v>6050</v>
      </c>
      <c r="L198" s="67" t="s">
        <v>853</v>
      </c>
      <c r="M198" s="66">
        <f>6070</f>
        <v>6070</v>
      </c>
      <c r="N198" s="67" t="s">
        <v>853</v>
      </c>
      <c r="O198" s="66">
        <f>5830</f>
        <v>5830</v>
      </c>
      <c r="P198" s="67" t="s">
        <v>371</v>
      </c>
      <c r="Q198" s="66">
        <f>6010</f>
        <v>6010</v>
      </c>
      <c r="R198" s="67" t="s">
        <v>873</v>
      </c>
      <c r="S198" s="68">
        <f>5935.24</f>
        <v>5935.24</v>
      </c>
      <c r="T198" s="65">
        <f>5502</f>
        <v>5502</v>
      </c>
      <c r="U198" s="65" t="str">
        <f>"－"</f>
        <v>－</v>
      </c>
      <c r="V198" s="65">
        <f>32656250</f>
        <v>32656250</v>
      </c>
      <c r="W198" s="65" t="str">
        <f>"－"</f>
        <v>－</v>
      </c>
      <c r="X198" s="69">
        <f>21</f>
        <v>21</v>
      </c>
    </row>
    <row r="199" spans="1:24">
      <c r="A199" s="60" t="s">
        <v>895</v>
      </c>
      <c r="B199" s="60" t="s">
        <v>639</v>
      </c>
      <c r="C199" s="60" t="s">
        <v>640</v>
      </c>
      <c r="D199" s="60" t="s">
        <v>641</v>
      </c>
      <c r="E199" s="61" t="s">
        <v>46</v>
      </c>
      <c r="F199" s="62" t="s">
        <v>46</v>
      </c>
      <c r="G199" s="63" t="s">
        <v>46</v>
      </c>
      <c r="H199" s="64"/>
      <c r="I199" s="64" t="s">
        <v>629</v>
      </c>
      <c r="J199" s="65">
        <v>1</v>
      </c>
      <c r="K199" s="66">
        <f>285</f>
        <v>285</v>
      </c>
      <c r="L199" s="67" t="s">
        <v>853</v>
      </c>
      <c r="M199" s="66">
        <f>297</f>
        <v>297</v>
      </c>
      <c r="N199" s="67" t="s">
        <v>853</v>
      </c>
      <c r="O199" s="66">
        <f>239</f>
        <v>239</v>
      </c>
      <c r="P199" s="67" t="s">
        <v>854</v>
      </c>
      <c r="Q199" s="66">
        <f>249</f>
        <v>249</v>
      </c>
      <c r="R199" s="67" t="s">
        <v>873</v>
      </c>
      <c r="S199" s="68">
        <f>262.14</f>
        <v>262.14</v>
      </c>
      <c r="T199" s="65">
        <f>17976238</f>
        <v>17976238</v>
      </c>
      <c r="U199" s="65">
        <f>10006</f>
        <v>10006</v>
      </c>
      <c r="V199" s="65">
        <f>4768758237</f>
        <v>4768758237</v>
      </c>
      <c r="W199" s="65">
        <f>2651540</f>
        <v>2651540</v>
      </c>
      <c r="X199" s="69">
        <f>21</f>
        <v>21</v>
      </c>
    </row>
    <row r="200" spans="1:24">
      <c r="A200" s="60" t="s">
        <v>895</v>
      </c>
      <c r="B200" s="60" t="s">
        <v>642</v>
      </c>
      <c r="C200" s="60" t="s">
        <v>643</v>
      </c>
      <c r="D200" s="60" t="s">
        <v>644</v>
      </c>
      <c r="E200" s="61" t="s">
        <v>46</v>
      </c>
      <c r="F200" s="62" t="s">
        <v>46</v>
      </c>
      <c r="G200" s="63" t="s">
        <v>46</v>
      </c>
      <c r="H200" s="64"/>
      <c r="I200" s="64" t="s">
        <v>629</v>
      </c>
      <c r="J200" s="65">
        <v>1</v>
      </c>
      <c r="K200" s="66">
        <f>16290</f>
        <v>16290</v>
      </c>
      <c r="L200" s="67" t="s">
        <v>853</v>
      </c>
      <c r="M200" s="66">
        <f>17150</f>
        <v>17150</v>
      </c>
      <c r="N200" s="67" t="s">
        <v>613</v>
      </c>
      <c r="O200" s="66">
        <f>16240</f>
        <v>16240</v>
      </c>
      <c r="P200" s="67" t="s">
        <v>853</v>
      </c>
      <c r="Q200" s="66">
        <f>16790</f>
        <v>16790</v>
      </c>
      <c r="R200" s="67" t="s">
        <v>873</v>
      </c>
      <c r="S200" s="68">
        <f>16703.81</f>
        <v>16703.810000000001</v>
      </c>
      <c r="T200" s="65">
        <f>39078</f>
        <v>39078</v>
      </c>
      <c r="U200" s="65">
        <f>14</f>
        <v>14</v>
      </c>
      <c r="V200" s="65">
        <f>655476300</f>
        <v>655476300</v>
      </c>
      <c r="W200" s="65">
        <f>235210</f>
        <v>235210</v>
      </c>
      <c r="X200" s="69">
        <f>21</f>
        <v>21</v>
      </c>
    </row>
    <row r="201" spans="1:24">
      <c r="A201" s="60" t="s">
        <v>895</v>
      </c>
      <c r="B201" s="60" t="s">
        <v>645</v>
      </c>
      <c r="C201" s="60" t="s">
        <v>646</v>
      </c>
      <c r="D201" s="60" t="s">
        <v>647</v>
      </c>
      <c r="E201" s="61" t="s">
        <v>46</v>
      </c>
      <c r="F201" s="62" t="s">
        <v>46</v>
      </c>
      <c r="G201" s="63" t="s">
        <v>46</v>
      </c>
      <c r="H201" s="64"/>
      <c r="I201" s="64" t="s">
        <v>629</v>
      </c>
      <c r="J201" s="65">
        <v>1</v>
      </c>
      <c r="K201" s="66">
        <f>5790</f>
        <v>5790</v>
      </c>
      <c r="L201" s="67" t="s">
        <v>853</v>
      </c>
      <c r="M201" s="66">
        <f>5850</f>
        <v>5850</v>
      </c>
      <c r="N201" s="67" t="s">
        <v>853</v>
      </c>
      <c r="O201" s="66">
        <f>5630</f>
        <v>5630</v>
      </c>
      <c r="P201" s="67" t="s">
        <v>132</v>
      </c>
      <c r="Q201" s="66">
        <f>5700</f>
        <v>5700</v>
      </c>
      <c r="R201" s="67" t="s">
        <v>873</v>
      </c>
      <c r="S201" s="68">
        <f>5730</f>
        <v>5730</v>
      </c>
      <c r="T201" s="65">
        <f>6079</f>
        <v>6079</v>
      </c>
      <c r="U201" s="65" t="str">
        <f>"－"</f>
        <v>－</v>
      </c>
      <c r="V201" s="65">
        <f>34796960</f>
        <v>34796960</v>
      </c>
      <c r="W201" s="65" t="str">
        <f>"－"</f>
        <v>－</v>
      </c>
      <c r="X201" s="69">
        <f>21</f>
        <v>21</v>
      </c>
    </row>
    <row r="202" spans="1:24">
      <c r="A202" s="60" t="s">
        <v>895</v>
      </c>
      <c r="B202" s="60" t="s">
        <v>648</v>
      </c>
      <c r="C202" s="60" t="s">
        <v>649</v>
      </c>
      <c r="D202" s="60" t="s">
        <v>650</v>
      </c>
      <c r="E202" s="61" t="s">
        <v>46</v>
      </c>
      <c r="F202" s="62" t="s">
        <v>46</v>
      </c>
      <c r="G202" s="63" t="s">
        <v>46</v>
      </c>
      <c r="H202" s="64"/>
      <c r="I202" s="64" t="s">
        <v>629</v>
      </c>
      <c r="J202" s="65">
        <v>1</v>
      </c>
      <c r="K202" s="66">
        <f>472</f>
        <v>472</v>
      </c>
      <c r="L202" s="67" t="s">
        <v>853</v>
      </c>
      <c r="M202" s="66">
        <f>502</f>
        <v>502</v>
      </c>
      <c r="N202" s="67" t="s">
        <v>873</v>
      </c>
      <c r="O202" s="66">
        <f>438</f>
        <v>438</v>
      </c>
      <c r="P202" s="67" t="s">
        <v>131</v>
      </c>
      <c r="Q202" s="66">
        <f>495</f>
        <v>495</v>
      </c>
      <c r="R202" s="67" t="s">
        <v>873</v>
      </c>
      <c r="S202" s="68">
        <f>464.19</f>
        <v>464.19</v>
      </c>
      <c r="T202" s="65">
        <f>139502902</f>
        <v>139502902</v>
      </c>
      <c r="U202" s="65">
        <f>26873</f>
        <v>26873</v>
      </c>
      <c r="V202" s="65">
        <f>65285496565</f>
        <v>65285496565</v>
      </c>
      <c r="W202" s="65">
        <f>12372415</f>
        <v>12372415</v>
      </c>
      <c r="X202" s="69">
        <f>21</f>
        <v>21</v>
      </c>
    </row>
    <row r="203" spans="1:24">
      <c r="A203" s="60" t="s">
        <v>895</v>
      </c>
      <c r="B203" s="60" t="s">
        <v>651</v>
      </c>
      <c r="C203" s="60" t="s">
        <v>652</v>
      </c>
      <c r="D203" s="60" t="s">
        <v>653</v>
      </c>
      <c r="E203" s="61" t="s">
        <v>46</v>
      </c>
      <c r="F203" s="62" t="s">
        <v>46</v>
      </c>
      <c r="G203" s="63" t="s">
        <v>46</v>
      </c>
      <c r="H203" s="64"/>
      <c r="I203" s="64" t="s">
        <v>629</v>
      </c>
      <c r="J203" s="65">
        <v>1</v>
      </c>
      <c r="K203" s="66">
        <f>3905</f>
        <v>3905</v>
      </c>
      <c r="L203" s="67" t="s">
        <v>853</v>
      </c>
      <c r="M203" s="66">
        <f>4005</f>
        <v>4005</v>
      </c>
      <c r="N203" s="67" t="s">
        <v>131</v>
      </c>
      <c r="O203" s="66">
        <f>3695</f>
        <v>3695</v>
      </c>
      <c r="P203" s="67" t="s">
        <v>873</v>
      </c>
      <c r="Q203" s="66">
        <f>3745</f>
        <v>3745</v>
      </c>
      <c r="R203" s="67" t="s">
        <v>873</v>
      </c>
      <c r="S203" s="68">
        <f>3878.33</f>
        <v>3878.33</v>
      </c>
      <c r="T203" s="65">
        <f>328052</f>
        <v>328052</v>
      </c>
      <c r="U203" s="65">
        <f>8</f>
        <v>8</v>
      </c>
      <c r="V203" s="65">
        <f>1269283690</f>
        <v>1269283690</v>
      </c>
      <c r="W203" s="65">
        <f>30885</f>
        <v>30885</v>
      </c>
      <c r="X203" s="69">
        <f>21</f>
        <v>21</v>
      </c>
    </row>
    <row r="204" spans="1:24">
      <c r="A204" s="60" t="s">
        <v>895</v>
      </c>
      <c r="B204" s="60" t="s">
        <v>654</v>
      </c>
      <c r="C204" s="60" t="s">
        <v>655</v>
      </c>
      <c r="D204" s="60" t="s">
        <v>656</v>
      </c>
      <c r="E204" s="61" t="s">
        <v>46</v>
      </c>
      <c r="F204" s="62" t="s">
        <v>46</v>
      </c>
      <c r="G204" s="63" t="s">
        <v>46</v>
      </c>
      <c r="H204" s="64"/>
      <c r="I204" s="64" t="s">
        <v>629</v>
      </c>
      <c r="J204" s="65">
        <v>1</v>
      </c>
      <c r="K204" s="66">
        <f>28340</f>
        <v>28340</v>
      </c>
      <c r="L204" s="67" t="s">
        <v>853</v>
      </c>
      <c r="M204" s="66">
        <f>30350</f>
        <v>30350</v>
      </c>
      <c r="N204" s="67" t="s">
        <v>371</v>
      </c>
      <c r="O204" s="66">
        <f>28260</f>
        <v>28260</v>
      </c>
      <c r="P204" s="67" t="s">
        <v>853</v>
      </c>
      <c r="Q204" s="66">
        <f>29850</f>
        <v>29850</v>
      </c>
      <c r="R204" s="67" t="s">
        <v>873</v>
      </c>
      <c r="S204" s="68">
        <f>29513.81</f>
        <v>29513.81</v>
      </c>
      <c r="T204" s="65">
        <f>114742</f>
        <v>114742</v>
      </c>
      <c r="U204" s="65">
        <f>12</f>
        <v>12</v>
      </c>
      <c r="V204" s="65">
        <f>3397235940</f>
        <v>3397235940</v>
      </c>
      <c r="W204" s="65">
        <f>352220</f>
        <v>352220</v>
      </c>
      <c r="X204" s="69">
        <f>21</f>
        <v>21</v>
      </c>
    </row>
    <row r="205" spans="1:24">
      <c r="A205" s="60" t="s">
        <v>895</v>
      </c>
      <c r="B205" s="60" t="s">
        <v>657</v>
      </c>
      <c r="C205" s="60" t="s">
        <v>658</v>
      </c>
      <c r="D205" s="60" t="s">
        <v>659</v>
      </c>
      <c r="E205" s="61" t="s">
        <v>46</v>
      </c>
      <c r="F205" s="62" t="s">
        <v>46</v>
      </c>
      <c r="G205" s="63" t="s">
        <v>46</v>
      </c>
      <c r="H205" s="64"/>
      <c r="I205" s="64" t="s">
        <v>629</v>
      </c>
      <c r="J205" s="65">
        <v>1</v>
      </c>
      <c r="K205" s="66">
        <f>3140</f>
        <v>3140</v>
      </c>
      <c r="L205" s="67" t="s">
        <v>853</v>
      </c>
      <c r="M205" s="66">
        <f>3150</f>
        <v>3150</v>
      </c>
      <c r="N205" s="67" t="s">
        <v>853</v>
      </c>
      <c r="O205" s="66">
        <f>3020</f>
        <v>3020</v>
      </c>
      <c r="P205" s="67" t="s">
        <v>88</v>
      </c>
      <c r="Q205" s="66">
        <f>3045</f>
        <v>3045</v>
      </c>
      <c r="R205" s="67" t="s">
        <v>873</v>
      </c>
      <c r="S205" s="68">
        <f>3079.76</f>
        <v>3079.76</v>
      </c>
      <c r="T205" s="65">
        <f>243493</f>
        <v>243493</v>
      </c>
      <c r="U205" s="65">
        <f>7</f>
        <v>7</v>
      </c>
      <c r="V205" s="65">
        <f>749138260</f>
        <v>749138260</v>
      </c>
      <c r="W205" s="65">
        <f>21460</f>
        <v>21460</v>
      </c>
      <c r="X205" s="69">
        <f>21</f>
        <v>21</v>
      </c>
    </row>
    <row r="206" spans="1:24">
      <c r="A206" s="60" t="s">
        <v>895</v>
      </c>
      <c r="B206" s="60" t="s">
        <v>660</v>
      </c>
      <c r="C206" s="60" t="s">
        <v>661</v>
      </c>
      <c r="D206" s="60" t="s">
        <v>662</v>
      </c>
      <c r="E206" s="61" t="s">
        <v>46</v>
      </c>
      <c r="F206" s="62" t="s">
        <v>46</v>
      </c>
      <c r="G206" s="63" t="s">
        <v>46</v>
      </c>
      <c r="H206" s="64"/>
      <c r="I206" s="64" t="s">
        <v>629</v>
      </c>
      <c r="J206" s="65">
        <v>1</v>
      </c>
      <c r="K206" s="66">
        <f>13150</f>
        <v>13150</v>
      </c>
      <c r="L206" s="67" t="s">
        <v>853</v>
      </c>
      <c r="M206" s="66">
        <f>13430</f>
        <v>13430</v>
      </c>
      <c r="N206" s="67" t="s">
        <v>857</v>
      </c>
      <c r="O206" s="66">
        <f>12790</f>
        <v>12790</v>
      </c>
      <c r="P206" s="67" t="s">
        <v>268</v>
      </c>
      <c r="Q206" s="66">
        <f>12980</f>
        <v>12980</v>
      </c>
      <c r="R206" s="67" t="s">
        <v>873</v>
      </c>
      <c r="S206" s="68">
        <f>13072.38</f>
        <v>13072.38</v>
      </c>
      <c r="T206" s="65">
        <f>70358</f>
        <v>70358</v>
      </c>
      <c r="U206" s="65">
        <f>4165</f>
        <v>4165</v>
      </c>
      <c r="V206" s="65">
        <f>925923650</f>
        <v>925923650</v>
      </c>
      <c r="W206" s="65">
        <f>54710610</f>
        <v>54710610</v>
      </c>
      <c r="X206" s="69">
        <f>21</f>
        <v>21</v>
      </c>
    </row>
    <row r="207" spans="1:24">
      <c r="A207" s="60" t="s">
        <v>895</v>
      </c>
      <c r="B207" s="60" t="s">
        <v>663</v>
      </c>
      <c r="C207" s="60" t="s">
        <v>664</v>
      </c>
      <c r="D207" s="60" t="s">
        <v>665</v>
      </c>
      <c r="E207" s="61" t="s">
        <v>46</v>
      </c>
      <c r="F207" s="62" t="s">
        <v>46</v>
      </c>
      <c r="G207" s="63" t="s">
        <v>46</v>
      </c>
      <c r="H207" s="64"/>
      <c r="I207" s="64" t="s">
        <v>629</v>
      </c>
      <c r="J207" s="65">
        <v>1</v>
      </c>
      <c r="K207" s="66">
        <f>13180</f>
        <v>13180</v>
      </c>
      <c r="L207" s="67" t="s">
        <v>853</v>
      </c>
      <c r="M207" s="66">
        <f>13560</f>
        <v>13560</v>
      </c>
      <c r="N207" s="67" t="s">
        <v>613</v>
      </c>
      <c r="O207" s="66">
        <f>13150</f>
        <v>13150</v>
      </c>
      <c r="P207" s="67" t="s">
        <v>131</v>
      </c>
      <c r="Q207" s="66">
        <f>13420</f>
        <v>13420</v>
      </c>
      <c r="R207" s="67" t="s">
        <v>873</v>
      </c>
      <c r="S207" s="68">
        <f>13334.62</f>
        <v>13334.62</v>
      </c>
      <c r="T207" s="65">
        <f>1045</f>
        <v>1045</v>
      </c>
      <c r="U207" s="65" t="str">
        <f>"－"</f>
        <v>－</v>
      </c>
      <c r="V207" s="65">
        <f>13928640</f>
        <v>13928640</v>
      </c>
      <c r="W207" s="65" t="str">
        <f>"－"</f>
        <v>－</v>
      </c>
      <c r="X207" s="69">
        <f>13</f>
        <v>13</v>
      </c>
    </row>
    <row r="208" spans="1:24">
      <c r="A208" s="60" t="s">
        <v>895</v>
      </c>
      <c r="B208" s="60" t="s">
        <v>666</v>
      </c>
      <c r="C208" s="60" t="s">
        <v>667</v>
      </c>
      <c r="D208" s="60" t="s">
        <v>668</v>
      </c>
      <c r="E208" s="61" t="s">
        <v>46</v>
      </c>
      <c r="F208" s="62" t="s">
        <v>46</v>
      </c>
      <c r="G208" s="63" t="s">
        <v>46</v>
      </c>
      <c r="H208" s="64"/>
      <c r="I208" s="64" t="s">
        <v>629</v>
      </c>
      <c r="J208" s="65">
        <v>1</v>
      </c>
      <c r="K208" s="66">
        <f>17830</f>
        <v>17830</v>
      </c>
      <c r="L208" s="67" t="s">
        <v>853</v>
      </c>
      <c r="M208" s="66">
        <f>18250</f>
        <v>18250</v>
      </c>
      <c r="N208" s="67" t="s">
        <v>873</v>
      </c>
      <c r="O208" s="66">
        <f>17520</f>
        <v>17520</v>
      </c>
      <c r="P208" s="67" t="s">
        <v>859</v>
      </c>
      <c r="Q208" s="66">
        <f>18230</f>
        <v>18230</v>
      </c>
      <c r="R208" s="67" t="s">
        <v>873</v>
      </c>
      <c r="S208" s="68">
        <f>17839.52</f>
        <v>17839.52</v>
      </c>
      <c r="T208" s="65">
        <f>39967</f>
        <v>39967</v>
      </c>
      <c r="U208" s="65">
        <f>8000</f>
        <v>8000</v>
      </c>
      <c r="V208" s="65">
        <f>711049570</f>
        <v>711049570</v>
      </c>
      <c r="W208" s="65">
        <f>141264000</f>
        <v>141264000</v>
      </c>
      <c r="X208" s="69">
        <f>21</f>
        <v>21</v>
      </c>
    </row>
    <row r="209" spans="1:24">
      <c r="A209" s="60" t="s">
        <v>895</v>
      </c>
      <c r="B209" s="60" t="s">
        <v>669</v>
      </c>
      <c r="C209" s="60" t="s">
        <v>670</v>
      </c>
      <c r="D209" s="60" t="s">
        <v>671</v>
      </c>
      <c r="E209" s="61" t="s">
        <v>46</v>
      </c>
      <c r="F209" s="62" t="s">
        <v>46</v>
      </c>
      <c r="G209" s="63" t="s">
        <v>46</v>
      </c>
      <c r="H209" s="64"/>
      <c r="I209" s="64" t="s">
        <v>629</v>
      </c>
      <c r="J209" s="65">
        <v>1</v>
      </c>
      <c r="K209" s="66">
        <f>13580</f>
        <v>13580</v>
      </c>
      <c r="L209" s="67" t="s">
        <v>853</v>
      </c>
      <c r="M209" s="66">
        <f>13720</f>
        <v>13720</v>
      </c>
      <c r="N209" s="67" t="s">
        <v>88</v>
      </c>
      <c r="O209" s="66">
        <f>13380</f>
        <v>13380</v>
      </c>
      <c r="P209" s="67" t="s">
        <v>853</v>
      </c>
      <c r="Q209" s="66">
        <f>13700</f>
        <v>13700</v>
      </c>
      <c r="R209" s="67" t="s">
        <v>873</v>
      </c>
      <c r="S209" s="68">
        <f>13531.05</f>
        <v>13531.05</v>
      </c>
      <c r="T209" s="65">
        <f>676</f>
        <v>676</v>
      </c>
      <c r="U209" s="65" t="str">
        <f>"－"</f>
        <v>－</v>
      </c>
      <c r="V209" s="65">
        <f>9135200</f>
        <v>9135200</v>
      </c>
      <c r="W209" s="65" t="str">
        <f>"－"</f>
        <v>－</v>
      </c>
      <c r="X209" s="69">
        <f>19</f>
        <v>19</v>
      </c>
    </row>
    <row r="210" spans="1:24">
      <c r="A210" s="60" t="s">
        <v>895</v>
      </c>
      <c r="B210" s="60" t="s">
        <v>672</v>
      </c>
      <c r="C210" s="60" t="s">
        <v>673</v>
      </c>
      <c r="D210" s="60" t="s">
        <v>674</v>
      </c>
      <c r="E210" s="61" t="s">
        <v>46</v>
      </c>
      <c r="F210" s="62" t="s">
        <v>46</v>
      </c>
      <c r="G210" s="63" t="s">
        <v>46</v>
      </c>
      <c r="H210" s="64"/>
      <c r="I210" s="64" t="s">
        <v>629</v>
      </c>
      <c r="J210" s="65">
        <v>1</v>
      </c>
      <c r="K210" s="66">
        <f>13380</f>
        <v>13380</v>
      </c>
      <c r="L210" s="67" t="s">
        <v>853</v>
      </c>
      <c r="M210" s="66">
        <f>13680</f>
        <v>13680</v>
      </c>
      <c r="N210" s="67" t="s">
        <v>84</v>
      </c>
      <c r="O210" s="66">
        <f>11270</f>
        <v>11270</v>
      </c>
      <c r="P210" s="67" t="s">
        <v>268</v>
      </c>
      <c r="Q210" s="66">
        <f>12760</f>
        <v>12760</v>
      </c>
      <c r="R210" s="67" t="s">
        <v>873</v>
      </c>
      <c r="S210" s="68">
        <f>12584.76</f>
        <v>12584.76</v>
      </c>
      <c r="T210" s="65">
        <f>54937</f>
        <v>54937</v>
      </c>
      <c r="U210" s="65">
        <f>11</f>
        <v>11</v>
      </c>
      <c r="V210" s="65">
        <f>687859600</f>
        <v>687859600</v>
      </c>
      <c r="W210" s="65">
        <f>137950</f>
        <v>137950</v>
      </c>
      <c r="X210" s="69">
        <f>21</f>
        <v>21</v>
      </c>
    </row>
    <row r="211" spans="1:24">
      <c r="A211" s="60" t="s">
        <v>895</v>
      </c>
      <c r="B211" s="60" t="s">
        <v>675</v>
      </c>
      <c r="C211" s="60" t="s">
        <v>676</v>
      </c>
      <c r="D211" s="60" t="s">
        <v>677</v>
      </c>
      <c r="E211" s="61" t="s">
        <v>46</v>
      </c>
      <c r="F211" s="62" t="s">
        <v>46</v>
      </c>
      <c r="G211" s="63" t="s">
        <v>46</v>
      </c>
      <c r="H211" s="64"/>
      <c r="I211" s="64" t="s">
        <v>629</v>
      </c>
      <c r="J211" s="65">
        <v>1</v>
      </c>
      <c r="K211" s="66">
        <f>4725</f>
        <v>4725</v>
      </c>
      <c r="L211" s="67" t="s">
        <v>853</v>
      </c>
      <c r="M211" s="66">
        <f>4830</f>
        <v>4830</v>
      </c>
      <c r="N211" s="67" t="s">
        <v>84</v>
      </c>
      <c r="O211" s="66">
        <f>4500</f>
        <v>4500</v>
      </c>
      <c r="P211" s="67" t="s">
        <v>859</v>
      </c>
      <c r="Q211" s="66">
        <f>4590</f>
        <v>4590</v>
      </c>
      <c r="R211" s="67" t="s">
        <v>873</v>
      </c>
      <c r="S211" s="68">
        <f>4644.29</f>
        <v>4644.29</v>
      </c>
      <c r="T211" s="65">
        <f>6462</f>
        <v>6462</v>
      </c>
      <c r="U211" s="65" t="str">
        <f>"－"</f>
        <v>－</v>
      </c>
      <c r="V211" s="65">
        <f>30126970</f>
        <v>30126970</v>
      </c>
      <c r="W211" s="65" t="str">
        <f>"－"</f>
        <v>－</v>
      </c>
      <c r="X211" s="69">
        <f>21</f>
        <v>21</v>
      </c>
    </row>
    <row r="212" spans="1:24">
      <c r="A212" s="60" t="s">
        <v>895</v>
      </c>
      <c r="B212" s="60" t="s">
        <v>678</v>
      </c>
      <c r="C212" s="60" t="s">
        <v>679</v>
      </c>
      <c r="D212" s="60" t="s">
        <v>680</v>
      </c>
      <c r="E212" s="61" t="s">
        <v>46</v>
      </c>
      <c r="F212" s="62" t="s">
        <v>46</v>
      </c>
      <c r="G212" s="63" t="s">
        <v>46</v>
      </c>
      <c r="H212" s="64"/>
      <c r="I212" s="64" t="s">
        <v>629</v>
      </c>
      <c r="J212" s="65">
        <v>1</v>
      </c>
      <c r="K212" s="66">
        <f>11240</f>
        <v>11240</v>
      </c>
      <c r="L212" s="67" t="s">
        <v>853</v>
      </c>
      <c r="M212" s="66">
        <f>11250</f>
        <v>11250</v>
      </c>
      <c r="N212" s="67" t="s">
        <v>857</v>
      </c>
      <c r="O212" s="66">
        <f>10450</f>
        <v>10450</v>
      </c>
      <c r="P212" s="67" t="s">
        <v>268</v>
      </c>
      <c r="Q212" s="66">
        <f>10680</f>
        <v>10680</v>
      </c>
      <c r="R212" s="67" t="s">
        <v>240</v>
      </c>
      <c r="S212" s="68">
        <f>10912.5</f>
        <v>10912.5</v>
      </c>
      <c r="T212" s="65">
        <f>8710</f>
        <v>8710</v>
      </c>
      <c r="U212" s="65">
        <f>3000</f>
        <v>3000</v>
      </c>
      <c r="V212" s="65">
        <f>96158760</f>
        <v>96158760</v>
      </c>
      <c r="W212" s="65">
        <f>33177000</f>
        <v>33177000</v>
      </c>
      <c r="X212" s="69">
        <f>12</f>
        <v>12</v>
      </c>
    </row>
    <row r="213" spans="1:24">
      <c r="A213" s="60" t="s">
        <v>895</v>
      </c>
      <c r="B213" s="60" t="s">
        <v>681</v>
      </c>
      <c r="C213" s="60" t="s">
        <v>682</v>
      </c>
      <c r="D213" s="60" t="s">
        <v>683</v>
      </c>
      <c r="E213" s="61" t="s">
        <v>46</v>
      </c>
      <c r="F213" s="62" t="s">
        <v>46</v>
      </c>
      <c r="G213" s="63" t="s">
        <v>46</v>
      </c>
      <c r="H213" s="64"/>
      <c r="I213" s="64" t="s">
        <v>629</v>
      </c>
      <c r="J213" s="65">
        <v>1</v>
      </c>
      <c r="K213" s="66">
        <f>12470</f>
        <v>12470</v>
      </c>
      <c r="L213" s="67" t="s">
        <v>853</v>
      </c>
      <c r="M213" s="66">
        <f>12640</f>
        <v>12640</v>
      </c>
      <c r="N213" s="67" t="s">
        <v>84</v>
      </c>
      <c r="O213" s="66">
        <f>12370</f>
        <v>12370</v>
      </c>
      <c r="P213" s="67" t="s">
        <v>88</v>
      </c>
      <c r="Q213" s="66">
        <f>12370</f>
        <v>12370</v>
      </c>
      <c r="R213" s="67" t="s">
        <v>88</v>
      </c>
      <c r="S213" s="68">
        <f>12508.33</f>
        <v>12508.33</v>
      </c>
      <c r="T213" s="65">
        <f>109</f>
        <v>109</v>
      </c>
      <c r="U213" s="65" t="str">
        <f>"－"</f>
        <v>－</v>
      </c>
      <c r="V213" s="65">
        <f>1364950</f>
        <v>1364950</v>
      </c>
      <c r="W213" s="65" t="str">
        <f>"－"</f>
        <v>－</v>
      </c>
      <c r="X213" s="69">
        <f>6</f>
        <v>6</v>
      </c>
    </row>
    <row r="214" spans="1:24">
      <c r="A214" s="60" t="s">
        <v>895</v>
      </c>
      <c r="B214" s="60" t="s">
        <v>684</v>
      </c>
      <c r="C214" s="60" t="s">
        <v>685</v>
      </c>
      <c r="D214" s="60" t="s">
        <v>686</v>
      </c>
      <c r="E214" s="61" t="s">
        <v>46</v>
      </c>
      <c r="F214" s="62" t="s">
        <v>46</v>
      </c>
      <c r="G214" s="63" t="s">
        <v>46</v>
      </c>
      <c r="H214" s="64"/>
      <c r="I214" s="64" t="s">
        <v>629</v>
      </c>
      <c r="J214" s="65">
        <v>1</v>
      </c>
      <c r="K214" s="66">
        <f>13650</f>
        <v>13650</v>
      </c>
      <c r="L214" s="67" t="s">
        <v>853</v>
      </c>
      <c r="M214" s="66">
        <f>13650</f>
        <v>13650</v>
      </c>
      <c r="N214" s="67" t="s">
        <v>853</v>
      </c>
      <c r="O214" s="66">
        <f>12750</f>
        <v>12750</v>
      </c>
      <c r="P214" s="67" t="s">
        <v>132</v>
      </c>
      <c r="Q214" s="66">
        <f>12790</f>
        <v>12790</v>
      </c>
      <c r="R214" s="67" t="s">
        <v>132</v>
      </c>
      <c r="S214" s="68">
        <f>13293.33</f>
        <v>13293.33</v>
      </c>
      <c r="T214" s="65">
        <f>10426</f>
        <v>10426</v>
      </c>
      <c r="U214" s="65">
        <f>4500</f>
        <v>4500</v>
      </c>
      <c r="V214" s="65">
        <f>138883590</f>
        <v>138883590</v>
      </c>
      <c r="W214" s="65">
        <f>59949000</f>
        <v>59949000</v>
      </c>
      <c r="X214" s="69">
        <f>6</f>
        <v>6</v>
      </c>
    </row>
    <row r="215" spans="1:24">
      <c r="A215" s="60" t="s">
        <v>895</v>
      </c>
      <c r="B215" s="60" t="s">
        <v>687</v>
      </c>
      <c r="C215" s="60" t="s">
        <v>688</v>
      </c>
      <c r="D215" s="60" t="s">
        <v>689</v>
      </c>
      <c r="E215" s="61" t="s">
        <v>46</v>
      </c>
      <c r="F215" s="62" t="s">
        <v>46</v>
      </c>
      <c r="G215" s="63" t="s">
        <v>46</v>
      </c>
      <c r="H215" s="64"/>
      <c r="I215" s="64" t="s">
        <v>629</v>
      </c>
      <c r="J215" s="65">
        <v>1</v>
      </c>
      <c r="K215" s="66">
        <f>13330</f>
        <v>13330</v>
      </c>
      <c r="L215" s="67" t="s">
        <v>853</v>
      </c>
      <c r="M215" s="66">
        <f>13530</f>
        <v>13530</v>
      </c>
      <c r="N215" s="67" t="s">
        <v>859</v>
      </c>
      <c r="O215" s="66">
        <f>13160</f>
        <v>13160</v>
      </c>
      <c r="P215" s="67" t="s">
        <v>268</v>
      </c>
      <c r="Q215" s="66">
        <f>13200</f>
        <v>13200</v>
      </c>
      <c r="R215" s="67" t="s">
        <v>874</v>
      </c>
      <c r="S215" s="68">
        <f>13394.17</f>
        <v>13394.17</v>
      </c>
      <c r="T215" s="65">
        <f>2917</f>
        <v>2917</v>
      </c>
      <c r="U215" s="65" t="str">
        <f t="shared" ref="U215:U221" si="10">"－"</f>
        <v>－</v>
      </c>
      <c r="V215" s="65">
        <f>38880970</f>
        <v>38880970</v>
      </c>
      <c r="W215" s="65" t="str">
        <f t="shared" ref="W215:W221" si="11">"－"</f>
        <v>－</v>
      </c>
      <c r="X215" s="69">
        <f>12</f>
        <v>12</v>
      </c>
    </row>
    <row r="216" spans="1:24">
      <c r="A216" s="60" t="s">
        <v>895</v>
      </c>
      <c r="B216" s="60" t="s">
        <v>690</v>
      </c>
      <c r="C216" s="60" t="s">
        <v>691</v>
      </c>
      <c r="D216" s="60" t="s">
        <v>692</v>
      </c>
      <c r="E216" s="61" t="s">
        <v>46</v>
      </c>
      <c r="F216" s="62" t="s">
        <v>46</v>
      </c>
      <c r="G216" s="63" t="s">
        <v>46</v>
      </c>
      <c r="H216" s="64"/>
      <c r="I216" s="64" t="s">
        <v>629</v>
      </c>
      <c r="J216" s="65">
        <v>1</v>
      </c>
      <c r="K216" s="66">
        <f>12810</f>
        <v>12810</v>
      </c>
      <c r="L216" s="67" t="s">
        <v>857</v>
      </c>
      <c r="M216" s="66">
        <f>12950</f>
        <v>12950</v>
      </c>
      <c r="N216" s="67" t="s">
        <v>84</v>
      </c>
      <c r="O216" s="66">
        <f>12230</f>
        <v>12230</v>
      </c>
      <c r="P216" s="67" t="s">
        <v>268</v>
      </c>
      <c r="Q216" s="66">
        <f>12450</f>
        <v>12450</v>
      </c>
      <c r="R216" s="67" t="s">
        <v>873</v>
      </c>
      <c r="S216" s="68">
        <f>12645.56</f>
        <v>12645.56</v>
      </c>
      <c r="T216" s="65">
        <f>5745</f>
        <v>5745</v>
      </c>
      <c r="U216" s="65" t="str">
        <f t="shared" si="10"/>
        <v>－</v>
      </c>
      <c r="V216" s="65">
        <f>73394120</f>
        <v>73394120</v>
      </c>
      <c r="W216" s="65" t="str">
        <f t="shared" si="11"/>
        <v>－</v>
      </c>
      <c r="X216" s="69">
        <f>18</f>
        <v>18</v>
      </c>
    </row>
    <row r="217" spans="1:24">
      <c r="A217" s="60" t="s">
        <v>895</v>
      </c>
      <c r="B217" s="60" t="s">
        <v>693</v>
      </c>
      <c r="C217" s="60" t="s">
        <v>694</v>
      </c>
      <c r="D217" s="60" t="s">
        <v>695</v>
      </c>
      <c r="E217" s="61" t="s">
        <v>46</v>
      </c>
      <c r="F217" s="62" t="s">
        <v>46</v>
      </c>
      <c r="G217" s="63" t="s">
        <v>46</v>
      </c>
      <c r="H217" s="64"/>
      <c r="I217" s="64" t="s">
        <v>629</v>
      </c>
      <c r="J217" s="65">
        <v>1</v>
      </c>
      <c r="K217" s="66">
        <f>13750</f>
        <v>13750</v>
      </c>
      <c r="L217" s="67" t="s">
        <v>857</v>
      </c>
      <c r="M217" s="66">
        <f>13750</f>
        <v>13750</v>
      </c>
      <c r="N217" s="67" t="s">
        <v>857</v>
      </c>
      <c r="O217" s="66">
        <f>13750</f>
        <v>13750</v>
      </c>
      <c r="P217" s="67" t="s">
        <v>857</v>
      </c>
      <c r="Q217" s="66">
        <f>13750</f>
        <v>13750</v>
      </c>
      <c r="R217" s="67" t="s">
        <v>857</v>
      </c>
      <c r="S217" s="68">
        <f>13750</f>
        <v>13750</v>
      </c>
      <c r="T217" s="65">
        <f>5</f>
        <v>5</v>
      </c>
      <c r="U217" s="65" t="str">
        <f t="shared" si="10"/>
        <v>－</v>
      </c>
      <c r="V217" s="65">
        <f>68750</f>
        <v>68750</v>
      </c>
      <c r="W217" s="65" t="str">
        <f t="shared" si="11"/>
        <v>－</v>
      </c>
      <c r="X217" s="69">
        <f>1</f>
        <v>1</v>
      </c>
    </row>
    <row r="218" spans="1:24">
      <c r="A218" s="60" t="s">
        <v>895</v>
      </c>
      <c r="B218" s="60" t="s">
        <v>696</v>
      </c>
      <c r="C218" s="60" t="s">
        <v>697</v>
      </c>
      <c r="D218" s="60" t="s">
        <v>698</v>
      </c>
      <c r="E218" s="61" t="s">
        <v>46</v>
      </c>
      <c r="F218" s="62" t="s">
        <v>46</v>
      </c>
      <c r="G218" s="63" t="s">
        <v>46</v>
      </c>
      <c r="H218" s="64"/>
      <c r="I218" s="64" t="s">
        <v>629</v>
      </c>
      <c r="J218" s="65">
        <v>1</v>
      </c>
      <c r="K218" s="66" t="str">
        <f>"－"</f>
        <v>－</v>
      </c>
      <c r="L218" s="67"/>
      <c r="M218" s="66" t="str">
        <f>"－"</f>
        <v>－</v>
      </c>
      <c r="N218" s="67"/>
      <c r="O218" s="66" t="str">
        <f>"－"</f>
        <v>－</v>
      </c>
      <c r="P218" s="67"/>
      <c r="Q218" s="66" t="str">
        <f>"－"</f>
        <v>－</v>
      </c>
      <c r="R218" s="67"/>
      <c r="S218" s="68" t="str">
        <f>"－"</f>
        <v>－</v>
      </c>
      <c r="T218" s="65" t="str">
        <f>"－"</f>
        <v>－</v>
      </c>
      <c r="U218" s="65" t="str">
        <f t="shared" si="10"/>
        <v>－</v>
      </c>
      <c r="V218" s="65" t="str">
        <f>"－"</f>
        <v>－</v>
      </c>
      <c r="W218" s="65" t="str">
        <f t="shared" si="11"/>
        <v>－</v>
      </c>
      <c r="X218" s="69" t="str">
        <f>"－"</f>
        <v>－</v>
      </c>
    </row>
    <row r="219" spans="1:24">
      <c r="A219" s="60" t="s">
        <v>895</v>
      </c>
      <c r="B219" s="60" t="s">
        <v>699</v>
      </c>
      <c r="C219" s="60" t="s">
        <v>700</v>
      </c>
      <c r="D219" s="60" t="s">
        <v>701</v>
      </c>
      <c r="E219" s="61" t="s">
        <v>46</v>
      </c>
      <c r="F219" s="62" t="s">
        <v>46</v>
      </c>
      <c r="G219" s="63" t="s">
        <v>46</v>
      </c>
      <c r="H219" s="64"/>
      <c r="I219" s="64" t="s">
        <v>629</v>
      </c>
      <c r="J219" s="65">
        <v>1</v>
      </c>
      <c r="K219" s="66">
        <f>10670</f>
        <v>10670</v>
      </c>
      <c r="L219" s="67" t="s">
        <v>853</v>
      </c>
      <c r="M219" s="66">
        <f>10670</f>
        <v>10670</v>
      </c>
      <c r="N219" s="67" t="s">
        <v>853</v>
      </c>
      <c r="O219" s="66">
        <f>10020</f>
        <v>10020</v>
      </c>
      <c r="P219" s="67" t="s">
        <v>873</v>
      </c>
      <c r="Q219" s="66">
        <f>10020</f>
        <v>10020</v>
      </c>
      <c r="R219" s="67" t="s">
        <v>873</v>
      </c>
      <c r="S219" s="68">
        <f>10355.71</f>
        <v>10355.709999999999</v>
      </c>
      <c r="T219" s="65">
        <f>16412</f>
        <v>16412</v>
      </c>
      <c r="U219" s="65" t="str">
        <f t="shared" si="10"/>
        <v>－</v>
      </c>
      <c r="V219" s="65">
        <f>169259720</f>
        <v>169259720</v>
      </c>
      <c r="W219" s="65" t="str">
        <f t="shared" si="11"/>
        <v>－</v>
      </c>
      <c r="X219" s="69">
        <f>21</f>
        <v>21</v>
      </c>
    </row>
    <row r="220" spans="1:24">
      <c r="A220" s="60" t="s">
        <v>895</v>
      </c>
      <c r="B220" s="60" t="s">
        <v>702</v>
      </c>
      <c r="C220" s="60" t="s">
        <v>703</v>
      </c>
      <c r="D220" s="60" t="s">
        <v>704</v>
      </c>
      <c r="E220" s="61" t="s">
        <v>46</v>
      </c>
      <c r="F220" s="62" t="s">
        <v>46</v>
      </c>
      <c r="G220" s="63" t="s">
        <v>46</v>
      </c>
      <c r="H220" s="64"/>
      <c r="I220" s="64" t="s">
        <v>629</v>
      </c>
      <c r="J220" s="65">
        <v>1</v>
      </c>
      <c r="K220" s="66">
        <f>11050</f>
        <v>11050</v>
      </c>
      <c r="L220" s="67" t="s">
        <v>853</v>
      </c>
      <c r="M220" s="66">
        <f>11210</f>
        <v>11210</v>
      </c>
      <c r="N220" s="67" t="s">
        <v>857</v>
      </c>
      <c r="O220" s="66">
        <f>10660</f>
        <v>10660</v>
      </c>
      <c r="P220" s="67" t="s">
        <v>268</v>
      </c>
      <c r="Q220" s="66">
        <f>10670</f>
        <v>10670</v>
      </c>
      <c r="R220" s="67" t="s">
        <v>873</v>
      </c>
      <c r="S220" s="68">
        <f>10970.95</f>
        <v>10970.95</v>
      </c>
      <c r="T220" s="65">
        <f>92368</f>
        <v>92368</v>
      </c>
      <c r="U220" s="65" t="str">
        <f t="shared" si="10"/>
        <v>－</v>
      </c>
      <c r="V220" s="65">
        <f>1013195870</f>
        <v>1013195870</v>
      </c>
      <c r="W220" s="65" t="str">
        <f t="shared" si="11"/>
        <v>－</v>
      </c>
      <c r="X220" s="69">
        <f>21</f>
        <v>21</v>
      </c>
    </row>
    <row r="221" spans="1:24">
      <c r="A221" s="60" t="s">
        <v>895</v>
      </c>
      <c r="B221" s="60" t="s">
        <v>705</v>
      </c>
      <c r="C221" s="60" t="s">
        <v>706</v>
      </c>
      <c r="D221" s="60" t="s">
        <v>707</v>
      </c>
      <c r="E221" s="61" t="s">
        <v>46</v>
      </c>
      <c r="F221" s="62" t="s">
        <v>46</v>
      </c>
      <c r="G221" s="63" t="s">
        <v>46</v>
      </c>
      <c r="H221" s="64"/>
      <c r="I221" s="64" t="s">
        <v>629</v>
      </c>
      <c r="J221" s="65">
        <v>1</v>
      </c>
      <c r="K221" s="66">
        <f>11000</f>
        <v>11000</v>
      </c>
      <c r="L221" s="67" t="s">
        <v>853</v>
      </c>
      <c r="M221" s="66">
        <f>11000</f>
        <v>11000</v>
      </c>
      <c r="N221" s="67" t="s">
        <v>853</v>
      </c>
      <c r="O221" s="66">
        <f>10530</f>
        <v>10530</v>
      </c>
      <c r="P221" s="67" t="s">
        <v>88</v>
      </c>
      <c r="Q221" s="66">
        <f>10580</f>
        <v>10580</v>
      </c>
      <c r="R221" s="67" t="s">
        <v>873</v>
      </c>
      <c r="S221" s="68">
        <f>10787.06</f>
        <v>10787.06</v>
      </c>
      <c r="T221" s="65">
        <f>30694</f>
        <v>30694</v>
      </c>
      <c r="U221" s="65" t="str">
        <f t="shared" si="10"/>
        <v>－</v>
      </c>
      <c r="V221" s="65">
        <f>334099170</f>
        <v>334099170</v>
      </c>
      <c r="W221" s="65" t="str">
        <f t="shared" si="11"/>
        <v>－</v>
      </c>
      <c r="X221" s="69">
        <f>17</f>
        <v>17</v>
      </c>
    </row>
    <row r="222" spans="1:24">
      <c r="A222" s="60" t="s">
        <v>895</v>
      </c>
      <c r="B222" s="60" t="s">
        <v>708</v>
      </c>
      <c r="C222" s="60" t="s">
        <v>709</v>
      </c>
      <c r="D222" s="60" t="s">
        <v>710</v>
      </c>
      <c r="E222" s="61" t="s">
        <v>46</v>
      </c>
      <c r="F222" s="62" t="s">
        <v>46</v>
      </c>
      <c r="G222" s="63" t="s">
        <v>46</v>
      </c>
      <c r="H222" s="64"/>
      <c r="I222" s="64" t="s">
        <v>47</v>
      </c>
      <c r="J222" s="65">
        <v>10</v>
      </c>
      <c r="K222" s="66">
        <f>990</f>
        <v>990</v>
      </c>
      <c r="L222" s="67" t="s">
        <v>853</v>
      </c>
      <c r="M222" s="66">
        <f>998</f>
        <v>998</v>
      </c>
      <c r="N222" s="67" t="s">
        <v>132</v>
      </c>
      <c r="O222" s="66">
        <f>990</f>
        <v>990</v>
      </c>
      <c r="P222" s="67" t="s">
        <v>853</v>
      </c>
      <c r="Q222" s="66">
        <f>995</f>
        <v>995</v>
      </c>
      <c r="R222" s="67" t="s">
        <v>873</v>
      </c>
      <c r="S222" s="68">
        <f>994.67</f>
        <v>994.67</v>
      </c>
      <c r="T222" s="65">
        <f>8217400</f>
        <v>8217400</v>
      </c>
      <c r="U222" s="65">
        <f>5426270</f>
        <v>5426270</v>
      </c>
      <c r="V222" s="65">
        <f>8168215516</f>
        <v>8168215516</v>
      </c>
      <c r="W222" s="65">
        <f>5395808586</f>
        <v>5395808586</v>
      </c>
      <c r="X222" s="69">
        <f>21</f>
        <v>21</v>
      </c>
    </row>
    <row r="223" spans="1:24">
      <c r="A223" s="60" t="s">
        <v>895</v>
      </c>
      <c r="B223" s="60" t="s">
        <v>711</v>
      </c>
      <c r="C223" s="60" t="s">
        <v>712</v>
      </c>
      <c r="D223" s="60" t="s">
        <v>713</v>
      </c>
      <c r="E223" s="61" t="s">
        <v>46</v>
      </c>
      <c r="F223" s="62" t="s">
        <v>46</v>
      </c>
      <c r="G223" s="63" t="s">
        <v>46</v>
      </c>
      <c r="H223" s="64"/>
      <c r="I223" s="64" t="s">
        <v>47</v>
      </c>
      <c r="J223" s="65">
        <v>10</v>
      </c>
      <c r="K223" s="66">
        <f>1009</f>
        <v>1009</v>
      </c>
      <c r="L223" s="67" t="s">
        <v>853</v>
      </c>
      <c r="M223" s="66">
        <f>1017</f>
        <v>1017</v>
      </c>
      <c r="N223" s="67" t="s">
        <v>96</v>
      </c>
      <c r="O223" s="66">
        <f>999</f>
        <v>999</v>
      </c>
      <c r="P223" s="67" t="s">
        <v>371</v>
      </c>
      <c r="Q223" s="66">
        <f>1008</f>
        <v>1008</v>
      </c>
      <c r="R223" s="67" t="s">
        <v>873</v>
      </c>
      <c r="S223" s="68">
        <f>1007</f>
        <v>1007</v>
      </c>
      <c r="T223" s="65">
        <f>1888030</f>
        <v>1888030</v>
      </c>
      <c r="U223" s="65">
        <f>1201810</f>
        <v>1201810</v>
      </c>
      <c r="V223" s="65">
        <f>1901015972</f>
        <v>1901015972</v>
      </c>
      <c r="W223" s="65">
        <f>1209871362</f>
        <v>1209871362</v>
      </c>
      <c r="X223" s="69">
        <f>21</f>
        <v>21</v>
      </c>
    </row>
    <row r="224" spans="1:24">
      <c r="A224" s="60" t="s">
        <v>895</v>
      </c>
      <c r="B224" s="60" t="s">
        <v>714</v>
      </c>
      <c r="C224" s="60" t="s">
        <v>715</v>
      </c>
      <c r="D224" s="60" t="s">
        <v>716</v>
      </c>
      <c r="E224" s="61" t="s">
        <v>46</v>
      </c>
      <c r="F224" s="62" t="s">
        <v>46</v>
      </c>
      <c r="G224" s="63" t="s">
        <v>46</v>
      </c>
      <c r="H224" s="64"/>
      <c r="I224" s="64" t="s">
        <v>47</v>
      </c>
      <c r="J224" s="65">
        <v>10</v>
      </c>
      <c r="K224" s="66">
        <f>1011</f>
        <v>1011</v>
      </c>
      <c r="L224" s="67" t="s">
        <v>853</v>
      </c>
      <c r="M224" s="66">
        <f>1029</f>
        <v>1029</v>
      </c>
      <c r="N224" s="67" t="s">
        <v>857</v>
      </c>
      <c r="O224" s="66">
        <f>1010</f>
        <v>1010</v>
      </c>
      <c r="P224" s="67" t="s">
        <v>873</v>
      </c>
      <c r="Q224" s="66">
        <f>1010</f>
        <v>1010</v>
      </c>
      <c r="R224" s="67" t="s">
        <v>873</v>
      </c>
      <c r="S224" s="68">
        <f>1016.57</f>
        <v>1016.57</v>
      </c>
      <c r="T224" s="65">
        <f>6962320</f>
        <v>6962320</v>
      </c>
      <c r="U224" s="65">
        <f>4625520</f>
        <v>4625520</v>
      </c>
      <c r="V224" s="65">
        <f>7080298291</f>
        <v>7080298291</v>
      </c>
      <c r="W224" s="65">
        <f>4704852851</f>
        <v>4704852851</v>
      </c>
      <c r="X224" s="69">
        <f>21</f>
        <v>21</v>
      </c>
    </row>
    <row r="225" spans="1:24">
      <c r="A225" s="60" t="s">
        <v>895</v>
      </c>
      <c r="B225" s="60" t="s">
        <v>717</v>
      </c>
      <c r="C225" s="60" t="s">
        <v>718</v>
      </c>
      <c r="D225" s="60" t="s">
        <v>719</v>
      </c>
      <c r="E225" s="61" t="s">
        <v>46</v>
      </c>
      <c r="F225" s="62" t="s">
        <v>46</v>
      </c>
      <c r="G225" s="63" t="s">
        <v>46</v>
      </c>
      <c r="H225" s="64"/>
      <c r="I225" s="64" t="s">
        <v>47</v>
      </c>
      <c r="J225" s="65">
        <v>10</v>
      </c>
      <c r="K225" s="66">
        <f>1395</f>
        <v>1395</v>
      </c>
      <c r="L225" s="67" t="s">
        <v>853</v>
      </c>
      <c r="M225" s="66">
        <f>1455</f>
        <v>1455</v>
      </c>
      <c r="N225" s="67" t="s">
        <v>873</v>
      </c>
      <c r="O225" s="66">
        <f>1391</f>
        <v>1391</v>
      </c>
      <c r="P225" s="67" t="s">
        <v>853</v>
      </c>
      <c r="Q225" s="66">
        <f>1447</f>
        <v>1447</v>
      </c>
      <c r="R225" s="67" t="s">
        <v>873</v>
      </c>
      <c r="S225" s="68">
        <f>1425.71</f>
        <v>1425.71</v>
      </c>
      <c r="T225" s="65">
        <f>1316130</f>
        <v>1316130</v>
      </c>
      <c r="U225" s="65">
        <f>855610</f>
        <v>855610</v>
      </c>
      <c r="V225" s="65">
        <f>1867373093</f>
        <v>1867373093</v>
      </c>
      <c r="W225" s="65">
        <f>1208359703</f>
        <v>1208359703</v>
      </c>
      <c r="X225" s="69">
        <f>21</f>
        <v>21</v>
      </c>
    </row>
    <row r="226" spans="1:24">
      <c r="A226" s="60" t="s">
        <v>895</v>
      </c>
      <c r="B226" s="60" t="s">
        <v>720</v>
      </c>
      <c r="C226" s="60" t="s">
        <v>721</v>
      </c>
      <c r="D226" s="60" t="s">
        <v>722</v>
      </c>
      <c r="E226" s="61" t="s">
        <v>46</v>
      </c>
      <c r="F226" s="62" t="s">
        <v>46</v>
      </c>
      <c r="G226" s="63" t="s">
        <v>46</v>
      </c>
      <c r="H226" s="64"/>
      <c r="I226" s="64" t="s">
        <v>47</v>
      </c>
      <c r="J226" s="65">
        <v>10</v>
      </c>
      <c r="K226" s="66">
        <f>1371</f>
        <v>1371</v>
      </c>
      <c r="L226" s="67" t="s">
        <v>853</v>
      </c>
      <c r="M226" s="66">
        <f>1442</f>
        <v>1442</v>
      </c>
      <c r="N226" s="67" t="s">
        <v>73</v>
      </c>
      <c r="O226" s="66">
        <f>1370</f>
        <v>1370</v>
      </c>
      <c r="P226" s="67" t="s">
        <v>853</v>
      </c>
      <c r="Q226" s="66">
        <f>1436</f>
        <v>1436</v>
      </c>
      <c r="R226" s="67" t="s">
        <v>873</v>
      </c>
      <c r="S226" s="68">
        <f>1418.19</f>
        <v>1418.19</v>
      </c>
      <c r="T226" s="65">
        <f>620160</f>
        <v>620160</v>
      </c>
      <c r="U226" s="65">
        <f>581800</f>
        <v>581800</v>
      </c>
      <c r="V226" s="65">
        <f>853333446</f>
        <v>853333446</v>
      </c>
      <c r="W226" s="65">
        <f>799447306</f>
        <v>799447306</v>
      </c>
      <c r="X226" s="69">
        <f>21</f>
        <v>21</v>
      </c>
    </row>
    <row r="227" spans="1:24">
      <c r="A227" s="60" t="s">
        <v>895</v>
      </c>
      <c r="B227" s="60" t="s">
        <v>723</v>
      </c>
      <c r="C227" s="60" t="s">
        <v>724</v>
      </c>
      <c r="D227" s="60" t="s">
        <v>725</v>
      </c>
      <c r="E227" s="61" t="s">
        <v>46</v>
      </c>
      <c r="F227" s="62" t="s">
        <v>46</v>
      </c>
      <c r="G227" s="63" t="s">
        <v>46</v>
      </c>
      <c r="H227" s="64"/>
      <c r="I227" s="64" t="s">
        <v>47</v>
      </c>
      <c r="J227" s="65">
        <v>10</v>
      </c>
      <c r="K227" s="66">
        <f>1040</f>
        <v>1040</v>
      </c>
      <c r="L227" s="67" t="s">
        <v>853</v>
      </c>
      <c r="M227" s="66">
        <f>1085</f>
        <v>1085</v>
      </c>
      <c r="N227" s="67" t="s">
        <v>873</v>
      </c>
      <c r="O227" s="66">
        <f>1025</f>
        <v>1025</v>
      </c>
      <c r="P227" s="67" t="s">
        <v>853</v>
      </c>
      <c r="Q227" s="66">
        <f>1078</f>
        <v>1078</v>
      </c>
      <c r="R227" s="67" t="s">
        <v>873</v>
      </c>
      <c r="S227" s="68">
        <f>1053.62</f>
        <v>1053.6199999999999</v>
      </c>
      <c r="T227" s="65">
        <f>581330</f>
        <v>581330</v>
      </c>
      <c r="U227" s="65">
        <f>172150</f>
        <v>172150</v>
      </c>
      <c r="V227" s="65">
        <f>614226180</f>
        <v>614226180</v>
      </c>
      <c r="W227" s="65">
        <f>182964260</f>
        <v>182964260</v>
      </c>
      <c r="X227" s="69">
        <f>21</f>
        <v>21</v>
      </c>
    </row>
    <row r="228" spans="1:24">
      <c r="A228" s="60" t="s">
        <v>895</v>
      </c>
      <c r="B228" s="60" t="s">
        <v>726</v>
      </c>
      <c r="C228" s="60" t="s">
        <v>727</v>
      </c>
      <c r="D228" s="60" t="s">
        <v>728</v>
      </c>
      <c r="E228" s="61" t="s">
        <v>46</v>
      </c>
      <c r="F228" s="62" t="s">
        <v>46</v>
      </c>
      <c r="G228" s="63" t="s">
        <v>46</v>
      </c>
      <c r="H228" s="64"/>
      <c r="I228" s="64" t="s">
        <v>47</v>
      </c>
      <c r="J228" s="65">
        <v>10</v>
      </c>
      <c r="K228" s="66">
        <f>930</f>
        <v>930</v>
      </c>
      <c r="L228" s="67" t="s">
        <v>853</v>
      </c>
      <c r="M228" s="66">
        <f>966</f>
        <v>966</v>
      </c>
      <c r="N228" s="67" t="s">
        <v>84</v>
      </c>
      <c r="O228" s="66">
        <f>917</f>
        <v>917</v>
      </c>
      <c r="P228" s="67" t="s">
        <v>873</v>
      </c>
      <c r="Q228" s="66">
        <f>920</f>
        <v>920</v>
      </c>
      <c r="R228" s="67" t="s">
        <v>873</v>
      </c>
      <c r="S228" s="68">
        <f>937.9</f>
        <v>937.9</v>
      </c>
      <c r="T228" s="65">
        <f>9410310</f>
        <v>9410310</v>
      </c>
      <c r="U228" s="65">
        <f>126280</f>
        <v>126280</v>
      </c>
      <c r="V228" s="65">
        <f>8842168395</f>
        <v>8842168395</v>
      </c>
      <c r="W228" s="65">
        <f>118455435</f>
        <v>118455435</v>
      </c>
      <c r="X228" s="69">
        <f>21</f>
        <v>21</v>
      </c>
    </row>
    <row r="229" spans="1:24">
      <c r="A229" s="60" t="s">
        <v>895</v>
      </c>
      <c r="B229" s="60" t="s">
        <v>729</v>
      </c>
      <c r="C229" s="60" t="s">
        <v>730</v>
      </c>
      <c r="D229" s="60" t="s">
        <v>731</v>
      </c>
      <c r="E229" s="61" t="s">
        <v>46</v>
      </c>
      <c r="F229" s="62" t="s">
        <v>46</v>
      </c>
      <c r="G229" s="63" t="s">
        <v>46</v>
      </c>
      <c r="H229" s="64"/>
      <c r="I229" s="64" t="s">
        <v>47</v>
      </c>
      <c r="J229" s="65">
        <v>10</v>
      </c>
      <c r="K229" s="66">
        <f>1199</f>
        <v>1199</v>
      </c>
      <c r="L229" s="67" t="s">
        <v>853</v>
      </c>
      <c r="M229" s="66">
        <f>1224</f>
        <v>1224</v>
      </c>
      <c r="N229" s="67" t="s">
        <v>873</v>
      </c>
      <c r="O229" s="66">
        <f>1173</f>
        <v>1173</v>
      </c>
      <c r="P229" s="67" t="s">
        <v>853</v>
      </c>
      <c r="Q229" s="66">
        <f>1220</f>
        <v>1220</v>
      </c>
      <c r="R229" s="67" t="s">
        <v>873</v>
      </c>
      <c r="S229" s="68">
        <f>1206.38</f>
        <v>1206.3800000000001</v>
      </c>
      <c r="T229" s="65">
        <f>506400</f>
        <v>506400</v>
      </c>
      <c r="U229" s="65">
        <f>80</f>
        <v>80</v>
      </c>
      <c r="V229" s="65">
        <f>613477720</f>
        <v>613477720</v>
      </c>
      <c r="W229" s="65">
        <f>97070</f>
        <v>97070</v>
      </c>
      <c r="X229" s="69">
        <f>21</f>
        <v>21</v>
      </c>
    </row>
    <row r="230" spans="1:24">
      <c r="A230" s="60" t="s">
        <v>895</v>
      </c>
      <c r="B230" s="60" t="s">
        <v>732</v>
      </c>
      <c r="C230" s="60" t="s">
        <v>733</v>
      </c>
      <c r="D230" s="60" t="s">
        <v>734</v>
      </c>
      <c r="E230" s="61" t="s">
        <v>46</v>
      </c>
      <c r="F230" s="62" t="s">
        <v>46</v>
      </c>
      <c r="G230" s="63" t="s">
        <v>46</v>
      </c>
      <c r="H230" s="64"/>
      <c r="I230" s="64" t="s">
        <v>47</v>
      </c>
      <c r="J230" s="65">
        <v>1</v>
      </c>
      <c r="K230" s="66">
        <f>1146</f>
        <v>1146</v>
      </c>
      <c r="L230" s="67" t="s">
        <v>853</v>
      </c>
      <c r="M230" s="66">
        <f>1159</f>
        <v>1159</v>
      </c>
      <c r="N230" s="67" t="s">
        <v>92</v>
      </c>
      <c r="O230" s="66">
        <f>1076</f>
        <v>1076</v>
      </c>
      <c r="P230" s="67" t="s">
        <v>268</v>
      </c>
      <c r="Q230" s="66">
        <f>1082</f>
        <v>1082</v>
      </c>
      <c r="R230" s="67" t="s">
        <v>873</v>
      </c>
      <c r="S230" s="68">
        <f>1120</f>
        <v>1120</v>
      </c>
      <c r="T230" s="65">
        <f>15264</f>
        <v>15264</v>
      </c>
      <c r="U230" s="65" t="str">
        <f>"－"</f>
        <v>－</v>
      </c>
      <c r="V230" s="65">
        <f>17156915</f>
        <v>17156915</v>
      </c>
      <c r="W230" s="65" t="str">
        <f>"－"</f>
        <v>－</v>
      </c>
      <c r="X230" s="69">
        <f>21</f>
        <v>21</v>
      </c>
    </row>
    <row r="231" spans="1:24">
      <c r="A231" s="60" t="s">
        <v>895</v>
      </c>
      <c r="B231" s="60" t="s">
        <v>735</v>
      </c>
      <c r="C231" s="60" t="s">
        <v>736</v>
      </c>
      <c r="D231" s="60" t="s">
        <v>737</v>
      </c>
      <c r="E231" s="61" t="s">
        <v>46</v>
      </c>
      <c r="F231" s="62" t="s">
        <v>46</v>
      </c>
      <c r="G231" s="63" t="s">
        <v>46</v>
      </c>
      <c r="H231" s="64"/>
      <c r="I231" s="64" t="s">
        <v>47</v>
      </c>
      <c r="J231" s="65">
        <v>10</v>
      </c>
      <c r="K231" s="66">
        <f>1006</f>
        <v>1006</v>
      </c>
      <c r="L231" s="67" t="s">
        <v>853</v>
      </c>
      <c r="M231" s="66">
        <f>1016</f>
        <v>1016</v>
      </c>
      <c r="N231" s="67" t="s">
        <v>92</v>
      </c>
      <c r="O231" s="66">
        <f>998</f>
        <v>998</v>
      </c>
      <c r="P231" s="67" t="s">
        <v>49</v>
      </c>
      <c r="Q231" s="66">
        <f>1009</f>
        <v>1009</v>
      </c>
      <c r="R231" s="67" t="s">
        <v>873</v>
      </c>
      <c r="S231" s="68">
        <f>1004.14</f>
        <v>1004.14</v>
      </c>
      <c r="T231" s="65">
        <f>223750</f>
        <v>223750</v>
      </c>
      <c r="U231" s="65">
        <f>146830</f>
        <v>146830</v>
      </c>
      <c r="V231" s="65">
        <f>224969332</f>
        <v>224969332</v>
      </c>
      <c r="W231" s="65">
        <f>147669212</f>
        <v>147669212</v>
      </c>
      <c r="X231" s="69">
        <f>21</f>
        <v>21</v>
      </c>
    </row>
    <row r="232" spans="1:24">
      <c r="A232" s="60" t="s">
        <v>895</v>
      </c>
      <c r="B232" s="60" t="s">
        <v>738</v>
      </c>
      <c r="C232" s="60" t="s">
        <v>739</v>
      </c>
      <c r="D232" s="60" t="s">
        <v>740</v>
      </c>
      <c r="E232" s="61" t="s">
        <v>46</v>
      </c>
      <c r="F232" s="62" t="s">
        <v>46</v>
      </c>
      <c r="G232" s="63" t="s">
        <v>46</v>
      </c>
      <c r="H232" s="64"/>
      <c r="I232" s="64" t="s">
        <v>47</v>
      </c>
      <c r="J232" s="65">
        <v>10</v>
      </c>
      <c r="K232" s="66">
        <f>1258</f>
        <v>1258</v>
      </c>
      <c r="L232" s="67" t="s">
        <v>853</v>
      </c>
      <c r="M232" s="66">
        <f>1278</f>
        <v>1278</v>
      </c>
      <c r="N232" s="67" t="s">
        <v>84</v>
      </c>
      <c r="O232" s="66">
        <f>1230</f>
        <v>1230</v>
      </c>
      <c r="P232" s="67" t="s">
        <v>268</v>
      </c>
      <c r="Q232" s="66">
        <f>1264</f>
        <v>1264</v>
      </c>
      <c r="R232" s="67" t="s">
        <v>873</v>
      </c>
      <c r="S232" s="68">
        <f>1257.67</f>
        <v>1257.67</v>
      </c>
      <c r="T232" s="65">
        <f>158520</f>
        <v>158520</v>
      </c>
      <c r="U232" s="65">
        <f>69640</f>
        <v>69640</v>
      </c>
      <c r="V232" s="65">
        <f>199212705</f>
        <v>199212705</v>
      </c>
      <c r="W232" s="65">
        <f>87650235</f>
        <v>87650235</v>
      </c>
      <c r="X232" s="69">
        <f>21</f>
        <v>21</v>
      </c>
    </row>
    <row r="233" spans="1:24">
      <c r="A233" s="60" t="s">
        <v>895</v>
      </c>
      <c r="B233" s="60" t="s">
        <v>741</v>
      </c>
      <c r="C233" s="60" t="s">
        <v>742</v>
      </c>
      <c r="D233" s="60" t="s">
        <v>743</v>
      </c>
      <c r="E233" s="61" t="s">
        <v>46</v>
      </c>
      <c r="F233" s="62" t="s">
        <v>46</v>
      </c>
      <c r="G233" s="63" t="s">
        <v>46</v>
      </c>
      <c r="H233" s="64"/>
      <c r="I233" s="64" t="s">
        <v>47</v>
      </c>
      <c r="J233" s="65">
        <v>10</v>
      </c>
      <c r="K233" s="66">
        <f>1387</f>
        <v>1387</v>
      </c>
      <c r="L233" s="67" t="s">
        <v>853</v>
      </c>
      <c r="M233" s="66">
        <f>1465</f>
        <v>1465</v>
      </c>
      <c r="N233" s="67" t="s">
        <v>873</v>
      </c>
      <c r="O233" s="66">
        <f>1386</f>
        <v>1386</v>
      </c>
      <c r="P233" s="67" t="s">
        <v>853</v>
      </c>
      <c r="Q233" s="66">
        <f>1460</f>
        <v>1460</v>
      </c>
      <c r="R233" s="67" t="s">
        <v>873</v>
      </c>
      <c r="S233" s="68">
        <f>1437.38</f>
        <v>1437.38</v>
      </c>
      <c r="T233" s="65">
        <f>16108250</f>
        <v>16108250</v>
      </c>
      <c r="U233" s="65">
        <f>7005230</f>
        <v>7005230</v>
      </c>
      <c r="V233" s="65">
        <f>23104264209</f>
        <v>23104264209</v>
      </c>
      <c r="W233" s="65">
        <f>10001648589</f>
        <v>10001648589</v>
      </c>
      <c r="X233" s="69">
        <f>21</f>
        <v>21</v>
      </c>
    </row>
    <row r="234" spans="1:24">
      <c r="A234" s="60" t="s">
        <v>895</v>
      </c>
      <c r="B234" s="60" t="s">
        <v>744</v>
      </c>
      <c r="C234" s="60" t="s">
        <v>745</v>
      </c>
      <c r="D234" s="60" t="s">
        <v>746</v>
      </c>
      <c r="E234" s="61" t="s">
        <v>46</v>
      </c>
      <c r="F234" s="62" t="s">
        <v>46</v>
      </c>
      <c r="G234" s="63" t="s">
        <v>46</v>
      </c>
      <c r="H234" s="64"/>
      <c r="I234" s="64" t="s">
        <v>47</v>
      </c>
      <c r="J234" s="65">
        <v>1</v>
      </c>
      <c r="K234" s="66">
        <f>3530</f>
        <v>3530</v>
      </c>
      <c r="L234" s="67" t="s">
        <v>853</v>
      </c>
      <c r="M234" s="66">
        <f>3760</f>
        <v>3760</v>
      </c>
      <c r="N234" s="67" t="s">
        <v>613</v>
      </c>
      <c r="O234" s="66">
        <f>3530</f>
        <v>3530</v>
      </c>
      <c r="P234" s="67" t="s">
        <v>853</v>
      </c>
      <c r="Q234" s="66">
        <f>3655</f>
        <v>3655</v>
      </c>
      <c r="R234" s="67" t="s">
        <v>873</v>
      </c>
      <c r="S234" s="68">
        <f>3679.76</f>
        <v>3679.76</v>
      </c>
      <c r="T234" s="65">
        <f>123520</f>
        <v>123520</v>
      </c>
      <c r="U234" s="65">
        <f>1</f>
        <v>1</v>
      </c>
      <c r="V234" s="65">
        <f>453450960</f>
        <v>453450960</v>
      </c>
      <c r="W234" s="65">
        <f>3730</f>
        <v>3730</v>
      </c>
      <c r="X234" s="69">
        <f>21</f>
        <v>21</v>
      </c>
    </row>
    <row r="235" spans="1:24">
      <c r="A235" s="60" t="s">
        <v>895</v>
      </c>
      <c r="B235" s="60" t="s">
        <v>747</v>
      </c>
      <c r="C235" s="60" t="s">
        <v>748</v>
      </c>
      <c r="D235" s="60" t="s">
        <v>749</v>
      </c>
      <c r="E235" s="61" t="s">
        <v>46</v>
      </c>
      <c r="F235" s="62" t="s">
        <v>46</v>
      </c>
      <c r="G235" s="63" t="s">
        <v>46</v>
      </c>
      <c r="H235" s="64"/>
      <c r="I235" s="64" t="s">
        <v>47</v>
      </c>
      <c r="J235" s="65">
        <v>10</v>
      </c>
      <c r="K235" s="66">
        <f>1730</f>
        <v>1730</v>
      </c>
      <c r="L235" s="67" t="s">
        <v>853</v>
      </c>
      <c r="M235" s="66">
        <f>1807</f>
        <v>1807</v>
      </c>
      <c r="N235" s="67" t="s">
        <v>131</v>
      </c>
      <c r="O235" s="66">
        <f>1696</f>
        <v>1696</v>
      </c>
      <c r="P235" s="67" t="s">
        <v>268</v>
      </c>
      <c r="Q235" s="66">
        <f>1708</f>
        <v>1708</v>
      </c>
      <c r="R235" s="67" t="s">
        <v>873</v>
      </c>
      <c r="S235" s="68">
        <f>1736.9</f>
        <v>1736.9</v>
      </c>
      <c r="T235" s="65">
        <f>4450</f>
        <v>4450</v>
      </c>
      <c r="U235" s="65" t="str">
        <f>"－"</f>
        <v>－</v>
      </c>
      <c r="V235" s="65">
        <f>7781980</f>
        <v>7781980</v>
      </c>
      <c r="W235" s="65" t="str">
        <f>"－"</f>
        <v>－</v>
      </c>
      <c r="X235" s="69">
        <f>21</f>
        <v>21</v>
      </c>
    </row>
    <row r="236" spans="1:24">
      <c r="A236" s="60" t="s">
        <v>895</v>
      </c>
      <c r="B236" s="60" t="s">
        <v>750</v>
      </c>
      <c r="C236" s="60" t="s">
        <v>751</v>
      </c>
      <c r="D236" s="60" t="s">
        <v>752</v>
      </c>
      <c r="E236" s="61" t="s">
        <v>46</v>
      </c>
      <c r="F236" s="62" t="s">
        <v>46</v>
      </c>
      <c r="G236" s="63" t="s">
        <v>46</v>
      </c>
      <c r="H236" s="64"/>
      <c r="I236" s="64" t="s">
        <v>47</v>
      </c>
      <c r="J236" s="65">
        <v>10</v>
      </c>
      <c r="K236" s="66">
        <f>2007</f>
        <v>2007</v>
      </c>
      <c r="L236" s="67" t="s">
        <v>853</v>
      </c>
      <c r="M236" s="66">
        <f>2022</f>
        <v>2022</v>
      </c>
      <c r="N236" s="67" t="s">
        <v>84</v>
      </c>
      <c r="O236" s="66">
        <f>1925</f>
        <v>1925</v>
      </c>
      <c r="P236" s="67" t="s">
        <v>268</v>
      </c>
      <c r="Q236" s="66">
        <f>1940</f>
        <v>1940</v>
      </c>
      <c r="R236" s="67" t="s">
        <v>88</v>
      </c>
      <c r="S236" s="68">
        <f>1983.14</f>
        <v>1983.14</v>
      </c>
      <c r="T236" s="65">
        <f>319150</f>
        <v>319150</v>
      </c>
      <c r="U236" s="65" t="str">
        <f>"－"</f>
        <v>－</v>
      </c>
      <c r="V236" s="65">
        <f>637817890</f>
        <v>637817890</v>
      </c>
      <c r="W236" s="65" t="str">
        <f>"－"</f>
        <v>－</v>
      </c>
      <c r="X236" s="69">
        <f>14</f>
        <v>14</v>
      </c>
    </row>
    <row r="237" spans="1:24">
      <c r="A237" s="60" t="s">
        <v>895</v>
      </c>
      <c r="B237" s="60" t="s">
        <v>753</v>
      </c>
      <c r="C237" s="60" t="s">
        <v>754</v>
      </c>
      <c r="D237" s="60" t="s">
        <v>755</v>
      </c>
      <c r="E237" s="61" t="s">
        <v>46</v>
      </c>
      <c r="F237" s="62" t="s">
        <v>46</v>
      </c>
      <c r="G237" s="63" t="s">
        <v>46</v>
      </c>
      <c r="H237" s="64"/>
      <c r="I237" s="64" t="s">
        <v>47</v>
      </c>
      <c r="J237" s="65">
        <v>1</v>
      </c>
      <c r="K237" s="66">
        <f>29820</f>
        <v>29820</v>
      </c>
      <c r="L237" s="67" t="s">
        <v>853</v>
      </c>
      <c r="M237" s="66">
        <f>30550</f>
        <v>30550</v>
      </c>
      <c r="N237" s="67" t="s">
        <v>77</v>
      </c>
      <c r="O237" s="66">
        <f>28780</f>
        <v>28780</v>
      </c>
      <c r="P237" s="67" t="s">
        <v>268</v>
      </c>
      <c r="Q237" s="66">
        <f>29200</f>
        <v>29200</v>
      </c>
      <c r="R237" s="67" t="s">
        <v>873</v>
      </c>
      <c r="S237" s="68">
        <f>29746.11</f>
        <v>29746.11</v>
      </c>
      <c r="T237" s="65">
        <f>2726</f>
        <v>2726</v>
      </c>
      <c r="U237" s="65" t="str">
        <f>"－"</f>
        <v>－</v>
      </c>
      <c r="V237" s="65">
        <f>81716670</f>
        <v>81716670</v>
      </c>
      <c r="W237" s="65" t="str">
        <f>"－"</f>
        <v>－</v>
      </c>
      <c r="X237" s="69">
        <f>18</f>
        <v>18</v>
      </c>
    </row>
    <row r="238" spans="1:24">
      <c r="A238" s="60" t="s">
        <v>895</v>
      </c>
      <c r="B238" s="60" t="s">
        <v>756</v>
      </c>
      <c r="C238" s="60" t="s">
        <v>757</v>
      </c>
      <c r="D238" s="60" t="s">
        <v>758</v>
      </c>
      <c r="E238" s="61" t="s">
        <v>46</v>
      </c>
      <c r="F238" s="62" t="s">
        <v>46</v>
      </c>
      <c r="G238" s="63" t="s">
        <v>46</v>
      </c>
      <c r="H238" s="64"/>
      <c r="I238" s="64" t="s">
        <v>47</v>
      </c>
      <c r="J238" s="65">
        <v>1</v>
      </c>
      <c r="K238" s="66">
        <f>18070</f>
        <v>18070</v>
      </c>
      <c r="L238" s="67" t="s">
        <v>853</v>
      </c>
      <c r="M238" s="66">
        <f>18230</f>
        <v>18230</v>
      </c>
      <c r="N238" s="67" t="s">
        <v>77</v>
      </c>
      <c r="O238" s="66">
        <f>17330</f>
        <v>17330</v>
      </c>
      <c r="P238" s="67" t="s">
        <v>268</v>
      </c>
      <c r="Q238" s="66">
        <f>17460</f>
        <v>17460</v>
      </c>
      <c r="R238" s="67" t="s">
        <v>73</v>
      </c>
      <c r="S238" s="68">
        <f>17800</f>
        <v>17800</v>
      </c>
      <c r="T238" s="65">
        <f>82286</f>
        <v>82286</v>
      </c>
      <c r="U238" s="65">
        <f>1946</f>
        <v>1946</v>
      </c>
      <c r="V238" s="65">
        <f>1469109368</f>
        <v>1469109368</v>
      </c>
      <c r="W238" s="65">
        <f>34184978</f>
        <v>34184978</v>
      </c>
      <c r="X238" s="69">
        <f>18</f>
        <v>18</v>
      </c>
    </row>
    <row r="239" spans="1:24">
      <c r="A239" s="60" t="s">
        <v>895</v>
      </c>
      <c r="B239" s="60" t="s">
        <v>759</v>
      </c>
      <c r="C239" s="60" t="s">
        <v>760</v>
      </c>
      <c r="D239" s="60" t="s">
        <v>761</v>
      </c>
      <c r="E239" s="61" t="s">
        <v>46</v>
      </c>
      <c r="F239" s="62" t="s">
        <v>46</v>
      </c>
      <c r="G239" s="63" t="s">
        <v>46</v>
      </c>
      <c r="H239" s="64"/>
      <c r="I239" s="64" t="s">
        <v>47</v>
      </c>
      <c r="J239" s="65">
        <v>10</v>
      </c>
      <c r="K239" s="66">
        <f>1201</f>
        <v>1201</v>
      </c>
      <c r="L239" s="67" t="s">
        <v>84</v>
      </c>
      <c r="M239" s="66">
        <f>1228</f>
        <v>1228</v>
      </c>
      <c r="N239" s="67" t="s">
        <v>69</v>
      </c>
      <c r="O239" s="66">
        <f>1198</f>
        <v>1198</v>
      </c>
      <c r="P239" s="67" t="s">
        <v>84</v>
      </c>
      <c r="Q239" s="66">
        <f>1225</f>
        <v>1225</v>
      </c>
      <c r="R239" s="67" t="s">
        <v>73</v>
      </c>
      <c r="S239" s="68">
        <f>1214.5</f>
        <v>1214.5</v>
      </c>
      <c r="T239" s="65">
        <f>269420</f>
        <v>269420</v>
      </c>
      <c r="U239" s="65">
        <f>214000</f>
        <v>214000</v>
      </c>
      <c r="V239" s="65">
        <f>327299080</f>
        <v>327299080</v>
      </c>
      <c r="W239" s="65">
        <f>260332100</f>
        <v>260332100</v>
      </c>
      <c r="X239" s="69">
        <f>10</f>
        <v>10</v>
      </c>
    </row>
    <row r="240" spans="1:24">
      <c r="A240" s="60" t="s">
        <v>895</v>
      </c>
      <c r="B240" s="60" t="s">
        <v>762</v>
      </c>
      <c r="C240" s="60" t="s">
        <v>763</v>
      </c>
      <c r="D240" s="60" t="s">
        <v>764</v>
      </c>
      <c r="E240" s="61" t="s">
        <v>46</v>
      </c>
      <c r="F240" s="62" t="s">
        <v>46</v>
      </c>
      <c r="G240" s="63" t="s">
        <v>46</v>
      </c>
      <c r="H240" s="64"/>
      <c r="I240" s="64" t="s">
        <v>47</v>
      </c>
      <c r="J240" s="65">
        <v>10</v>
      </c>
      <c r="K240" s="66">
        <f>1180</f>
        <v>1180</v>
      </c>
      <c r="L240" s="67" t="s">
        <v>853</v>
      </c>
      <c r="M240" s="66">
        <f>1218</f>
        <v>1218</v>
      </c>
      <c r="N240" s="67" t="s">
        <v>613</v>
      </c>
      <c r="O240" s="66">
        <f>1173</f>
        <v>1173</v>
      </c>
      <c r="P240" s="67" t="s">
        <v>857</v>
      </c>
      <c r="Q240" s="66">
        <f>1212</f>
        <v>1212</v>
      </c>
      <c r="R240" s="67" t="s">
        <v>873</v>
      </c>
      <c r="S240" s="68">
        <f>1200.29</f>
        <v>1200.29</v>
      </c>
      <c r="T240" s="65">
        <f>10090</f>
        <v>10090</v>
      </c>
      <c r="U240" s="65" t="str">
        <f>"－"</f>
        <v>－</v>
      </c>
      <c r="V240" s="65">
        <f>12149330</f>
        <v>12149330</v>
      </c>
      <c r="W240" s="65" t="str">
        <f>"－"</f>
        <v>－</v>
      </c>
      <c r="X240" s="69">
        <f>21</f>
        <v>21</v>
      </c>
    </row>
    <row r="241" spans="1:24">
      <c r="A241" s="60" t="s">
        <v>895</v>
      </c>
      <c r="B241" s="60" t="s">
        <v>765</v>
      </c>
      <c r="C241" s="60" t="s">
        <v>766</v>
      </c>
      <c r="D241" s="60" t="s">
        <v>767</v>
      </c>
      <c r="E241" s="61" t="s">
        <v>46</v>
      </c>
      <c r="F241" s="62" t="s">
        <v>46</v>
      </c>
      <c r="G241" s="63" t="s">
        <v>46</v>
      </c>
      <c r="H241" s="64"/>
      <c r="I241" s="64" t="s">
        <v>47</v>
      </c>
      <c r="J241" s="65">
        <v>1</v>
      </c>
      <c r="K241" s="66">
        <f>1127</f>
        <v>1127</v>
      </c>
      <c r="L241" s="67" t="s">
        <v>853</v>
      </c>
      <c r="M241" s="66">
        <f>1127</f>
        <v>1127</v>
      </c>
      <c r="N241" s="67" t="s">
        <v>853</v>
      </c>
      <c r="O241" s="66">
        <f>1056</f>
        <v>1056</v>
      </c>
      <c r="P241" s="67" t="s">
        <v>268</v>
      </c>
      <c r="Q241" s="66">
        <f>1069</f>
        <v>1069</v>
      </c>
      <c r="R241" s="67" t="s">
        <v>873</v>
      </c>
      <c r="S241" s="68">
        <f>1090.33</f>
        <v>1090.33</v>
      </c>
      <c r="T241" s="65">
        <f>24045</f>
        <v>24045</v>
      </c>
      <c r="U241" s="65">
        <f>13</f>
        <v>13</v>
      </c>
      <c r="V241" s="65">
        <f>26269178</f>
        <v>26269178</v>
      </c>
      <c r="W241" s="65">
        <f>14135</f>
        <v>14135</v>
      </c>
      <c r="X241" s="69">
        <f>21</f>
        <v>21</v>
      </c>
    </row>
    <row r="242" spans="1:24">
      <c r="A242" s="60" t="s">
        <v>895</v>
      </c>
      <c r="B242" s="60" t="s">
        <v>768</v>
      </c>
      <c r="C242" s="60" t="s">
        <v>769</v>
      </c>
      <c r="D242" s="60" t="s">
        <v>770</v>
      </c>
      <c r="E242" s="61" t="s">
        <v>46</v>
      </c>
      <c r="F242" s="62" t="s">
        <v>46</v>
      </c>
      <c r="G242" s="63" t="s">
        <v>46</v>
      </c>
      <c r="H242" s="64"/>
      <c r="I242" s="64" t="s">
        <v>47</v>
      </c>
      <c r="J242" s="65">
        <v>1</v>
      </c>
      <c r="K242" s="66">
        <f>13840</f>
        <v>13840</v>
      </c>
      <c r="L242" s="67" t="s">
        <v>853</v>
      </c>
      <c r="M242" s="66">
        <f>13990</f>
        <v>13990</v>
      </c>
      <c r="N242" s="67" t="s">
        <v>84</v>
      </c>
      <c r="O242" s="66">
        <f>12920</f>
        <v>12920</v>
      </c>
      <c r="P242" s="67" t="s">
        <v>69</v>
      </c>
      <c r="Q242" s="66">
        <f>13490</f>
        <v>13490</v>
      </c>
      <c r="R242" s="67" t="s">
        <v>873</v>
      </c>
      <c r="S242" s="68">
        <f>13421.9</f>
        <v>13421.9</v>
      </c>
      <c r="T242" s="65">
        <f>3243</f>
        <v>3243</v>
      </c>
      <c r="U242" s="65" t="str">
        <f>"－"</f>
        <v>－</v>
      </c>
      <c r="V242" s="65">
        <f>43779010</f>
        <v>43779010</v>
      </c>
      <c r="W242" s="65" t="str">
        <f>"－"</f>
        <v>－</v>
      </c>
      <c r="X242" s="69">
        <f>21</f>
        <v>21</v>
      </c>
    </row>
    <row r="243" spans="1:24">
      <c r="A243" s="60" t="s">
        <v>895</v>
      </c>
      <c r="B243" s="60" t="s">
        <v>771</v>
      </c>
      <c r="C243" s="60" t="s">
        <v>772</v>
      </c>
      <c r="D243" s="60" t="s">
        <v>773</v>
      </c>
      <c r="E243" s="61" t="s">
        <v>46</v>
      </c>
      <c r="F243" s="62" t="s">
        <v>46</v>
      </c>
      <c r="G243" s="63" t="s">
        <v>46</v>
      </c>
      <c r="H243" s="64"/>
      <c r="I243" s="64" t="s">
        <v>47</v>
      </c>
      <c r="J243" s="65">
        <v>1</v>
      </c>
      <c r="K243" s="66">
        <f>2165</f>
        <v>2165</v>
      </c>
      <c r="L243" s="67" t="s">
        <v>853</v>
      </c>
      <c r="M243" s="66">
        <f>2199</f>
        <v>2199</v>
      </c>
      <c r="N243" s="67" t="s">
        <v>613</v>
      </c>
      <c r="O243" s="66">
        <f>2128</f>
        <v>2128</v>
      </c>
      <c r="P243" s="67" t="s">
        <v>853</v>
      </c>
      <c r="Q243" s="66">
        <f>2197</f>
        <v>2197</v>
      </c>
      <c r="R243" s="67" t="s">
        <v>873</v>
      </c>
      <c r="S243" s="68">
        <f>2171.14</f>
        <v>2171.14</v>
      </c>
      <c r="T243" s="65">
        <f>302930</f>
        <v>302930</v>
      </c>
      <c r="U243" s="65" t="str">
        <f>"－"</f>
        <v>－</v>
      </c>
      <c r="V243" s="65">
        <f>655266755</f>
        <v>655266755</v>
      </c>
      <c r="W243" s="65" t="str">
        <f>"－"</f>
        <v>－</v>
      </c>
      <c r="X243" s="69">
        <f>21</f>
        <v>21</v>
      </c>
    </row>
    <row r="244" spans="1:24">
      <c r="A244" s="60" t="s">
        <v>895</v>
      </c>
      <c r="B244" s="60" t="s">
        <v>774</v>
      </c>
      <c r="C244" s="60" t="s">
        <v>775</v>
      </c>
      <c r="D244" s="60" t="s">
        <v>776</v>
      </c>
      <c r="E244" s="61" t="s">
        <v>46</v>
      </c>
      <c r="F244" s="62" t="s">
        <v>46</v>
      </c>
      <c r="G244" s="63" t="s">
        <v>46</v>
      </c>
      <c r="H244" s="64"/>
      <c r="I244" s="64" t="s">
        <v>47</v>
      </c>
      <c r="J244" s="65">
        <v>10</v>
      </c>
      <c r="K244" s="66">
        <f>1380</f>
        <v>1380</v>
      </c>
      <c r="L244" s="67" t="s">
        <v>853</v>
      </c>
      <c r="M244" s="66">
        <f>1471</f>
        <v>1471</v>
      </c>
      <c r="N244" s="67" t="s">
        <v>77</v>
      </c>
      <c r="O244" s="66">
        <f>1351</f>
        <v>1351</v>
      </c>
      <c r="P244" s="67" t="s">
        <v>853</v>
      </c>
      <c r="Q244" s="66">
        <f>1386</f>
        <v>1386</v>
      </c>
      <c r="R244" s="67" t="s">
        <v>873</v>
      </c>
      <c r="S244" s="68">
        <f>1401.37</f>
        <v>1401.37</v>
      </c>
      <c r="T244" s="65">
        <f>5500</f>
        <v>5500</v>
      </c>
      <c r="U244" s="65" t="str">
        <f>"－"</f>
        <v>－</v>
      </c>
      <c r="V244" s="65">
        <f>7718740</f>
        <v>7718740</v>
      </c>
      <c r="W244" s="65" t="str">
        <f>"－"</f>
        <v>－</v>
      </c>
      <c r="X244" s="69">
        <f>19</f>
        <v>19</v>
      </c>
    </row>
    <row r="245" spans="1:24">
      <c r="A245" s="60" t="s">
        <v>895</v>
      </c>
      <c r="B245" s="60" t="s">
        <v>777</v>
      </c>
      <c r="C245" s="60" t="s">
        <v>778</v>
      </c>
      <c r="D245" s="60" t="s">
        <v>779</v>
      </c>
      <c r="E245" s="61" t="s">
        <v>46</v>
      </c>
      <c r="F245" s="62" t="s">
        <v>46</v>
      </c>
      <c r="G245" s="63" t="s">
        <v>46</v>
      </c>
      <c r="H245" s="64"/>
      <c r="I245" s="64" t="s">
        <v>47</v>
      </c>
      <c r="J245" s="65">
        <v>10</v>
      </c>
      <c r="K245" s="66">
        <f>1001</f>
        <v>1001</v>
      </c>
      <c r="L245" s="67" t="s">
        <v>853</v>
      </c>
      <c r="M245" s="66">
        <f>1011</f>
        <v>1011</v>
      </c>
      <c r="N245" s="67" t="s">
        <v>854</v>
      </c>
      <c r="O245" s="66">
        <f>1000</f>
        <v>1000</v>
      </c>
      <c r="P245" s="67" t="s">
        <v>853</v>
      </c>
      <c r="Q245" s="66">
        <f>1009</f>
        <v>1009</v>
      </c>
      <c r="R245" s="67" t="s">
        <v>873</v>
      </c>
      <c r="S245" s="68">
        <f>1007.24</f>
        <v>1007.24</v>
      </c>
      <c r="T245" s="65">
        <f>779990</f>
        <v>779990</v>
      </c>
      <c r="U245" s="65">
        <f>408580</f>
        <v>408580</v>
      </c>
      <c r="V245" s="65">
        <f>787315468</f>
        <v>787315468</v>
      </c>
      <c r="W245" s="65">
        <f>412941648</f>
        <v>412941648</v>
      </c>
      <c r="X245" s="69">
        <f>21</f>
        <v>21</v>
      </c>
    </row>
    <row r="246" spans="1:24">
      <c r="A246" s="60" t="s">
        <v>895</v>
      </c>
      <c r="B246" s="60" t="s">
        <v>780</v>
      </c>
      <c r="C246" s="60" t="s">
        <v>781</v>
      </c>
      <c r="D246" s="60" t="s">
        <v>782</v>
      </c>
      <c r="E246" s="61" t="s">
        <v>46</v>
      </c>
      <c r="F246" s="62" t="s">
        <v>46</v>
      </c>
      <c r="G246" s="63" t="s">
        <v>46</v>
      </c>
      <c r="H246" s="64"/>
      <c r="I246" s="64" t="s">
        <v>47</v>
      </c>
      <c r="J246" s="65">
        <v>10</v>
      </c>
      <c r="K246" s="66">
        <f>2066</f>
        <v>2066</v>
      </c>
      <c r="L246" s="67" t="s">
        <v>853</v>
      </c>
      <c r="M246" s="66">
        <f>2152</f>
        <v>2152</v>
      </c>
      <c r="N246" s="67" t="s">
        <v>77</v>
      </c>
      <c r="O246" s="66">
        <f>2024</f>
        <v>2024</v>
      </c>
      <c r="P246" s="67" t="s">
        <v>853</v>
      </c>
      <c r="Q246" s="66">
        <f>2092</f>
        <v>2092</v>
      </c>
      <c r="R246" s="67" t="s">
        <v>873</v>
      </c>
      <c r="S246" s="68">
        <f>2072.24</f>
        <v>2072.2399999999998</v>
      </c>
      <c r="T246" s="65">
        <f>81680</f>
        <v>81680</v>
      </c>
      <c r="U246" s="65" t="str">
        <f>"－"</f>
        <v>－</v>
      </c>
      <c r="V246" s="65">
        <f>170596050</f>
        <v>170596050</v>
      </c>
      <c r="W246" s="65" t="str">
        <f>"－"</f>
        <v>－</v>
      </c>
      <c r="X246" s="69">
        <f>21</f>
        <v>21</v>
      </c>
    </row>
    <row r="247" spans="1:24">
      <c r="A247" s="60" t="s">
        <v>895</v>
      </c>
      <c r="B247" s="60" t="s">
        <v>783</v>
      </c>
      <c r="C247" s="60" t="s">
        <v>784</v>
      </c>
      <c r="D247" s="60" t="s">
        <v>785</v>
      </c>
      <c r="E247" s="61" t="s">
        <v>46</v>
      </c>
      <c r="F247" s="62" t="s">
        <v>46</v>
      </c>
      <c r="G247" s="63" t="s">
        <v>46</v>
      </c>
      <c r="H247" s="64"/>
      <c r="I247" s="64" t="s">
        <v>47</v>
      </c>
      <c r="J247" s="65">
        <v>10</v>
      </c>
      <c r="K247" s="66">
        <f>2060</f>
        <v>2060</v>
      </c>
      <c r="L247" s="67" t="s">
        <v>853</v>
      </c>
      <c r="M247" s="66">
        <f>2105</f>
        <v>2105</v>
      </c>
      <c r="N247" s="67" t="s">
        <v>873</v>
      </c>
      <c r="O247" s="66">
        <f>2025</f>
        <v>2025</v>
      </c>
      <c r="P247" s="67" t="s">
        <v>853</v>
      </c>
      <c r="Q247" s="66">
        <f>2096</f>
        <v>2096</v>
      </c>
      <c r="R247" s="67" t="s">
        <v>873</v>
      </c>
      <c r="S247" s="68">
        <f>2078.1</f>
        <v>2078.1</v>
      </c>
      <c r="T247" s="65">
        <f>513700</f>
        <v>513700</v>
      </c>
      <c r="U247" s="65">
        <f>97890</f>
        <v>97890</v>
      </c>
      <c r="V247" s="65">
        <f>1062453977</f>
        <v>1062453977</v>
      </c>
      <c r="W247" s="65">
        <f>200312217</f>
        <v>200312217</v>
      </c>
      <c r="X247" s="69">
        <f>21</f>
        <v>21</v>
      </c>
    </row>
    <row r="248" spans="1:24">
      <c r="A248" s="60" t="s">
        <v>895</v>
      </c>
      <c r="B248" s="60" t="s">
        <v>786</v>
      </c>
      <c r="C248" s="60" t="s">
        <v>787</v>
      </c>
      <c r="D248" s="60" t="s">
        <v>788</v>
      </c>
      <c r="E248" s="61" t="s">
        <v>46</v>
      </c>
      <c r="F248" s="62" t="s">
        <v>46</v>
      </c>
      <c r="G248" s="63" t="s">
        <v>46</v>
      </c>
      <c r="H248" s="64"/>
      <c r="I248" s="64" t="s">
        <v>47</v>
      </c>
      <c r="J248" s="65">
        <v>10</v>
      </c>
      <c r="K248" s="66">
        <f>1984</f>
        <v>1984</v>
      </c>
      <c r="L248" s="67" t="s">
        <v>853</v>
      </c>
      <c r="M248" s="66">
        <f>2012</f>
        <v>2012</v>
      </c>
      <c r="N248" s="67" t="s">
        <v>77</v>
      </c>
      <c r="O248" s="66">
        <f>1954</f>
        <v>1954</v>
      </c>
      <c r="P248" s="67" t="s">
        <v>49</v>
      </c>
      <c r="Q248" s="66">
        <f>1961</f>
        <v>1961</v>
      </c>
      <c r="R248" s="67" t="s">
        <v>613</v>
      </c>
      <c r="S248" s="68">
        <f>1973.82</f>
        <v>1973.82</v>
      </c>
      <c r="T248" s="65">
        <f>1550</f>
        <v>1550</v>
      </c>
      <c r="U248" s="65" t="str">
        <f>"－"</f>
        <v>－</v>
      </c>
      <c r="V248" s="65">
        <f>3057010</f>
        <v>3057010</v>
      </c>
      <c r="W248" s="65" t="str">
        <f>"－"</f>
        <v>－</v>
      </c>
      <c r="X248" s="69">
        <f>11</f>
        <v>11</v>
      </c>
    </row>
    <row r="249" spans="1:24">
      <c r="A249" s="60" t="s">
        <v>895</v>
      </c>
      <c r="B249" s="60" t="s">
        <v>789</v>
      </c>
      <c r="C249" s="60" t="s">
        <v>790</v>
      </c>
      <c r="D249" s="60" t="s">
        <v>791</v>
      </c>
      <c r="E249" s="61" t="s">
        <v>46</v>
      </c>
      <c r="F249" s="62" t="s">
        <v>46</v>
      </c>
      <c r="G249" s="63" t="s">
        <v>46</v>
      </c>
      <c r="H249" s="64"/>
      <c r="I249" s="64" t="s">
        <v>47</v>
      </c>
      <c r="J249" s="65">
        <v>1</v>
      </c>
      <c r="K249" s="66">
        <f>12640</f>
        <v>12640</v>
      </c>
      <c r="L249" s="67" t="s">
        <v>853</v>
      </c>
      <c r="M249" s="66">
        <f>13140</f>
        <v>13140</v>
      </c>
      <c r="N249" s="67" t="s">
        <v>873</v>
      </c>
      <c r="O249" s="66">
        <f>12600</f>
        <v>12600</v>
      </c>
      <c r="P249" s="67" t="s">
        <v>853</v>
      </c>
      <c r="Q249" s="66">
        <f>13090</f>
        <v>13090</v>
      </c>
      <c r="R249" s="67" t="s">
        <v>873</v>
      </c>
      <c r="S249" s="68">
        <f>12905.71</f>
        <v>12905.71</v>
      </c>
      <c r="T249" s="65">
        <f>506840</f>
        <v>506840</v>
      </c>
      <c r="U249" s="65">
        <f>62053</f>
        <v>62053</v>
      </c>
      <c r="V249" s="65">
        <f>6534802152</f>
        <v>6534802152</v>
      </c>
      <c r="W249" s="65">
        <f>803768592</f>
        <v>803768592</v>
      </c>
      <c r="X249" s="69">
        <f>21</f>
        <v>21</v>
      </c>
    </row>
    <row r="250" spans="1:24">
      <c r="A250" s="60" t="s">
        <v>895</v>
      </c>
      <c r="B250" s="60" t="s">
        <v>792</v>
      </c>
      <c r="C250" s="60" t="s">
        <v>793</v>
      </c>
      <c r="D250" s="60" t="s">
        <v>794</v>
      </c>
      <c r="E250" s="61" t="s">
        <v>46</v>
      </c>
      <c r="F250" s="62" t="s">
        <v>46</v>
      </c>
      <c r="G250" s="63" t="s">
        <v>46</v>
      </c>
      <c r="H250" s="64"/>
      <c r="I250" s="64" t="s">
        <v>47</v>
      </c>
      <c r="J250" s="65">
        <v>1</v>
      </c>
      <c r="K250" s="66">
        <f>12300</f>
        <v>12300</v>
      </c>
      <c r="L250" s="67" t="s">
        <v>853</v>
      </c>
      <c r="M250" s="66">
        <f>12690</f>
        <v>12690</v>
      </c>
      <c r="N250" s="67" t="s">
        <v>873</v>
      </c>
      <c r="O250" s="66">
        <f>12260</f>
        <v>12260</v>
      </c>
      <c r="P250" s="67" t="s">
        <v>268</v>
      </c>
      <c r="Q250" s="66">
        <f>12630</f>
        <v>12630</v>
      </c>
      <c r="R250" s="67" t="s">
        <v>873</v>
      </c>
      <c r="S250" s="68">
        <f>12497.14</f>
        <v>12497.14</v>
      </c>
      <c r="T250" s="65">
        <f>124312</f>
        <v>124312</v>
      </c>
      <c r="U250" s="65">
        <f>14</f>
        <v>14</v>
      </c>
      <c r="V250" s="65">
        <f>1552360695</f>
        <v>1552360695</v>
      </c>
      <c r="W250" s="65">
        <f>175145</f>
        <v>175145</v>
      </c>
      <c r="X250" s="69">
        <f>21</f>
        <v>21</v>
      </c>
    </row>
    <row r="251" spans="1:24">
      <c r="A251" s="60" t="s">
        <v>895</v>
      </c>
      <c r="B251" s="60" t="s">
        <v>795</v>
      </c>
      <c r="C251" s="60" t="s">
        <v>796</v>
      </c>
      <c r="D251" s="60" t="s">
        <v>797</v>
      </c>
      <c r="E251" s="61" t="s">
        <v>46</v>
      </c>
      <c r="F251" s="62" t="s">
        <v>46</v>
      </c>
      <c r="G251" s="63" t="s">
        <v>46</v>
      </c>
      <c r="H251" s="64"/>
      <c r="I251" s="64" t="s">
        <v>47</v>
      </c>
      <c r="J251" s="65">
        <v>1</v>
      </c>
      <c r="K251" s="66">
        <f>26280</f>
        <v>26280</v>
      </c>
      <c r="L251" s="67" t="s">
        <v>853</v>
      </c>
      <c r="M251" s="66">
        <f>26590</f>
        <v>26590</v>
      </c>
      <c r="N251" s="67" t="s">
        <v>77</v>
      </c>
      <c r="O251" s="66">
        <f>25150</f>
        <v>25150</v>
      </c>
      <c r="P251" s="67" t="s">
        <v>268</v>
      </c>
      <c r="Q251" s="66">
        <f>25440</f>
        <v>25440</v>
      </c>
      <c r="R251" s="67" t="s">
        <v>873</v>
      </c>
      <c r="S251" s="68">
        <f>25974.76</f>
        <v>25974.76</v>
      </c>
      <c r="T251" s="65">
        <f>501</f>
        <v>501</v>
      </c>
      <c r="U251" s="65" t="str">
        <f>"－"</f>
        <v>－</v>
      </c>
      <c r="V251" s="65">
        <f>12950680</f>
        <v>12950680</v>
      </c>
      <c r="W251" s="65" t="str">
        <f>"－"</f>
        <v>－</v>
      </c>
      <c r="X251" s="69">
        <f>21</f>
        <v>21</v>
      </c>
    </row>
    <row r="252" spans="1:24">
      <c r="A252" s="60" t="s">
        <v>895</v>
      </c>
      <c r="B252" s="60" t="s">
        <v>798</v>
      </c>
      <c r="C252" s="60" t="s">
        <v>799</v>
      </c>
      <c r="D252" s="60" t="s">
        <v>800</v>
      </c>
      <c r="E252" s="61" t="s">
        <v>46</v>
      </c>
      <c r="F252" s="62" t="s">
        <v>46</v>
      </c>
      <c r="G252" s="63" t="s">
        <v>46</v>
      </c>
      <c r="H252" s="64"/>
      <c r="I252" s="64" t="s">
        <v>47</v>
      </c>
      <c r="J252" s="65">
        <v>1</v>
      </c>
      <c r="K252" s="66">
        <f>2711</f>
        <v>2711</v>
      </c>
      <c r="L252" s="67" t="s">
        <v>853</v>
      </c>
      <c r="M252" s="66">
        <f>2724</f>
        <v>2724</v>
      </c>
      <c r="N252" s="67" t="s">
        <v>132</v>
      </c>
      <c r="O252" s="66">
        <f>2700</f>
        <v>2700</v>
      </c>
      <c r="P252" s="67" t="s">
        <v>92</v>
      </c>
      <c r="Q252" s="66">
        <f>2713</f>
        <v>2713</v>
      </c>
      <c r="R252" s="67" t="s">
        <v>873</v>
      </c>
      <c r="S252" s="68">
        <f>2712.95</f>
        <v>2712.95</v>
      </c>
      <c r="T252" s="65">
        <f>1124500</f>
        <v>1124500</v>
      </c>
      <c r="U252" s="65">
        <f>739317</f>
        <v>739317</v>
      </c>
      <c r="V252" s="65">
        <f>3053975480</f>
        <v>3053975480</v>
      </c>
      <c r="W252" s="65">
        <f>2010661791</f>
        <v>2010661791</v>
      </c>
      <c r="X252" s="69">
        <f>21</f>
        <v>21</v>
      </c>
    </row>
    <row r="253" spans="1:24">
      <c r="A253" s="60" t="s">
        <v>895</v>
      </c>
      <c r="B253" s="60" t="s">
        <v>801</v>
      </c>
      <c r="C253" s="60" t="s">
        <v>802</v>
      </c>
      <c r="D253" s="60" t="s">
        <v>803</v>
      </c>
      <c r="E253" s="61" t="s">
        <v>46</v>
      </c>
      <c r="F253" s="62" t="s">
        <v>46</v>
      </c>
      <c r="G253" s="63" t="s">
        <v>46</v>
      </c>
      <c r="H253" s="64"/>
      <c r="I253" s="64" t="s">
        <v>47</v>
      </c>
      <c r="J253" s="65">
        <v>10</v>
      </c>
      <c r="K253" s="66">
        <f>2862</f>
        <v>2862</v>
      </c>
      <c r="L253" s="67" t="s">
        <v>853</v>
      </c>
      <c r="M253" s="66">
        <f>2956</f>
        <v>2956</v>
      </c>
      <c r="N253" s="67" t="s">
        <v>371</v>
      </c>
      <c r="O253" s="66">
        <f>2852</f>
        <v>2852</v>
      </c>
      <c r="P253" s="67" t="s">
        <v>853</v>
      </c>
      <c r="Q253" s="66">
        <f>2940</f>
        <v>2940</v>
      </c>
      <c r="R253" s="67" t="s">
        <v>873</v>
      </c>
      <c r="S253" s="68">
        <f>2919.67</f>
        <v>2919.67</v>
      </c>
      <c r="T253" s="65">
        <f>6807580</f>
        <v>6807580</v>
      </c>
      <c r="U253" s="65">
        <f>2928320</f>
        <v>2928320</v>
      </c>
      <c r="V253" s="65">
        <f>19800986244</f>
        <v>19800986244</v>
      </c>
      <c r="W253" s="65">
        <f>8532324944</f>
        <v>8532324944</v>
      </c>
      <c r="X253" s="69">
        <f>21</f>
        <v>21</v>
      </c>
    </row>
    <row r="254" spans="1:24">
      <c r="A254" s="60" t="s">
        <v>895</v>
      </c>
      <c r="B254" s="60" t="s">
        <v>804</v>
      </c>
      <c r="C254" s="60" t="s">
        <v>805</v>
      </c>
      <c r="D254" s="60" t="s">
        <v>806</v>
      </c>
      <c r="E254" s="61" t="s">
        <v>46</v>
      </c>
      <c r="F254" s="62" t="s">
        <v>46</v>
      </c>
      <c r="G254" s="63" t="s">
        <v>46</v>
      </c>
      <c r="H254" s="64"/>
      <c r="I254" s="64" t="s">
        <v>47</v>
      </c>
      <c r="J254" s="65">
        <v>1</v>
      </c>
      <c r="K254" s="66">
        <f>2583</f>
        <v>2583</v>
      </c>
      <c r="L254" s="67" t="s">
        <v>853</v>
      </c>
      <c r="M254" s="66">
        <f>2730</f>
        <v>2730</v>
      </c>
      <c r="N254" s="67" t="s">
        <v>873</v>
      </c>
      <c r="O254" s="66">
        <f>2581</f>
        <v>2581</v>
      </c>
      <c r="P254" s="67" t="s">
        <v>853</v>
      </c>
      <c r="Q254" s="66">
        <f>2723</f>
        <v>2723</v>
      </c>
      <c r="R254" s="67" t="s">
        <v>873</v>
      </c>
      <c r="S254" s="68">
        <f>2678.62</f>
        <v>2678.62</v>
      </c>
      <c r="T254" s="65">
        <f>5436275</f>
        <v>5436275</v>
      </c>
      <c r="U254" s="65">
        <f>2462005</f>
        <v>2462005</v>
      </c>
      <c r="V254" s="65">
        <f>14540764217</f>
        <v>14540764217</v>
      </c>
      <c r="W254" s="65">
        <f>6553093658</f>
        <v>6553093658</v>
      </c>
      <c r="X254" s="69">
        <f>21</f>
        <v>21</v>
      </c>
    </row>
    <row r="255" spans="1:24">
      <c r="A255" s="60" t="s">
        <v>895</v>
      </c>
      <c r="B255" s="60" t="s">
        <v>807</v>
      </c>
      <c r="C255" s="60" t="s">
        <v>808</v>
      </c>
      <c r="D255" s="60" t="s">
        <v>809</v>
      </c>
      <c r="E255" s="61" t="s">
        <v>46</v>
      </c>
      <c r="F255" s="62" t="s">
        <v>46</v>
      </c>
      <c r="G255" s="63" t="s">
        <v>46</v>
      </c>
      <c r="H255" s="64"/>
      <c r="I255" s="64" t="s">
        <v>47</v>
      </c>
      <c r="J255" s="65">
        <v>1</v>
      </c>
      <c r="K255" s="66">
        <f>1956</f>
        <v>1956</v>
      </c>
      <c r="L255" s="67" t="s">
        <v>853</v>
      </c>
      <c r="M255" s="66">
        <f>1956</f>
        <v>1956</v>
      </c>
      <c r="N255" s="67" t="s">
        <v>853</v>
      </c>
      <c r="O255" s="66">
        <f>1818</f>
        <v>1818</v>
      </c>
      <c r="P255" s="67" t="s">
        <v>874</v>
      </c>
      <c r="Q255" s="66">
        <f>1827</f>
        <v>1827</v>
      </c>
      <c r="R255" s="67" t="s">
        <v>873</v>
      </c>
      <c r="S255" s="68">
        <f>1888.67</f>
        <v>1888.67</v>
      </c>
      <c r="T255" s="65">
        <f>865916</f>
        <v>865916</v>
      </c>
      <c r="U255" s="65">
        <f>520000</f>
        <v>520000</v>
      </c>
      <c r="V255" s="65">
        <f>1653345312</f>
        <v>1653345312</v>
      </c>
      <c r="W255" s="65">
        <f>992217200</f>
        <v>992217200</v>
      </c>
      <c r="X255" s="69">
        <f>21</f>
        <v>21</v>
      </c>
    </row>
    <row r="256" spans="1:24">
      <c r="A256" s="60" t="s">
        <v>895</v>
      </c>
      <c r="B256" s="60" t="s">
        <v>810</v>
      </c>
      <c r="C256" s="60" t="s">
        <v>811</v>
      </c>
      <c r="D256" s="60" t="s">
        <v>812</v>
      </c>
      <c r="E256" s="61" t="s">
        <v>46</v>
      </c>
      <c r="F256" s="62" t="s">
        <v>46</v>
      </c>
      <c r="G256" s="63" t="s">
        <v>46</v>
      </c>
      <c r="H256" s="64"/>
      <c r="I256" s="64" t="s">
        <v>47</v>
      </c>
      <c r="J256" s="65">
        <v>1</v>
      </c>
      <c r="K256" s="66">
        <f>1120</f>
        <v>1120</v>
      </c>
      <c r="L256" s="67" t="s">
        <v>853</v>
      </c>
      <c r="M256" s="66">
        <f>1162</f>
        <v>1162</v>
      </c>
      <c r="N256" s="67" t="s">
        <v>131</v>
      </c>
      <c r="O256" s="66">
        <f>1100</f>
        <v>1100</v>
      </c>
      <c r="P256" s="67" t="s">
        <v>853</v>
      </c>
      <c r="Q256" s="66">
        <f>1136</f>
        <v>1136</v>
      </c>
      <c r="R256" s="67" t="s">
        <v>873</v>
      </c>
      <c r="S256" s="68">
        <f>1124.57</f>
        <v>1124.57</v>
      </c>
      <c r="T256" s="65">
        <f>218796</f>
        <v>218796</v>
      </c>
      <c r="U256" s="65">
        <f>80001</f>
        <v>80001</v>
      </c>
      <c r="V256" s="65">
        <f>245842784</f>
        <v>245842784</v>
      </c>
      <c r="W256" s="65">
        <f>88998176</f>
        <v>88998176</v>
      </c>
      <c r="X256" s="69">
        <f>21</f>
        <v>21</v>
      </c>
    </row>
    <row r="257" spans="1:24">
      <c r="A257" s="60" t="s">
        <v>895</v>
      </c>
      <c r="B257" s="60" t="s">
        <v>813</v>
      </c>
      <c r="C257" s="60" t="s">
        <v>814</v>
      </c>
      <c r="D257" s="60" t="s">
        <v>815</v>
      </c>
      <c r="E257" s="61" t="s">
        <v>46</v>
      </c>
      <c r="F257" s="62" t="s">
        <v>46</v>
      </c>
      <c r="G257" s="63" t="s">
        <v>46</v>
      </c>
      <c r="H257" s="64"/>
      <c r="I257" s="64" t="s">
        <v>47</v>
      </c>
      <c r="J257" s="65">
        <v>10</v>
      </c>
      <c r="K257" s="66">
        <f>1140</f>
        <v>1140</v>
      </c>
      <c r="L257" s="67" t="s">
        <v>853</v>
      </c>
      <c r="M257" s="66">
        <f>1170</f>
        <v>1170</v>
      </c>
      <c r="N257" s="67" t="s">
        <v>131</v>
      </c>
      <c r="O257" s="66">
        <f>1120</f>
        <v>1120</v>
      </c>
      <c r="P257" s="67" t="s">
        <v>853</v>
      </c>
      <c r="Q257" s="66">
        <f>1156</f>
        <v>1156</v>
      </c>
      <c r="R257" s="67" t="s">
        <v>873</v>
      </c>
      <c r="S257" s="68">
        <f>1144.9</f>
        <v>1144.9000000000001</v>
      </c>
      <c r="T257" s="65">
        <f>47710</f>
        <v>47710</v>
      </c>
      <c r="U257" s="65" t="str">
        <f>"－"</f>
        <v>－</v>
      </c>
      <c r="V257" s="65">
        <f>54653810</f>
        <v>54653810</v>
      </c>
      <c r="W257" s="65" t="str">
        <f>"－"</f>
        <v>－</v>
      </c>
      <c r="X257" s="69">
        <f>21</f>
        <v>21</v>
      </c>
    </row>
    <row r="258" spans="1:24">
      <c r="A258" s="60" t="s">
        <v>895</v>
      </c>
      <c r="B258" s="60" t="s">
        <v>816</v>
      </c>
      <c r="C258" s="60" t="s">
        <v>817</v>
      </c>
      <c r="D258" s="60" t="s">
        <v>818</v>
      </c>
      <c r="E258" s="61" t="s">
        <v>46</v>
      </c>
      <c r="F258" s="62" t="s">
        <v>46</v>
      </c>
      <c r="G258" s="63" t="s">
        <v>46</v>
      </c>
      <c r="H258" s="64"/>
      <c r="I258" s="64" t="s">
        <v>47</v>
      </c>
      <c r="J258" s="65">
        <v>10</v>
      </c>
      <c r="K258" s="66">
        <f>264</f>
        <v>264</v>
      </c>
      <c r="L258" s="67" t="s">
        <v>853</v>
      </c>
      <c r="M258" s="66">
        <f>265</f>
        <v>265</v>
      </c>
      <c r="N258" s="67" t="s">
        <v>857</v>
      </c>
      <c r="O258" s="66">
        <f>253</f>
        <v>253</v>
      </c>
      <c r="P258" s="67" t="s">
        <v>132</v>
      </c>
      <c r="Q258" s="66">
        <f>257</f>
        <v>257</v>
      </c>
      <c r="R258" s="67" t="s">
        <v>873</v>
      </c>
      <c r="S258" s="68">
        <f>261.43</f>
        <v>261.43</v>
      </c>
      <c r="T258" s="65">
        <f>31380</f>
        <v>31380</v>
      </c>
      <c r="U258" s="65">
        <f>40</f>
        <v>40</v>
      </c>
      <c r="V258" s="65">
        <f>8159440</f>
        <v>8159440</v>
      </c>
      <c r="W258" s="65">
        <f>10490</f>
        <v>10490</v>
      </c>
      <c r="X258" s="69">
        <f>21</f>
        <v>21</v>
      </c>
    </row>
    <row r="259" spans="1:24">
      <c r="A259" s="60" t="s">
        <v>895</v>
      </c>
      <c r="B259" s="60" t="s">
        <v>819</v>
      </c>
      <c r="C259" s="60" t="s">
        <v>820</v>
      </c>
      <c r="D259" s="60" t="s">
        <v>821</v>
      </c>
      <c r="E259" s="61" t="s">
        <v>46</v>
      </c>
      <c r="F259" s="62" t="s">
        <v>46</v>
      </c>
      <c r="G259" s="63" t="s">
        <v>46</v>
      </c>
      <c r="H259" s="64"/>
      <c r="I259" s="64" t="s">
        <v>47</v>
      </c>
      <c r="J259" s="65">
        <v>10</v>
      </c>
      <c r="K259" s="66">
        <f>2504</f>
        <v>2504</v>
      </c>
      <c r="L259" s="67" t="s">
        <v>853</v>
      </c>
      <c r="M259" s="66">
        <f>2632</f>
        <v>2632</v>
      </c>
      <c r="N259" s="67" t="s">
        <v>613</v>
      </c>
      <c r="O259" s="66">
        <f>2499</f>
        <v>2499</v>
      </c>
      <c r="P259" s="67" t="s">
        <v>853</v>
      </c>
      <c r="Q259" s="66">
        <f>2602</f>
        <v>2602</v>
      </c>
      <c r="R259" s="67" t="s">
        <v>873</v>
      </c>
      <c r="S259" s="68">
        <f>2587.33</f>
        <v>2587.33</v>
      </c>
      <c r="T259" s="65">
        <f>1623870</f>
        <v>1623870</v>
      </c>
      <c r="U259" s="65">
        <f>110</f>
        <v>110</v>
      </c>
      <c r="V259" s="65">
        <f>4177207030</f>
        <v>4177207030</v>
      </c>
      <c r="W259" s="65">
        <f>284710</f>
        <v>284710</v>
      </c>
      <c r="X259" s="69">
        <f>21</f>
        <v>21</v>
      </c>
    </row>
    <row r="260" spans="1:24">
      <c r="A260" s="60" t="s">
        <v>895</v>
      </c>
      <c r="B260" s="60" t="s">
        <v>822</v>
      </c>
      <c r="C260" s="60" t="s">
        <v>823</v>
      </c>
      <c r="D260" s="60" t="s">
        <v>824</v>
      </c>
      <c r="E260" s="61" t="s">
        <v>46</v>
      </c>
      <c r="F260" s="62" t="s">
        <v>46</v>
      </c>
      <c r="G260" s="63" t="s">
        <v>46</v>
      </c>
      <c r="H260" s="64"/>
      <c r="I260" s="64" t="s">
        <v>47</v>
      </c>
      <c r="J260" s="65">
        <v>10</v>
      </c>
      <c r="K260" s="66">
        <f>2363</f>
        <v>2363</v>
      </c>
      <c r="L260" s="67" t="s">
        <v>853</v>
      </c>
      <c r="M260" s="66">
        <f>2528</f>
        <v>2528</v>
      </c>
      <c r="N260" s="67" t="s">
        <v>613</v>
      </c>
      <c r="O260" s="66">
        <f>2361</f>
        <v>2361</v>
      </c>
      <c r="P260" s="67" t="s">
        <v>853</v>
      </c>
      <c r="Q260" s="66">
        <f>2495</f>
        <v>2495</v>
      </c>
      <c r="R260" s="67" t="s">
        <v>873</v>
      </c>
      <c r="S260" s="68">
        <f>2476.62</f>
        <v>2476.62</v>
      </c>
      <c r="T260" s="65">
        <f>7183300</f>
        <v>7183300</v>
      </c>
      <c r="U260" s="65">
        <f>2608210</f>
        <v>2608210</v>
      </c>
      <c r="V260" s="65">
        <f>17789421239</f>
        <v>17789421239</v>
      </c>
      <c r="W260" s="65">
        <f>6407749279</f>
        <v>6407749279</v>
      </c>
      <c r="X260" s="69">
        <f>21</f>
        <v>21</v>
      </c>
    </row>
    <row r="261" spans="1:24">
      <c r="A261" s="60" t="s">
        <v>895</v>
      </c>
      <c r="B261" s="60" t="s">
        <v>825</v>
      </c>
      <c r="C261" s="60" t="s">
        <v>826</v>
      </c>
      <c r="D261" s="60" t="s">
        <v>827</v>
      </c>
      <c r="E261" s="61" t="s">
        <v>46</v>
      </c>
      <c r="F261" s="62" t="s">
        <v>46</v>
      </c>
      <c r="G261" s="63" t="s">
        <v>46</v>
      </c>
      <c r="H261" s="64"/>
      <c r="I261" s="64" t="s">
        <v>47</v>
      </c>
      <c r="J261" s="65">
        <v>1</v>
      </c>
      <c r="K261" s="66">
        <f>2639</f>
        <v>2639</v>
      </c>
      <c r="L261" s="67" t="s">
        <v>853</v>
      </c>
      <c r="M261" s="66">
        <f>2639</f>
        <v>2639</v>
      </c>
      <c r="N261" s="67" t="s">
        <v>853</v>
      </c>
      <c r="O261" s="66">
        <f>2547</f>
        <v>2547</v>
      </c>
      <c r="P261" s="67" t="s">
        <v>240</v>
      </c>
      <c r="Q261" s="66">
        <f>2572</f>
        <v>2572</v>
      </c>
      <c r="R261" s="67" t="s">
        <v>873</v>
      </c>
      <c r="S261" s="68">
        <f>2581.29</f>
        <v>2581.29</v>
      </c>
      <c r="T261" s="65">
        <f>699521</f>
        <v>699521</v>
      </c>
      <c r="U261" s="65">
        <f>400000</f>
        <v>400000</v>
      </c>
      <c r="V261" s="65">
        <f>1795888666</f>
        <v>1795888666</v>
      </c>
      <c r="W261" s="65">
        <f>1021840000</f>
        <v>1021840000</v>
      </c>
      <c r="X261" s="69">
        <f>21</f>
        <v>21</v>
      </c>
    </row>
    <row r="262" spans="1:24">
      <c r="A262" s="60" t="s">
        <v>895</v>
      </c>
      <c r="B262" s="60" t="s">
        <v>828</v>
      </c>
      <c r="C262" s="60" t="s">
        <v>829</v>
      </c>
      <c r="D262" s="60" t="s">
        <v>830</v>
      </c>
      <c r="E262" s="61" t="s">
        <v>46</v>
      </c>
      <c r="F262" s="62" t="s">
        <v>46</v>
      </c>
      <c r="G262" s="63" t="s">
        <v>46</v>
      </c>
      <c r="H262" s="64"/>
      <c r="I262" s="64" t="s">
        <v>47</v>
      </c>
      <c r="J262" s="65">
        <v>1</v>
      </c>
      <c r="K262" s="66">
        <f>2109</f>
        <v>2109</v>
      </c>
      <c r="L262" s="67" t="s">
        <v>853</v>
      </c>
      <c r="M262" s="66">
        <f>2161</f>
        <v>2161</v>
      </c>
      <c r="N262" s="67" t="s">
        <v>132</v>
      </c>
      <c r="O262" s="66">
        <f>2083</f>
        <v>2083</v>
      </c>
      <c r="P262" s="67" t="s">
        <v>853</v>
      </c>
      <c r="Q262" s="66">
        <f>2126</f>
        <v>2126</v>
      </c>
      <c r="R262" s="67" t="s">
        <v>873</v>
      </c>
      <c r="S262" s="68">
        <f>2126.71</f>
        <v>2126.71</v>
      </c>
      <c r="T262" s="65">
        <f>627202</f>
        <v>627202</v>
      </c>
      <c r="U262" s="65">
        <f>19</f>
        <v>19</v>
      </c>
      <c r="V262" s="65">
        <f>1338492660</f>
        <v>1338492660</v>
      </c>
      <c r="W262" s="65">
        <f>40390</f>
        <v>40390</v>
      </c>
      <c r="X262" s="69">
        <f>21</f>
        <v>21</v>
      </c>
    </row>
    <row r="263" spans="1:24">
      <c r="A263" s="60" t="s">
        <v>895</v>
      </c>
      <c r="B263" s="60" t="s">
        <v>831</v>
      </c>
      <c r="C263" s="60" t="s">
        <v>832</v>
      </c>
      <c r="D263" s="60" t="s">
        <v>833</v>
      </c>
      <c r="E263" s="61" t="s">
        <v>46</v>
      </c>
      <c r="F263" s="62" t="s">
        <v>46</v>
      </c>
      <c r="G263" s="63" t="s">
        <v>46</v>
      </c>
      <c r="H263" s="64"/>
      <c r="I263" s="64" t="s">
        <v>47</v>
      </c>
      <c r="J263" s="65">
        <v>1</v>
      </c>
      <c r="K263" s="66">
        <f>2471</f>
        <v>2471</v>
      </c>
      <c r="L263" s="67" t="s">
        <v>853</v>
      </c>
      <c r="M263" s="66">
        <f>2515</f>
        <v>2515</v>
      </c>
      <c r="N263" s="67" t="s">
        <v>613</v>
      </c>
      <c r="O263" s="66">
        <f>2449</f>
        <v>2449</v>
      </c>
      <c r="P263" s="67" t="s">
        <v>853</v>
      </c>
      <c r="Q263" s="66">
        <f>2472</f>
        <v>2472</v>
      </c>
      <c r="R263" s="67" t="s">
        <v>873</v>
      </c>
      <c r="S263" s="68">
        <f>2480.9</f>
        <v>2480.9</v>
      </c>
      <c r="T263" s="65">
        <f>23252</f>
        <v>23252</v>
      </c>
      <c r="U263" s="65">
        <f>20130</f>
        <v>20130</v>
      </c>
      <c r="V263" s="65">
        <f>57907305</f>
        <v>57907305</v>
      </c>
      <c r="W263" s="65">
        <f>50153089</f>
        <v>50153089</v>
      </c>
      <c r="X263" s="69">
        <f>21</f>
        <v>21</v>
      </c>
    </row>
    <row r="264" spans="1:24">
      <c r="A264" s="60" t="s">
        <v>895</v>
      </c>
      <c r="B264" s="60" t="s">
        <v>834</v>
      </c>
      <c r="C264" s="60" t="s">
        <v>835</v>
      </c>
      <c r="D264" s="60" t="s">
        <v>836</v>
      </c>
      <c r="E264" s="61" t="s">
        <v>46</v>
      </c>
      <c r="F264" s="62" t="s">
        <v>46</v>
      </c>
      <c r="G264" s="63" t="s">
        <v>46</v>
      </c>
      <c r="H264" s="64"/>
      <c r="I264" s="64" t="s">
        <v>47</v>
      </c>
      <c r="J264" s="65">
        <v>1</v>
      </c>
      <c r="K264" s="66">
        <f>2512</f>
        <v>2512</v>
      </c>
      <c r="L264" s="67" t="s">
        <v>853</v>
      </c>
      <c r="M264" s="66">
        <f>2547</f>
        <v>2547</v>
      </c>
      <c r="N264" s="67" t="s">
        <v>84</v>
      </c>
      <c r="O264" s="66">
        <f>2500</f>
        <v>2500</v>
      </c>
      <c r="P264" s="67" t="s">
        <v>49</v>
      </c>
      <c r="Q264" s="66">
        <f>2507</f>
        <v>2507</v>
      </c>
      <c r="R264" s="67" t="s">
        <v>873</v>
      </c>
      <c r="S264" s="68">
        <f>2517.33</f>
        <v>2517.33</v>
      </c>
      <c r="T264" s="65">
        <f>1091</f>
        <v>1091</v>
      </c>
      <c r="U264" s="65" t="str">
        <f>"－"</f>
        <v>－</v>
      </c>
      <c r="V264" s="65">
        <f>2751668</f>
        <v>2751668</v>
      </c>
      <c r="W264" s="65" t="str">
        <f>"－"</f>
        <v>－</v>
      </c>
      <c r="X264" s="69">
        <f>18</f>
        <v>18</v>
      </c>
    </row>
    <row r="265" spans="1:24">
      <c r="A265" s="60" t="s">
        <v>895</v>
      </c>
      <c r="B265" s="60" t="s">
        <v>837</v>
      </c>
      <c r="C265" s="60" t="s">
        <v>838</v>
      </c>
      <c r="D265" s="60" t="s">
        <v>839</v>
      </c>
      <c r="E265" s="61" t="s">
        <v>46</v>
      </c>
      <c r="F265" s="62" t="s">
        <v>46</v>
      </c>
      <c r="G265" s="63" t="s">
        <v>46</v>
      </c>
      <c r="H265" s="64"/>
      <c r="I265" s="64" t="s">
        <v>47</v>
      </c>
      <c r="J265" s="65">
        <v>1</v>
      </c>
      <c r="K265" s="66">
        <f>2963</f>
        <v>2963</v>
      </c>
      <c r="L265" s="67" t="s">
        <v>853</v>
      </c>
      <c r="M265" s="66">
        <f>3040</f>
        <v>3040</v>
      </c>
      <c r="N265" s="67" t="s">
        <v>84</v>
      </c>
      <c r="O265" s="66">
        <f>2846</f>
        <v>2846</v>
      </c>
      <c r="P265" s="67" t="s">
        <v>268</v>
      </c>
      <c r="Q265" s="66">
        <f>2885</f>
        <v>2885</v>
      </c>
      <c r="R265" s="67" t="s">
        <v>873</v>
      </c>
      <c r="S265" s="68">
        <f>2950.38</f>
        <v>2950.38</v>
      </c>
      <c r="T265" s="65">
        <f>31941</f>
        <v>31941</v>
      </c>
      <c r="U265" s="65" t="str">
        <f>"－"</f>
        <v>－</v>
      </c>
      <c r="V265" s="65">
        <f>94656187</f>
        <v>94656187</v>
      </c>
      <c r="W265" s="65" t="str">
        <f>"－"</f>
        <v>－</v>
      </c>
      <c r="X265" s="69">
        <f>21</f>
        <v>21</v>
      </c>
    </row>
    <row r="266" spans="1:24">
      <c r="A266" s="60" t="s">
        <v>895</v>
      </c>
      <c r="B266" s="60" t="s">
        <v>840</v>
      </c>
      <c r="C266" s="60" t="s">
        <v>841</v>
      </c>
      <c r="D266" s="60" t="s">
        <v>842</v>
      </c>
      <c r="E266" s="61" t="s">
        <v>46</v>
      </c>
      <c r="F266" s="62" t="s">
        <v>46</v>
      </c>
      <c r="G266" s="63" t="s">
        <v>46</v>
      </c>
      <c r="H266" s="64"/>
      <c r="I266" s="64" t="s">
        <v>47</v>
      </c>
      <c r="J266" s="65">
        <v>1</v>
      </c>
      <c r="K266" s="66">
        <f>1990</f>
        <v>1990</v>
      </c>
      <c r="L266" s="67" t="s">
        <v>853</v>
      </c>
      <c r="M266" s="66">
        <f>2010</f>
        <v>2010</v>
      </c>
      <c r="N266" s="67" t="s">
        <v>77</v>
      </c>
      <c r="O266" s="66">
        <f>1880</f>
        <v>1880</v>
      </c>
      <c r="P266" s="67" t="s">
        <v>268</v>
      </c>
      <c r="Q266" s="66">
        <f>1897</f>
        <v>1897</v>
      </c>
      <c r="R266" s="67" t="s">
        <v>873</v>
      </c>
      <c r="S266" s="68">
        <f>1946.43</f>
        <v>1946.43</v>
      </c>
      <c r="T266" s="65">
        <f>58321</f>
        <v>58321</v>
      </c>
      <c r="U266" s="65" t="str">
        <f>"－"</f>
        <v>－</v>
      </c>
      <c r="V266" s="65">
        <f>113272202</f>
        <v>113272202</v>
      </c>
      <c r="W266" s="65" t="str">
        <f>"－"</f>
        <v>－</v>
      </c>
      <c r="X266" s="69">
        <f>21</f>
        <v>21</v>
      </c>
    </row>
    <row r="267" spans="1:24">
      <c r="A267" s="60" t="s">
        <v>895</v>
      </c>
      <c r="B267" s="60" t="s">
        <v>843</v>
      </c>
      <c r="C267" s="60" t="s">
        <v>844</v>
      </c>
      <c r="D267" s="60" t="s">
        <v>845</v>
      </c>
      <c r="E267" s="61" t="s">
        <v>46</v>
      </c>
      <c r="F267" s="62" t="s">
        <v>46</v>
      </c>
      <c r="G267" s="63" t="s">
        <v>46</v>
      </c>
      <c r="H267" s="64"/>
      <c r="I267" s="64" t="s">
        <v>47</v>
      </c>
      <c r="J267" s="65">
        <v>1</v>
      </c>
      <c r="K267" s="66">
        <f>2128</f>
        <v>2128</v>
      </c>
      <c r="L267" s="67" t="s">
        <v>853</v>
      </c>
      <c r="M267" s="66">
        <f>2190</f>
        <v>2190</v>
      </c>
      <c r="N267" s="67" t="s">
        <v>854</v>
      </c>
      <c r="O267" s="66">
        <f>2103</f>
        <v>2103</v>
      </c>
      <c r="P267" s="67" t="s">
        <v>268</v>
      </c>
      <c r="Q267" s="66">
        <f>2125</f>
        <v>2125</v>
      </c>
      <c r="R267" s="67" t="s">
        <v>873</v>
      </c>
      <c r="S267" s="68">
        <f>2146.71</f>
        <v>2146.71</v>
      </c>
      <c r="T267" s="65">
        <f>295801</f>
        <v>295801</v>
      </c>
      <c r="U267" s="65">
        <f>11</f>
        <v>11</v>
      </c>
      <c r="V267" s="65">
        <f>636714649</f>
        <v>636714649</v>
      </c>
      <c r="W267" s="65">
        <f>23487</f>
        <v>23487</v>
      </c>
      <c r="X267" s="69">
        <f>21</f>
        <v>21</v>
      </c>
    </row>
    <row r="268" spans="1:24">
      <c r="A268" s="60" t="s">
        <v>895</v>
      </c>
      <c r="B268" s="60" t="s">
        <v>849</v>
      </c>
      <c r="C268" s="60" t="s">
        <v>850</v>
      </c>
      <c r="D268" s="60" t="s">
        <v>851</v>
      </c>
      <c r="E268" s="61" t="s">
        <v>46</v>
      </c>
      <c r="F268" s="62" t="s">
        <v>46</v>
      </c>
      <c r="G268" s="63" t="s">
        <v>46</v>
      </c>
      <c r="H268" s="64"/>
      <c r="I268" s="64" t="s">
        <v>47</v>
      </c>
      <c r="J268" s="65">
        <v>1</v>
      </c>
      <c r="K268" s="66">
        <f>2195</f>
        <v>2195</v>
      </c>
      <c r="L268" s="67" t="s">
        <v>853</v>
      </c>
      <c r="M268" s="66">
        <f>2260</f>
        <v>2260</v>
      </c>
      <c r="N268" s="67" t="s">
        <v>613</v>
      </c>
      <c r="O268" s="66">
        <f>2145</f>
        <v>2145</v>
      </c>
      <c r="P268" s="67" t="s">
        <v>268</v>
      </c>
      <c r="Q268" s="66">
        <f>2215</f>
        <v>2215</v>
      </c>
      <c r="R268" s="67" t="s">
        <v>873</v>
      </c>
      <c r="S268" s="68">
        <f>2208.95</f>
        <v>2208.9499999999998</v>
      </c>
      <c r="T268" s="65">
        <f>217183</f>
        <v>217183</v>
      </c>
      <c r="U268" s="65">
        <f>13</f>
        <v>13</v>
      </c>
      <c r="V268" s="65">
        <f>480149078</f>
        <v>480149078</v>
      </c>
      <c r="W268" s="65">
        <f>28748</f>
        <v>28748</v>
      </c>
      <c r="X268" s="69">
        <f>21</f>
        <v>21</v>
      </c>
    </row>
    <row r="269" spans="1:24">
      <c r="A269" s="60" t="s">
        <v>895</v>
      </c>
      <c r="B269" s="60" t="s">
        <v>899</v>
      </c>
      <c r="C269" s="60" t="s">
        <v>900</v>
      </c>
      <c r="D269" s="60" t="s">
        <v>901</v>
      </c>
      <c r="E269" s="61" t="s">
        <v>846</v>
      </c>
      <c r="F269" s="62" t="s">
        <v>847</v>
      </c>
      <c r="G269" s="63" t="s">
        <v>902</v>
      </c>
      <c r="H269" s="64"/>
      <c r="I269" s="64" t="s">
        <v>47</v>
      </c>
      <c r="J269" s="65">
        <v>1</v>
      </c>
      <c r="K269" s="66">
        <f>2227</f>
        <v>2227</v>
      </c>
      <c r="L269" s="67" t="s">
        <v>96</v>
      </c>
      <c r="M269" s="66">
        <f>2285</f>
        <v>2285</v>
      </c>
      <c r="N269" s="67" t="s">
        <v>873</v>
      </c>
      <c r="O269" s="66">
        <f>2114</f>
        <v>2114</v>
      </c>
      <c r="P269" s="67" t="s">
        <v>49</v>
      </c>
      <c r="Q269" s="66">
        <f>2270</f>
        <v>2270</v>
      </c>
      <c r="R269" s="67" t="s">
        <v>873</v>
      </c>
      <c r="S269" s="68">
        <f>2196.31</f>
        <v>2196.31</v>
      </c>
      <c r="T269" s="65">
        <f>37735</f>
        <v>37735</v>
      </c>
      <c r="U269" s="65" t="str">
        <f>"－"</f>
        <v>－</v>
      </c>
      <c r="V269" s="65">
        <f>82870075</f>
        <v>82870075</v>
      </c>
      <c r="W269" s="65" t="str">
        <f>"－"</f>
        <v>－</v>
      </c>
      <c r="X269" s="69">
        <f>16</f>
        <v>16</v>
      </c>
    </row>
    <row r="270" spans="1:24">
      <c r="A270" s="60" t="s">
        <v>895</v>
      </c>
      <c r="B270" s="60" t="s">
        <v>903</v>
      </c>
      <c r="C270" s="60" t="s">
        <v>904</v>
      </c>
      <c r="D270" s="60" t="s">
        <v>905</v>
      </c>
      <c r="E270" s="61" t="s">
        <v>846</v>
      </c>
      <c r="F270" s="62" t="s">
        <v>847</v>
      </c>
      <c r="G270" s="63" t="s">
        <v>902</v>
      </c>
      <c r="H270" s="64"/>
      <c r="I270" s="64" t="s">
        <v>47</v>
      </c>
      <c r="J270" s="65">
        <v>1</v>
      </c>
      <c r="K270" s="66">
        <f>2862</f>
        <v>2862</v>
      </c>
      <c r="L270" s="67" t="s">
        <v>96</v>
      </c>
      <c r="M270" s="66">
        <f>2910</f>
        <v>2910</v>
      </c>
      <c r="N270" s="67" t="s">
        <v>873</v>
      </c>
      <c r="O270" s="66">
        <f>2751</f>
        <v>2751</v>
      </c>
      <c r="P270" s="67" t="s">
        <v>69</v>
      </c>
      <c r="Q270" s="66">
        <f>2870</f>
        <v>2870</v>
      </c>
      <c r="R270" s="67" t="s">
        <v>873</v>
      </c>
      <c r="S270" s="68">
        <f>2822.63</f>
        <v>2822.63</v>
      </c>
      <c r="T270" s="65">
        <f>16598</f>
        <v>16598</v>
      </c>
      <c r="U270" s="65" t="str">
        <f>"－"</f>
        <v>－</v>
      </c>
      <c r="V270" s="65">
        <f>46951535</f>
        <v>46951535</v>
      </c>
      <c r="W270" s="65" t="str">
        <f>"－"</f>
        <v>－</v>
      </c>
      <c r="X270" s="69">
        <f>16</f>
        <v>16</v>
      </c>
    </row>
    <row r="271" spans="1:24">
      <c r="A271" s="60" t="s">
        <v>895</v>
      </c>
      <c r="B271" s="60" t="s">
        <v>861</v>
      </c>
      <c r="C271" s="60" t="s">
        <v>862</v>
      </c>
      <c r="D271" s="60" t="s">
        <v>863</v>
      </c>
      <c r="E271" s="61" t="s">
        <v>46</v>
      </c>
      <c r="F271" s="62" t="s">
        <v>46</v>
      </c>
      <c r="G271" s="63" t="s">
        <v>46</v>
      </c>
      <c r="H271" s="64"/>
      <c r="I271" s="64" t="s">
        <v>47</v>
      </c>
      <c r="J271" s="65">
        <v>1</v>
      </c>
      <c r="K271" s="66">
        <f>10300</f>
        <v>10300</v>
      </c>
      <c r="L271" s="67" t="s">
        <v>853</v>
      </c>
      <c r="M271" s="66">
        <f>10860</f>
        <v>10860</v>
      </c>
      <c r="N271" s="67" t="s">
        <v>873</v>
      </c>
      <c r="O271" s="66">
        <f>10280</f>
        <v>10280</v>
      </c>
      <c r="P271" s="67" t="s">
        <v>853</v>
      </c>
      <c r="Q271" s="66">
        <f>10840</f>
        <v>10840</v>
      </c>
      <c r="R271" s="67" t="s">
        <v>873</v>
      </c>
      <c r="S271" s="68">
        <f>10656.67</f>
        <v>10656.67</v>
      </c>
      <c r="T271" s="65">
        <f>18615</f>
        <v>18615</v>
      </c>
      <c r="U271" s="65" t="str">
        <f>"－"</f>
        <v>－</v>
      </c>
      <c r="V271" s="65">
        <f>198558360</f>
        <v>198558360</v>
      </c>
      <c r="W271" s="65" t="str">
        <f>"－"</f>
        <v>－</v>
      </c>
      <c r="X271" s="69">
        <f>21</f>
        <v>21</v>
      </c>
    </row>
    <row r="272" spans="1:24">
      <c r="A272" s="60" t="s">
        <v>895</v>
      </c>
      <c r="B272" s="60" t="s">
        <v>865</v>
      </c>
      <c r="C272" s="60" t="s">
        <v>866</v>
      </c>
      <c r="D272" s="60" t="s">
        <v>867</v>
      </c>
      <c r="E272" s="61" t="s">
        <v>46</v>
      </c>
      <c r="F272" s="62" t="s">
        <v>46</v>
      </c>
      <c r="G272" s="63" t="s">
        <v>46</v>
      </c>
      <c r="H272" s="64"/>
      <c r="I272" s="64" t="s">
        <v>47</v>
      </c>
      <c r="J272" s="65">
        <v>1</v>
      </c>
      <c r="K272" s="66">
        <f>10470</f>
        <v>10470</v>
      </c>
      <c r="L272" s="67" t="s">
        <v>853</v>
      </c>
      <c r="M272" s="66">
        <f>11000</f>
        <v>11000</v>
      </c>
      <c r="N272" s="67" t="s">
        <v>613</v>
      </c>
      <c r="O272" s="66">
        <f>10430</f>
        <v>10430</v>
      </c>
      <c r="P272" s="67" t="s">
        <v>853</v>
      </c>
      <c r="Q272" s="66">
        <f>10880</f>
        <v>10880</v>
      </c>
      <c r="R272" s="67" t="s">
        <v>873</v>
      </c>
      <c r="S272" s="68">
        <f>10810.48</f>
        <v>10810.48</v>
      </c>
      <c r="T272" s="65">
        <f>182384</f>
        <v>182384</v>
      </c>
      <c r="U272" s="65">
        <f>14</f>
        <v>14</v>
      </c>
      <c r="V272" s="65">
        <f>1969033910</f>
        <v>1969033910</v>
      </c>
      <c r="W272" s="65">
        <f>147370</f>
        <v>147370</v>
      </c>
      <c r="X272" s="69">
        <f>21</f>
        <v>21</v>
      </c>
    </row>
    <row r="273" spans="1:24">
      <c r="A273" s="60" t="s">
        <v>895</v>
      </c>
      <c r="B273" s="60" t="s">
        <v>868</v>
      </c>
      <c r="C273" s="60" t="s">
        <v>869</v>
      </c>
      <c r="D273" s="60" t="s">
        <v>870</v>
      </c>
      <c r="E273" s="61" t="s">
        <v>46</v>
      </c>
      <c r="F273" s="62" t="s">
        <v>46</v>
      </c>
      <c r="G273" s="63" t="s">
        <v>46</v>
      </c>
      <c r="H273" s="64"/>
      <c r="I273" s="64" t="s">
        <v>47</v>
      </c>
      <c r="J273" s="65">
        <v>1</v>
      </c>
      <c r="K273" s="66">
        <f>9950</f>
        <v>9950</v>
      </c>
      <c r="L273" s="67" t="s">
        <v>853</v>
      </c>
      <c r="M273" s="66">
        <f>10650</f>
        <v>10650</v>
      </c>
      <c r="N273" s="67" t="s">
        <v>613</v>
      </c>
      <c r="O273" s="66">
        <f>9940</f>
        <v>9940</v>
      </c>
      <c r="P273" s="67" t="s">
        <v>853</v>
      </c>
      <c r="Q273" s="66">
        <f>10500</f>
        <v>10500</v>
      </c>
      <c r="R273" s="67" t="s">
        <v>873</v>
      </c>
      <c r="S273" s="68">
        <f>10430.95</f>
        <v>10430.950000000001</v>
      </c>
      <c r="T273" s="65">
        <f>63952</f>
        <v>63952</v>
      </c>
      <c r="U273" s="65" t="str">
        <f>"－"</f>
        <v>－</v>
      </c>
      <c r="V273" s="65">
        <f>666910260</f>
        <v>666910260</v>
      </c>
      <c r="W273" s="65" t="str">
        <f>"－"</f>
        <v>－</v>
      </c>
      <c r="X273" s="69">
        <f>21</f>
        <v>21</v>
      </c>
    </row>
    <row r="274" spans="1:24">
      <c r="A274" s="60" t="s">
        <v>895</v>
      </c>
      <c r="B274" s="60" t="s">
        <v>879</v>
      </c>
      <c r="C274" s="60" t="s">
        <v>880</v>
      </c>
      <c r="D274" s="60" t="s">
        <v>881</v>
      </c>
      <c r="E274" s="61" t="s">
        <v>46</v>
      </c>
      <c r="F274" s="62" t="s">
        <v>46</v>
      </c>
      <c r="G274" s="63" t="s">
        <v>46</v>
      </c>
      <c r="H274" s="64"/>
      <c r="I274" s="64" t="s">
        <v>47</v>
      </c>
      <c r="J274" s="65">
        <v>10</v>
      </c>
      <c r="K274" s="66">
        <f>2031</f>
        <v>2031</v>
      </c>
      <c r="L274" s="67" t="s">
        <v>853</v>
      </c>
      <c r="M274" s="66">
        <f>2113</f>
        <v>2113</v>
      </c>
      <c r="N274" s="67" t="s">
        <v>873</v>
      </c>
      <c r="O274" s="66">
        <f>2028</f>
        <v>2028</v>
      </c>
      <c r="P274" s="67" t="s">
        <v>853</v>
      </c>
      <c r="Q274" s="66">
        <f>2106</f>
        <v>2106</v>
      </c>
      <c r="R274" s="67" t="s">
        <v>873</v>
      </c>
      <c r="S274" s="68">
        <f>2074.95</f>
        <v>2074.9499999999998</v>
      </c>
      <c r="T274" s="65">
        <f>450340</f>
        <v>450340</v>
      </c>
      <c r="U274" s="65" t="str">
        <f>"－"</f>
        <v>－</v>
      </c>
      <c r="V274" s="65">
        <f>932721320</f>
        <v>932721320</v>
      </c>
      <c r="W274" s="65" t="str">
        <f>"－"</f>
        <v>－</v>
      </c>
      <c r="X274" s="69">
        <f>21</f>
        <v>21</v>
      </c>
    </row>
    <row r="275" spans="1:24">
      <c r="A275" s="60" t="s">
        <v>895</v>
      </c>
      <c r="B275" s="60" t="s">
        <v>883</v>
      </c>
      <c r="C275" s="60" t="s">
        <v>884</v>
      </c>
      <c r="D275" s="60" t="s">
        <v>885</v>
      </c>
      <c r="E275" s="61" t="s">
        <v>46</v>
      </c>
      <c r="F275" s="62" t="s">
        <v>46</v>
      </c>
      <c r="G275" s="63" t="s">
        <v>46</v>
      </c>
      <c r="H275" s="64"/>
      <c r="I275" s="64" t="s">
        <v>47</v>
      </c>
      <c r="J275" s="65">
        <v>10</v>
      </c>
      <c r="K275" s="66">
        <f>2010</f>
        <v>2010</v>
      </c>
      <c r="L275" s="67" t="s">
        <v>853</v>
      </c>
      <c r="M275" s="66">
        <f>2122</f>
        <v>2122</v>
      </c>
      <c r="N275" s="67" t="s">
        <v>873</v>
      </c>
      <c r="O275" s="66">
        <f>2009</f>
        <v>2009</v>
      </c>
      <c r="P275" s="67" t="s">
        <v>853</v>
      </c>
      <c r="Q275" s="66">
        <f>2118</f>
        <v>2118</v>
      </c>
      <c r="R275" s="67" t="s">
        <v>873</v>
      </c>
      <c r="S275" s="68">
        <f>2082.29</f>
        <v>2082.29</v>
      </c>
      <c r="T275" s="65">
        <f>3367170</f>
        <v>3367170</v>
      </c>
      <c r="U275" s="65">
        <f>2545000</f>
        <v>2545000</v>
      </c>
      <c r="V275" s="65">
        <f>6995723500</f>
        <v>6995723500</v>
      </c>
      <c r="W275" s="65">
        <f>5270215000</f>
        <v>5270215000</v>
      </c>
      <c r="X275" s="69">
        <f>21</f>
        <v>21</v>
      </c>
    </row>
    <row r="276" spans="1:24">
      <c r="A276" s="60" t="s">
        <v>895</v>
      </c>
      <c r="B276" s="60" t="s">
        <v>886</v>
      </c>
      <c r="C276" s="60" t="s">
        <v>887</v>
      </c>
      <c r="D276" s="60" t="s">
        <v>888</v>
      </c>
      <c r="E276" s="61" t="s">
        <v>46</v>
      </c>
      <c r="F276" s="62" t="s">
        <v>46</v>
      </c>
      <c r="G276" s="63" t="s">
        <v>46</v>
      </c>
      <c r="H276" s="64"/>
      <c r="I276" s="64" t="s">
        <v>47</v>
      </c>
      <c r="J276" s="65">
        <v>10</v>
      </c>
      <c r="K276" s="66">
        <f>2025</f>
        <v>2025</v>
      </c>
      <c r="L276" s="67" t="s">
        <v>853</v>
      </c>
      <c r="M276" s="66">
        <f>2119</f>
        <v>2119</v>
      </c>
      <c r="N276" s="67" t="s">
        <v>873</v>
      </c>
      <c r="O276" s="66">
        <f>2025</f>
        <v>2025</v>
      </c>
      <c r="P276" s="67" t="s">
        <v>853</v>
      </c>
      <c r="Q276" s="66">
        <f>2112</f>
        <v>2112</v>
      </c>
      <c r="R276" s="67" t="s">
        <v>873</v>
      </c>
      <c r="S276" s="68">
        <f>2075.43</f>
        <v>2075.4299999999998</v>
      </c>
      <c r="T276" s="65">
        <f>180250</f>
        <v>180250</v>
      </c>
      <c r="U276" s="65" t="str">
        <f>"－"</f>
        <v>－</v>
      </c>
      <c r="V276" s="65">
        <f>375536600</f>
        <v>375536600</v>
      </c>
      <c r="W276" s="65" t="str">
        <f>"－"</f>
        <v>－</v>
      </c>
      <c r="X276" s="69">
        <f>21</f>
        <v>21</v>
      </c>
    </row>
    <row r="277" spans="1:24">
      <c r="A277" s="60" t="s">
        <v>895</v>
      </c>
      <c r="B277" s="60" t="s">
        <v>889</v>
      </c>
      <c r="C277" s="60" t="s">
        <v>890</v>
      </c>
      <c r="D277" s="60" t="s">
        <v>891</v>
      </c>
      <c r="E277" s="61" t="s">
        <v>46</v>
      </c>
      <c r="F277" s="62" t="s">
        <v>46</v>
      </c>
      <c r="G277" s="63" t="s">
        <v>46</v>
      </c>
      <c r="H277" s="64"/>
      <c r="I277" s="64" t="s">
        <v>47</v>
      </c>
      <c r="J277" s="65">
        <v>1</v>
      </c>
      <c r="K277" s="66">
        <f>2671</f>
        <v>2671</v>
      </c>
      <c r="L277" s="67" t="s">
        <v>853</v>
      </c>
      <c r="M277" s="66">
        <f>2699</f>
        <v>2699</v>
      </c>
      <c r="N277" s="67" t="s">
        <v>84</v>
      </c>
      <c r="O277" s="66">
        <f>2558</f>
        <v>2558</v>
      </c>
      <c r="P277" s="67" t="s">
        <v>268</v>
      </c>
      <c r="Q277" s="66">
        <f>2573</f>
        <v>2573</v>
      </c>
      <c r="R277" s="67" t="s">
        <v>873</v>
      </c>
      <c r="S277" s="68">
        <f>2631.38</f>
        <v>2631.38</v>
      </c>
      <c r="T277" s="65">
        <f>108386</f>
        <v>108386</v>
      </c>
      <c r="U277" s="65">
        <f>10</f>
        <v>10</v>
      </c>
      <c r="V277" s="65">
        <f>285757650</f>
        <v>285757650</v>
      </c>
      <c r="W277" s="65">
        <f>26500</f>
        <v>26500</v>
      </c>
      <c r="X277" s="69">
        <f>21</f>
        <v>21</v>
      </c>
    </row>
    <row r="278" spans="1:24">
      <c r="A278" s="60" t="s">
        <v>895</v>
      </c>
      <c r="B278" s="60" t="s">
        <v>892</v>
      </c>
      <c r="C278" s="60" t="s">
        <v>893</v>
      </c>
      <c r="D278" s="60" t="s">
        <v>894</v>
      </c>
      <c r="E278" s="61" t="s">
        <v>46</v>
      </c>
      <c r="F278" s="62" t="s">
        <v>46</v>
      </c>
      <c r="G278" s="63" t="s">
        <v>46</v>
      </c>
      <c r="H278" s="64"/>
      <c r="I278" s="64" t="s">
        <v>47</v>
      </c>
      <c r="J278" s="65">
        <v>1</v>
      </c>
      <c r="K278" s="66">
        <f>1771</f>
        <v>1771</v>
      </c>
      <c r="L278" s="67" t="s">
        <v>853</v>
      </c>
      <c r="M278" s="66">
        <f>1806</f>
        <v>1806</v>
      </c>
      <c r="N278" s="67" t="s">
        <v>84</v>
      </c>
      <c r="O278" s="66">
        <f>1677</f>
        <v>1677</v>
      </c>
      <c r="P278" s="67" t="s">
        <v>268</v>
      </c>
      <c r="Q278" s="66">
        <f>1689</f>
        <v>1689</v>
      </c>
      <c r="R278" s="67" t="s">
        <v>873</v>
      </c>
      <c r="S278" s="68">
        <f>1745</f>
        <v>1745</v>
      </c>
      <c r="T278" s="65">
        <f>287914</f>
        <v>287914</v>
      </c>
      <c r="U278" s="65">
        <f>60037</f>
        <v>60037</v>
      </c>
      <c r="V278" s="65">
        <f>498260439</f>
        <v>498260439</v>
      </c>
      <c r="W278" s="65">
        <f>101525712</f>
        <v>101525712</v>
      </c>
      <c r="X278" s="69">
        <f>21</f>
        <v>21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8" fitToHeight="0" orientation="landscape" r:id="rId1"/>
  <headerFooter>
    <oddFooter>&amp;C&amp;P/&amp;N&amp;RCopyright (c) Tokyo Stock Exchange, Inc. All Rights Reserved.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2021.12</vt:lpstr>
      <vt:lpstr>2021.11</vt:lpstr>
      <vt:lpstr>2021.10</vt:lpstr>
      <vt:lpstr>2021.09</vt:lpstr>
      <vt:lpstr>2021.08</vt:lpstr>
      <vt:lpstr>2021.07</vt:lpstr>
      <vt:lpstr>2021.06</vt:lpstr>
      <vt:lpstr>2021.05</vt:lpstr>
      <vt:lpstr>2021.04</vt:lpstr>
      <vt:lpstr>2021.03</vt:lpstr>
      <vt:lpstr>2021.02</vt:lpstr>
      <vt:lpstr>2021.01</vt:lpstr>
      <vt:lpstr>'2021.01'!Print_Titles</vt:lpstr>
      <vt:lpstr>'2021.02'!Print_Titles</vt:lpstr>
      <vt:lpstr>'2021.03'!Print_Titles</vt:lpstr>
      <vt:lpstr>'2021.04'!Print_Titles</vt:lpstr>
      <vt:lpstr>'2021.05'!Print_Titles</vt:lpstr>
      <vt:lpstr>'2021.06'!Print_Titles</vt:lpstr>
      <vt:lpstr>'2021.07'!Print_Titles</vt:lpstr>
      <vt:lpstr>'2021.08'!Print_Titles</vt:lpstr>
      <vt:lpstr>'2021.09'!Print_Titles</vt:lpstr>
      <vt:lpstr>'2021.10'!Print_Titles</vt:lpstr>
      <vt:lpstr>'2021.11'!Print_Titles</vt:lpstr>
      <vt:lpstr>'2021.12'!Print_Titles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深雪</dc:creator>
  <cp:lastModifiedBy>小林 麻子</cp:lastModifiedBy>
  <cp:lastPrinted>2018-08-15T07:59:38Z</cp:lastPrinted>
  <dcterms:created xsi:type="dcterms:W3CDTF">2018-08-07T09:37:32Z</dcterms:created>
  <dcterms:modified xsi:type="dcterms:W3CDTF">2022-01-11T00:54:01Z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2022-01-11T00:54:01Z</vt:filetime>
  </property>
</Properties>
</file>